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14"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土地比较法-住宅、综合" sheetId="39"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基准地价修正" sheetId="43" state="hidden" r:id="rId33"/>
    <sheet name="修正" sheetId="45" state="hidden" r:id="rId34"/>
    <sheet name="容积率修正" sheetId="46" state="hidden" r:id="rId35"/>
    <sheet name="地价" sheetId="71"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Sheet1" sheetId="75" state="hidden" r:id="rId42"/>
    <sheet name="收益法" sheetId="15" r:id="rId43"/>
    <sheet name="收益法 (2)" sheetId="77" state="hidden" r:id="rId44"/>
    <sheet name="收益法 (3)" sheetId="79" state="hidden" r:id="rId45"/>
    <sheet name="收益法 (4)" sheetId="80" state="hidden" r:id="rId46"/>
    <sheet name="Sheet2" sheetId="78" r:id="rId47"/>
    <sheet name="Sheet3" sheetId="81" r:id="rId48"/>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18">成本法!$A$4:$G$52</definedName>
    <definedName name="_xlnm.Print_Area" localSheetId="8">估价师及机构信息!$A$1:$F$24</definedName>
    <definedName name="_xlnm.Print_Area" localSheetId="17">结果表!$A$100:$I$142</definedName>
    <definedName name="_xlnm.Print_Area" localSheetId="42">收益法!$A$4:$F$43</definedName>
    <definedName name="_xlnm.Print_Area" localSheetId="43">'收益法 (2)'!$A$4:$F$43</definedName>
    <definedName name="_xlnm.Print_Area" localSheetId="44">'收益法 (3)'!$A$4:$F$43</definedName>
    <definedName name="_xlnm.Print_Area" localSheetId="45">'收益法 (4)'!$A$4:$F$43</definedName>
    <definedName name="_xlnm.Print_Area" localSheetId="23">'收益法 (元)'!$A$1:$AK$69</definedName>
    <definedName name="_xlnm.Print_Area" localSheetId="13">'数据-汇总表'!$A$1:$G$31</definedName>
    <definedName name="_xlnm.Print_Area" localSheetId="22">'土地比较法-住宅、综合'!$A$4:$K$48</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24519"/>
</workbook>
</file>

<file path=xl/calcChain.xml><?xml version="1.0" encoding="utf-8"?>
<calcChain xmlns="http://schemas.openxmlformats.org/spreadsheetml/2006/main">
  <c r="K32" i="1"/>
  <c r="M31"/>
  <c r="M32" s="1"/>
  <c r="K31"/>
  <c r="O27"/>
  <c r="O28"/>
  <c r="O29"/>
  <c r="O30"/>
  <c r="M27"/>
  <c r="M28"/>
  <c r="M29"/>
  <c r="M30"/>
  <c r="O31" l="1"/>
  <c r="O32" s="1"/>
  <c r="P27" s="1"/>
  <c r="AL16" i="3"/>
  <c r="C88" i="9" l="1"/>
  <c r="K24" i="1" l="1"/>
  <c r="M24" s="1"/>
  <c r="O24" s="1"/>
  <c r="K25"/>
  <c r="K23"/>
  <c r="M23" s="1"/>
  <c r="M25"/>
  <c r="O25" s="1"/>
  <c r="F20" i="6"/>
  <c r="I13" i="4"/>
  <c r="A3" i="3"/>
  <c r="M26" i="1" l="1"/>
  <c r="K26"/>
  <c r="O23"/>
  <c r="O26" s="1"/>
  <c r="Q72" i="80"/>
  <c r="Q59"/>
  <c r="Q58"/>
  <c r="Q51"/>
  <c r="J50"/>
  <c r="M47"/>
  <c r="D46"/>
  <c r="F33"/>
  <c r="F61" s="1"/>
  <c r="F32"/>
  <c r="F60" s="1"/>
  <c r="F28"/>
  <c r="F23"/>
  <c r="F21"/>
  <c r="F20"/>
  <c r="M19"/>
  <c r="M18"/>
  <c r="F18"/>
  <c r="F17"/>
  <c r="F15"/>
  <c r="Q72" i="79"/>
  <c r="Q59"/>
  <c r="Q58"/>
  <c r="Q51"/>
  <c r="J50"/>
  <c r="M47"/>
  <c r="D46"/>
  <c r="F33"/>
  <c r="F61" s="1"/>
  <c r="F32"/>
  <c r="F60" s="1"/>
  <c r="F28"/>
  <c r="F23"/>
  <c r="F21"/>
  <c r="F20"/>
  <c r="M19"/>
  <c r="M18"/>
  <c r="F18"/>
  <c r="F17"/>
  <c r="F15"/>
  <c r="AH7" i="1"/>
  <c r="B29"/>
  <c r="I16" i="3"/>
  <c r="B11" i="78"/>
  <c r="B5"/>
  <c r="P23" i="1" l="1"/>
  <c r="H9" i="68"/>
  <c r="H18" i="12"/>
  <c r="D23" i="80"/>
  <c r="D22"/>
  <c r="D24"/>
  <c r="D23" i="79"/>
  <c r="D22"/>
  <c r="D24"/>
  <c r="I6" i="40" l="1"/>
  <c r="G6"/>
  <c r="E6"/>
  <c r="I6" i="39"/>
  <c r="G6"/>
  <c r="E6"/>
  <c r="Q72" i="77"/>
  <c r="F61"/>
  <c r="Q59"/>
  <c r="Q58"/>
  <c r="Q51"/>
  <c r="J50"/>
  <c r="M47"/>
  <c r="D46"/>
  <c r="F33"/>
  <c r="F23"/>
  <c r="D24" s="1"/>
  <c r="F21"/>
  <c r="F20"/>
  <c r="M19"/>
  <c r="F18"/>
  <c r="F17"/>
  <c r="F15"/>
  <c r="E9" i="6"/>
  <c r="D23" i="77" l="1"/>
  <c r="D22"/>
  <c r="I38" i="39" l="1"/>
  <c r="G38"/>
  <c r="E38"/>
  <c r="K24" i="9" l="1"/>
  <c r="L23"/>
  <c r="D116" i="39" l="1"/>
  <c r="E116"/>
  <c r="F116"/>
  <c r="G116"/>
  <c r="H116"/>
  <c r="I116"/>
  <c r="J116"/>
  <c r="K116"/>
  <c r="L116"/>
  <c r="M116"/>
  <c r="C116"/>
  <c r="A15" i="51" l="1"/>
  <c r="C76" i="9" l="1"/>
  <c r="I107" i="40" l="1"/>
  <c r="K6" i="4" l="1"/>
  <c r="B22" i="31" l="1"/>
  <c r="N56" i="9" l="1"/>
  <c r="M56"/>
  <c r="K56"/>
  <c r="E15" i="74" l="1"/>
  <c r="F15"/>
  <c r="E16"/>
  <c r="F16"/>
  <c r="E17"/>
  <c r="F17"/>
  <c r="E18"/>
  <c r="F18"/>
  <c r="E19"/>
  <c r="F19"/>
  <c r="E20"/>
  <c r="F20"/>
  <c r="E21"/>
  <c r="F21"/>
  <c r="E22"/>
  <c r="F22"/>
  <c r="E23"/>
  <c r="F23"/>
  <c r="B3" l="1"/>
  <c r="B8" i="72" l="1"/>
  <c r="M19" i="43" l="1"/>
  <c r="J6" i="71" l="1"/>
  <c r="O6" s="1"/>
  <c r="K6"/>
  <c r="P6" s="1"/>
  <c r="L6"/>
  <c r="Q6" s="1"/>
  <c r="I6"/>
  <c r="N6" s="1"/>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c r="AG12"/>
  <c r="AH12"/>
  <c r="AD13"/>
  <c r="AE13"/>
  <c r="AF13" s="1"/>
  <c r="AG13"/>
  <c r="AH13"/>
  <c r="AD14"/>
  <c r="AE14"/>
  <c r="AF14" s="1"/>
  <c r="AG14"/>
  <c r="AH14"/>
  <c r="AD15"/>
  <c r="AE15"/>
  <c r="AF15" s="1"/>
  <c r="AG15"/>
  <c r="AH15"/>
  <c r="AD16"/>
  <c r="AE16"/>
  <c r="AF16"/>
  <c r="AG16"/>
  <c r="AH16"/>
  <c r="AD17"/>
  <c r="AE17"/>
  <c r="AF17" s="1"/>
  <c r="AG17"/>
  <c r="AH17"/>
  <c r="AH18"/>
  <c r="AG18"/>
  <c r="AE18"/>
  <c r="AF18" s="1"/>
  <c r="AD18"/>
  <c r="AD19"/>
  <c r="AE19"/>
  <c r="AF19" s="1"/>
  <c r="AG19"/>
  <c r="AH19"/>
  <c r="S2" i="31" l="1"/>
  <c r="M2"/>
  <c r="N2"/>
  <c r="O2"/>
  <c r="P2"/>
  <c r="Q2"/>
  <c r="R2"/>
  <c r="C1" i="73" l="1"/>
  <c r="L1" s="1"/>
  <c r="F7"/>
  <c r="J1" l="1"/>
  <c r="B74" i="72"/>
  <c r="F5" i="73"/>
  <c r="F4"/>
  <c r="F6"/>
  <c r="D4"/>
  <c r="F3"/>
  <c r="E20" i="43" l="1"/>
  <c r="I1" i="73"/>
  <c r="B39" i="1" s="1"/>
  <c r="D7" i="73"/>
  <c r="D5"/>
  <c r="D6"/>
  <c r="D3"/>
  <c r="F11" i="80" l="1"/>
  <c r="M11"/>
  <c r="F11" i="79"/>
  <c r="M11"/>
  <c r="F11" i="77"/>
  <c r="M11"/>
  <c r="Y12" i="43"/>
  <c r="Y10"/>
  <c r="AJ9"/>
  <c r="AJ12" s="1"/>
  <c r="AI9"/>
  <c r="AI12" s="1"/>
  <c r="AH9"/>
  <c r="AH12" s="1"/>
  <c r="AG9"/>
  <c r="AG12" s="1"/>
  <c r="AF9"/>
  <c r="AF12" s="1"/>
  <c r="AE9"/>
  <c r="AE12" s="1"/>
  <c r="AD9"/>
  <c r="AD12" s="1"/>
  <c r="AC9"/>
  <c r="AC12" s="1"/>
  <c r="AB9"/>
  <c r="AB12" s="1"/>
  <c r="AA9"/>
  <c r="AA12" s="1"/>
  <c r="Z9"/>
  <c r="Z12" s="1"/>
  <c r="C53" i="80" l="1"/>
  <c r="C53" i="79"/>
  <c r="C53" i="77"/>
  <c r="AA10" i="43"/>
  <c r="AC10"/>
  <c r="AE10"/>
  <c r="AG10"/>
  <c r="AI10"/>
  <c r="Z10"/>
  <c r="AB10"/>
  <c r="AD10"/>
  <c r="AF10"/>
  <c r="AH10"/>
  <c r="AJ10"/>
  <c r="K49" i="9" l="1"/>
  <c r="E107"/>
  <c r="A122" s="1"/>
  <c r="E111"/>
  <c r="E109"/>
  <c r="A124" s="1"/>
  <c r="B44" i="72" l="1"/>
  <c r="B42"/>
  <c r="B69"/>
  <c r="B68"/>
  <c r="B63"/>
  <c r="B62"/>
  <c r="B16"/>
  <c r="A19" i="62" l="1"/>
  <c r="B65" i="72" s="1"/>
  <c r="A14" i="62"/>
  <c r="B60" i="72" s="1"/>
  <c r="A13" i="62"/>
  <c r="B59" i="72" s="1"/>
  <c r="A12" i="62"/>
  <c r="B58" i="72" s="1"/>
  <c r="A21" i="62"/>
  <c r="B67" i="72" s="1"/>
  <c r="A20" i="62"/>
  <c r="B66" i="72" s="1"/>
  <c r="B12" l="1"/>
  <c r="B10" l="1"/>
  <c r="C53" i="10" l="1"/>
  <c r="B51"/>
  <c r="A2" i="53"/>
  <c r="B19" i="72" s="1"/>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P47"/>
  <c r="F47"/>
  <c r="V47" s="1"/>
  <c r="E47"/>
  <c r="C47"/>
  <c r="B47"/>
  <c r="S47" s="1"/>
  <c r="F46"/>
  <c r="F45" s="1"/>
  <c r="Q45" s="1"/>
  <c r="B46"/>
  <c r="D44"/>
  <c r="Q43"/>
  <c r="P43"/>
  <c r="O43"/>
  <c r="N43"/>
  <c r="Q42"/>
  <c r="P42"/>
  <c r="O42"/>
  <c r="N42"/>
  <c r="Q41"/>
  <c r="P41"/>
  <c r="O41"/>
  <c r="N41"/>
  <c r="E41"/>
  <c r="Q40"/>
  <c r="F41" s="1"/>
  <c r="F42" s="1"/>
  <c r="F43" s="1"/>
  <c r="V43" s="1"/>
  <c r="P40"/>
  <c r="O40"/>
  <c r="C41" s="1"/>
  <c r="N40"/>
  <c r="B41" s="1"/>
  <c r="B42" s="1"/>
  <c r="D40"/>
  <c r="Q39"/>
  <c r="P39"/>
  <c r="O39"/>
  <c r="N39"/>
  <c r="Q38"/>
  <c r="P38"/>
  <c r="O38"/>
  <c r="N38"/>
  <c r="Q37"/>
  <c r="P37"/>
  <c r="O37"/>
  <c r="N37"/>
  <c r="E37"/>
  <c r="Q36"/>
  <c r="F37" s="1"/>
  <c r="F38" s="1"/>
  <c r="F39" s="1"/>
  <c r="V39" s="1"/>
  <c r="P36"/>
  <c r="O36"/>
  <c r="C37" s="1"/>
  <c r="N36"/>
  <c r="B37" s="1"/>
  <c r="B38" s="1"/>
  <c r="D36"/>
  <c r="Q35"/>
  <c r="P35"/>
  <c r="O35"/>
  <c r="N35"/>
  <c r="Q34"/>
  <c r="P34"/>
  <c r="O34"/>
  <c r="N34"/>
  <c r="Q33"/>
  <c r="P33"/>
  <c r="O33"/>
  <c r="N33"/>
  <c r="E33"/>
  <c r="Q32"/>
  <c r="F33" s="1"/>
  <c r="F34" s="1"/>
  <c r="F35" s="1"/>
  <c r="V35" s="1"/>
  <c r="P32"/>
  <c r="O32"/>
  <c r="C33" s="1"/>
  <c r="N32"/>
  <c r="B33" s="1"/>
  <c r="B34" s="1"/>
  <c r="B35" s="1"/>
  <c r="S35" s="1"/>
  <c r="D32"/>
  <c r="Q31"/>
  <c r="P31"/>
  <c r="O31"/>
  <c r="N31"/>
  <c r="Q30"/>
  <c r="P30"/>
  <c r="O30"/>
  <c r="N30"/>
  <c r="Q29"/>
  <c r="P29"/>
  <c r="O29"/>
  <c r="N29"/>
  <c r="Q28"/>
  <c r="F29" s="1"/>
  <c r="F30" s="1"/>
  <c r="F31" s="1"/>
  <c r="V31"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F17"/>
  <c r="F18" s="1"/>
  <c r="F19" s="1"/>
  <c r="V19" s="1"/>
  <c r="Q16"/>
  <c r="AB16" s="1"/>
  <c r="P16"/>
  <c r="O16"/>
  <c r="N16"/>
  <c r="D16"/>
  <c r="Q15"/>
  <c r="AB15" s="1"/>
  <c r="P15"/>
  <c r="O15"/>
  <c r="Y15" s="1"/>
  <c r="Z15" s="1"/>
  <c r="N15"/>
  <c r="Q14"/>
  <c r="AB14" s="1"/>
  <c r="P14"/>
  <c r="O14"/>
  <c r="Y14" s="1"/>
  <c r="Z14" s="1"/>
  <c r="N14"/>
  <c r="X14" s="1"/>
  <c r="Q13"/>
  <c r="AB13" s="1"/>
  <c r="P13"/>
  <c r="AA13" s="1"/>
  <c r="O13"/>
  <c r="Y13" s="1"/>
  <c r="Z13" s="1"/>
  <c r="N13"/>
  <c r="X13" s="1"/>
  <c r="F13"/>
  <c r="F14" s="1"/>
  <c r="F15" s="1"/>
  <c r="V15" s="1"/>
  <c r="Q12"/>
  <c r="P12"/>
  <c r="O12"/>
  <c r="N12"/>
  <c r="D12"/>
  <c r="Q11"/>
  <c r="AB11" s="1"/>
  <c r="P11"/>
  <c r="O11"/>
  <c r="Y11" s="1"/>
  <c r="Z11" s="1"/>
  <c r="N11"/>
  <c r="Q10"/>
  <c r="AB10" s="1"/>
  <c r="P10"/>
  <c r="O10"/>
  <c r="Y10" s="1"/>
  <c r="Z10" s="1"/>
  <c r="N10"/>
  <c r="Q9"/>
  <c r="AB9" s="1"/>
  <c r="P9"/>
  <c r="AA9" s="1"/>
  <c r="O9"/>
  <c r="Y9" s="1"/>
  <c r="Z9" s="1"/>
  <c r="N9"/>
  <c r="X9" s="1"/>
  <c r="F9"/>
  <c r="F10" s="1"/>
  <c r="F11" s="1"/>
  <c r="V11" s="1"/>
  <c r="Q8"/>
  <c r="P8"/>
  <c r="O8"/>
  <c r="N8"/>
  <c r="D8"/>
  <c r="O7"/>
  <c r="N7"/>
  <c r="E9" l="1"/>
  <c r="E10" s="1"/>
  <c r="E11" s="1"/>
  <c r="U11" s="1"/>
  <c r="AA8"/>
  <c r="B13"/>
  <c r="B14" s="1"/>
  <c r="B15" s="1"/>
  <c r="S15" s="1"/>
  <c r="X12"/>
  <c r="E13"/>
  <c r="E14" s="1"/>
  <c r="E15" s="1"/>
  <c r="U15" s="1"/>
  <c r="AA12"/>
  <c r="B17"/>
  <c r="B18" s="1"/>
  <c r="B19" s="1"/>
  <c r="S19" s="1"/>
  <c r="X16"/>
  <c r="E17"/>
  <c r="E18" s="1"/>
  <c r="E19" s="1"/>
  <c r="U19" s="1"/>
  <c r="AA16"/>
  <c r="B39"/>
  <c r="S39" s="1"/>
  <c r="B43"/>
  <c r="S43" s="1"/>
  <c r="N47"/>
  <c r="B9"/>
  <c r="B10" s="1"/>
  <c r="B11" s="1"/>
  <c r="S11" s="1"/>
  <c r="X8"/>
  <c r="C9"/>
  <c r="Y8"/>
  <c r="Z8" s="1"/>
  <c r="AB8"/>
  <c r="X10"/>
  <c r="AA10"/>
  <c r="X11"/>
  <c r="AA11"/>
  <c r="C13"/>
  <c r="Y12"/>
  <c r="Z12" s="1"/>
  <c r="AB12"/>
  <c r="AA14"/>
  <c r="X15"/>
  <c r="AA15"/>
  <c r="C17"/>
  <c r="Y16"/>
  <c r="Z16" s="1"/>
  <c r="X17"/>
  <c r="AA17"/>
  <c r="C7"/>
  <c r="T7" s="1"/>
  <c r="Y3"/>
  <c r="Z3" s="1"/>
  <c r="Y4"/>
  <c r="Z4" s="1"/>
  <c r="Y5"/>
  <c r="Z5" s="1"/>
  <c r="Y6"/>
  <c r="Z6" s="1"/>
  <c r="Y7"/>
  <c r="Z7" s="1"/>
  <c r="B7"/>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B6" l="1"/>
  <c r="S7"/>
  <c r="F7"/>
  <c r="F6" s="1"/>
  <c r="AB3"/>
  <c r="AB4"/>
  <c r="AB5"/>
  <c r="AB6"/>
  <c r="AB7"/>
  <c r="E7"/>
  <c r="AA3"/>
  <c r="AA4"/>
  <c r="AA5"/>
  <c r="AA6"/>
  <c r="AA7"/>
  <c r="C6"/>
  <c r="D6" s="1"/>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E6" l="1"/>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A8"/>
  <c r="A9"/>
  <c r="A10"/>
  <c r="E10" s="1"/>
  <c r="A11"/>
  <c r="E11" s="1"/>
  <c r="A12"/>
  <c r="E12" s="1"/>
  <c r="A13"/>
  <c r="E13" s="1"/>
  <c r="A6"/>
  <c r="Q25" i="40" l="1"/>
  <c r="Z25" s="1"/>
  <c r="D94"/>
  <c r="E94" s="1"/>
  <c r="F25"/>
  <c r="AA25" s="1"/>
  <c r="Q29" i="39"/>
  <c r="Z29" s="1"/>
  <c r="D103"/>
  <c r="E103" s="1"/>
  <c r="F29"/>
  <c r="AA29" s="1"/>
  <c r="Q18" i="36"/>
  <c r="Z18" s="1"/>
  <c r="D66"/>
  <c r="E66" s="1"/>
  <c r="F66" s="1"/>
  <c r="H18"/>
  <c r="AB18" s="1"/>
  <c r="F18"/>
  <c r="AA18" s="1"/>
  <c r="C18"/>
  <c r="Q18" i="35"/>
  <c r="Z18" s="1"/>
  <c r="D68"/>
  <c r="E68" s="1"/>
  <c r="F18"/>
  <c r="AA18" s="1"/>
  <c r="C18"/>
  <c r="Z21" i="37"/>
  <c r="Q21"/>
  <c r="D77"/>
  <c r="E77" s="1"/>
  <c r="C21"/>
  <c r="Z21" i="34"/>
  <c r="Q21"/>
  <c r="D84"/>
  <c r="E84" s="1"/>
  <c r="F21"/>
  <c r="AA21" s="1"/>
  <c r="C21"/>
  <c r="Q21" i="33"/>
  <c r="Z21" s="1"/>
  <c r="D83"/>
  <c r="E83" s="1"/>
  <c r="C21"/>
  <c r="C21" i="21"/>
  <c r="Z21"/>
  <c r="Q21"/>
  <c r="H19"/>
  <c r="D83"/>
  <c r="F21" s="1"/>
  <c r="AA21" s="1"/>
  <c r="D81"/>
  <c r="G20" i="20"/>
  <c r="B86" i="43" s="1"/>
  <c r="C22" i="20"/>
  <c r="AO13" i="1"/>
  <c r="AO12"/>
  <c r="AO10"/>
  <c r="AO11"/>
  <c r="B11" i="70" l="1"/>
  <c r="B10"/>
  <c r="B13"/>
  <c r="B12"/>
  <c r="B66" i="43"/>
  <c r="B75"/>
  <c r="B55"/>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I2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10" i="1"/>
  <c r="F11"/>
  <c r="F12"/>
  <c r="F13"/>
  <c r="D6"/>
  <c r="D9"/>
  <c r="D10"/>
  <c r="D11"/>
  <c r="D12"/>
  <c r="D13"/>
  <c r="G13" s="1"/>
  <c r="D7"/>
  <c r="D8"/>
  <c r="A7"/>
  <c r="B7" s="1"/>
  <c r="E7" s="1"/>
  <c r="A8"/>
  <c r="B8" s="1"/>
  <c r="E8" s="1"/>
  <c r="A9"/>
  <c r="A10"/>
  <c r="A11"/>
  <c r="A12"/>
  <c r="A13"/>
  <c r="B13" s="1"/>
  <c r="E13" s="1"/>
  <c r="A6"/>
  <c r="B11"/>
  <c r="E11" s="1"/>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AX111"/>
  <c r="AW111"/>
  <c r="AV111"/>
  <c r="AC111"/>
  <c r="H111"/>
  <c r="BT110"/>
  <c r="BS110"/>
  <c r="BR110"/>
  <c r="BQ110"/>
  <c r="BP110"/>
  <c r="BO110"/>
  <c r="BN110"/>
  <c r="BM110"/>
  <c r="BL110"/>
  <c r="BK110"/>
  <c r="BJ110"/>
  <c r="BI110"/>
  <c r="BH110"/>
  <c r="BG110"/>
  <c r="BF110"/>
  <c r="BE110"/>
  <c r="BD110"/>
  <c r="BC110"/>
  <c r="BB110"/>
  <c r="AX110"/>
  <c r="AW110"/>
  <c r="AV110"/>
  <c r="AC110"/>
  <c r="H110"/>
  <c r="BT109"/>
  <c r="BS109"/>
  <c r="BR109"/>
  <c r="BQ109"/>
  <c r="BP109"/>
  <c r="BO109"/>
  <c r="BN109"/>
  <c r="BM109"/>
  <c r="BL109"/>
  <c r="BK109"/>
  <c r="BJ109"/>
  <c r="BI109"/>
  <c r="BH109"/>
  <c r="BG109"/>
  <c r="BF109"/>
  <c r="BE109"/>
  <c r="BD109"/>
  <c r="BC109"/>
  <c r="BB109"/>
  <c r="BA109" s="1"/>
  <c r="AX109"/>
  <c r="AW109"/>
  <c r="AV109"/>
  <c r="AC109"/>
  <c r="H109"/>
  <c r="BT108"/>
  <c r="BS108"/>
  <c r="BR108"/>
  <c r="BQ108"/>
  <c r="BP108"/>
  <c r="BO108"/>
  <c r="BN108"/>
  <c r="BL108" s="1"/>
  <c r="BM108"/>
  <c r="BK108"/>
  <c r="BJ108"/>
  <c r="BI108"/>
  <c r="BH108"/>
  <c r="BG108"/>
  <c r="BF108"/>
  <c r="BE108"/>
  <c r="BD108"/>
  <c r="BC108"/>
  <c r="BB108"/>
  <c r="AX108"/>
  <c r="AW108"/>
  <c r="AV108"/>
  <c r="AC108"/>
  <c r="H108"/>
  <c r="G108" s="1"/>
  <c r="BT107"/>
  <c r="BS107"/>
  <c r="BR107"/>
  <c r="BQ107"/>
  <c r="BP107"/>
  <c r="BO107"/>
  <c r="BN107"/>
  <c r="BM107"/>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AX106"/>
  <c r="AW106"/>
  <c r="AV106"/>
  <c r="AC106"/>
  <c r="H106"/>
  <c r="G106"/>
  <c r="BT105"/>
  <c r="BS105"/>
  <c r="BR105"/>
  <c r="BQ105"/>
  <c r="BP105"/>
  <c r="BO105"/>
  <c r="BN105"/>
  <c r="BM105"/>
  <c r="BK105"/>
  <c r="BJ105"/>
  <c r="BI105"/>
  <c r="BH105"/>
  <c r="BG105"/>
  <c r="BF105"/>
  <c r="BE105"/>
  <c r="BD105"/>
  <c r="BC105"/>
  <c r="BB105"/>
  <c r="AX105"/>
  <c r="AW105"/>
  <c r="AV105"/>
  <c r="AC105"/>
  <c r="H105"/>
  <c r="G105" s="1"/>
  <c r="BT104"/>
  <c r="BS104"/>
  <c r="BR104"/>
  <c r="BQ104"/>
  <c r="BP104"/>
  <c r="BO104"/>
  <c r="BN104"/>
  <c r="BM104"/>
  <c r="BK104"/>
  <c r="BJ104"/>
  <c r="BI104"/>
  <c r="BH104"/>
  <c r="BG104"/>
  <c r="BF104"/>
  <c r="BE104"/>
  <c r="BD104"/>
  <c r="BC104"/>
  <c r="BA104" s="1"/>
  <c r="BB104"/>
  <c r="AX104"/>
  <c r="AW104"/>
  <c r="AV104"/>
  <c r="AC104"/>
  <c r="H104"/>
  <c r="BT103"/>
  <c r="BS103"/>
  <c r="BR103"/>
  <c r="BQ103"/>
  <c r="BP103"/>
  <c r="BO103"/>
  <c r="BN103"/>
  <c r="BM103"/>
  <c r="BL103"/>
  <c r="BK103"/>
  <c r="BJ103"/>
  <c r="BI103"/>
  <c r="BH103"/>
  <c r="BG103"/>
  <c r="BF103"/>
  <c r="BE103"/>
  <c r="BD103"/>
  <c r="BC103"/>
  <c r="BB103"/>
  <c r="AX103"/>
  <c r="AW103"/>
  <c r="AV103"/>
  <c r="AC103"/>
  <c r="H103"/>
  <c r="BT102"/>
  <c r="BS102"/>
  <c r="BR102"/>
  <c r="BQ102"/>
  <c r="BP102"/>
  <c r="BO102"/>
  <c r="BN102"/>
  <c r="BM102"/>
  <c r="BK102"/>
  <c r="BJ102"/>
  <c r="BI102"/>
  <c r="BH102"/>
  <c r="BG102"/>
  <c r="BF102"/>
  <c r="BE102"/>
  <c r="BD102"/>
  <c r="BC102"/>
  <c r="BB102"/>
  <c r="AX102"/>
  <c r="AW102"/>
  <c r="AV102"/>
  <c r="AC102"/>
  <c r="H102"/>
  <c r="G102" s="1"/>
  <c r="BT101"/>
  <c r="BS101"/>
  <c r="BR101"/>
  <c r="BQ101"/>
  <c r="BP101"/>
  <c r="BO101"/>
  <c r="BN101"/>
  <c r="BM101"/>
  <c r="BK101"/>
  <c r="BJ101"/>
  <c r="BI101"/>
  <c r="BH101"/>
  <c r="BG101"/>
  <c r="BF101"/>
  <c r="BE101"/>
  <c r="BD101"/>
  <c r="BC101"/>
  <c r="BB101"/>
  <c r="AX101"/>
  <c r="AW101"/>
  <c r="AV101"/>
  <c r="AC101"/>
  <c r="H101"/>
  <c r="G101"/>
  <c r="BT100"/>
  <c r="BS100"/>
  <c r="BR100"/>
  <c r="BQ100"/>
  <c r="BP100"/>
  <c r="BO100"/>
  <c r="BN100"/>
  <c r="BM100"/>
  <c r="BL100" s="1"/>
  <c r="BK100"/>
  <c r="BJ100"/>
  <c r="BI100"/>
  <c r="BH100"/>
  <c r="BG100"/>
  <c r="BF100"/>
  <c r="BE100"/>
  <c r="BD100"/>
  <c r="BC100"/>
  <c r="BB100"/>
  <c r="AX100"/>
  <c r="AW100"/>
  <c r="AV100"/>
  <c r="AC100"/>
  <c r="H100"/>
  <c r="BT99"/>
  <c r="BS99"/>
  <c r="BR99"/>
  <c r="BQ99"/>
  <c r="BP99"/>
  <c r="BO99"/>
  <c r="BN99"/>
  <c r="BM99"/>
  <c r="BL99"/>
  <c r="BK99"/>
  <c r="BJ99"/>
  <c r="BI99"/>
  <c r="BH99"/>
  <c r="BG99"/>
  <c r="BF99"/>
  <c r="BE99"/>
  <c r="BD99"/>
  <c r="BC99"/>
  <c r="BB99"/>
  <c r="AX99"/>
  <c r="AW99"/>
  <c r="AV99"/>
  <c r="AC99"/>
  <c r="H99"/>
  <c r="BT98"/>
  <c r="BS98"/>
  <c r="BR98"/>
  <c r="BQ98"/>
  <c r="BP98"/>
  <c r="BO98"/>
  <c r="BN98"/>
  <c r="BM98"/>
  <c r="BK98"/>
  <c r="BJ98"/>
  <c r="BI98"/>
  <c r="BH98"/>
  <c r="BG98"/>
  <c r="BF98"/>
  <c r="BE98"/>
  <c r="BD98"/>
  <c r="BC98"/>
  <c r="BA98" s="1"/>
  <c r="BB98"/>
  <c r="AX98"/>
  <c r="AW98"/>
  <c r="AV98"/>
  <c r="AC98"/>
  <c r="H98"/>
  <c r="G98" s="1"/>
  <c r="BT97"/>
  <c r="BS97"/>
  <c r="BR97"/>
  <c r="BQ97"/>
  <c r="BL97" s="1"/>
  <c r="BP97"/>
  <c r="BO97"/>
  <c r="BN97"/>
  <c r="BM97"/>
  <c r="BK97"/>
  <c r="BJ97"/>
  <c r="BI97"/>
  <c r="BH97"/>
  <c r="BG97"/>
  <c r="BF97"/>
  <c r="BE97"/>
  <c r="BD97"/>
  <c r="BC97"/>
  <c r="BB97"/>
  <c r="AX97"/>
  <c r="AW97"/>
  <c r="AV97"/>
  <c r="AC97"/>
  <c r="H97"/>
  <c r="G97" s="1"/>
  <c r="BT96"/>
  <c r="BS96"/>
  <c r="BR96"/>
  <c r="BQ96"/>
  <c r="BL96" s="1"/>
  <c r="BP96"/>
  <c r="BO96"/>
  <c r="BN96"/>
  <c r="BM96"/>
  <c r="BK96"/>
  <c r="BJ96"/>
  <c r="BI96"/>
  <c r="BH96"/>
  <c r="BG96"/>
  <c r="BF96"/>
  <c r="BE96"/>
  <c r="BD96"/>
  <c r="BC96"/>
  <c r="BB96"/>
  <c r="AX96"/>
  <c r="AW96"/>
  <c r="AV96"/>
  <c r="AC96"/>
  <c r="H96"/>
  <c r="G96" s="1"/>
  <c r="BT95"/>
  <c r="BS95"/>
  <c r="BR95"/>
  <c r="BQ95"/>
  <c r="BP95"/>
  <c r="BO95"/>
  <c r="BN95"/>
  <c r="BM95"/>
  <c r="BL95" s="1"/>
  <c r="BK95"/>
  <c r="BJ95"/>
  <c r="BI95"/>
  <c r="BH95"/>
  <c r="BG95"/>
  <c r="BF95"/>
  <c r="BE95"/>
  <c r="BD95"/>
  <c r="BC95"/>
  <c r="BB95"/>
  <c r="AX95"/>
  <c r="AW95"/>
  <c r="AV95"/>
  <c r="AC95"/>
  <c r="H95"/>
  <c r="G95" s="1"/>
  <c r="BT94"/>
  <c r="BS94"/>
  <c r="BR94"/>
  <c r="BQ94"/>
  <c r="BP94"/>
  <c r="BO94"/>
  <c r="BN94"/>
  <c r="BM94"/>
  <c r="BL94"/>
  <c r="BK94"/>
  <c r="BJ94"/>
  <c r="BI94"/>
  <c r="BH94"/>
  <c r="BG94"/>
  <c r="BF94"/>
  <c r="BE94"/>
  <c r="BD94"/>
  <c r="BC94"/>
  <c r="BB94"/>
  <c r="AX94"/>
  <c r="AW94"/>
  <c r="AV94"/>
  <c r="AC94"/>
  <c r="H94"/>
  <c r="G94" s="1"/>
  <c r="BT93"/>
  <c r="BS93"/>
  <c r="BR93"/>
  <c r="BQ93"/>
  <c r="BP93"/>
  <c r="BO93"/>
  <c r="BN93"/>
  <c r="BL93" s="1"/>
  <c r="BM93"/>
  <c r="BK93"/>
  <c r="BJ93"/>
  <c r="BI93"/>
  <c r="BH93"/>
  <c r="BG93"/>
  <c r="BF93"/>
  <c r="BE93"/>
  <c r="BD93"/>
  <c r="BC93"/>
  <c r="BB93"/>
  <c r="BA93" s="1"/>
  <c r="AX93"/>
  <c r="AW93"/>
  <c r="AV93"/>
  <c r="AC93"/>
  <c r="H93"/>
  <c r="G93" s="1"/>
  <c r="BT92"/>
  <c r="BS92"/>
  <c r="BR92"/>
  <c r="BQ92"/>
  <c r="BP92"/>
  <c r="BO92"/>
  <c r="BN92"/>
  <c r="BL92" s="1"/>
  <c r="BM92"/>
  <c r="BK92"/>
  <c r="BJ92"/>
  <c r="BI92"/>
  <c r="BH92"/>
  <c r="BG92"/>
  <c r="BF92"/>
  <c r="BE92"/>
  <c r="BD92"/>
  <c r="BC92"/>
  <c r="BB92"/>
  <c r="AX92"/>
  <c r="AW92"/>
  <c r="AV92"/>
  <c r="AC92"/>
  <c r="H92"/>
  <c r="G92" s="1"/>
  <c r="BT91"/>
  <c r="BS91"/>
  <c r="BR91"/>
  <c r="BQ91"/>
  <c r="BP91"/>
  <c r="BO91"/>
  <c r="BN91"/>
  <c r="BM91"/>
  <c r="BK91"/>
  <c r="BJ91"/>
  <c r="BI91"/>
  <c r="BH91"/>
  <c r="BG91"/>
  <c r="BF91"/>
  <c r="BE91"/>
  <c r="BD91"/>
  <c r="BC91"/>
  <c r="BB91"/>
  <c r="BA91" s="1"/>
  <c r="AX91"/>
  <c r="AW91"/>
  <c r="AV91"/>
  <c r="AC91"/>
  <c r="H91"/>
  <c r="G91" s="1"/>
  <c r="BT90"/>
  <c r="BS90"/>
  <c r="BR90"/>
  <c r="BQ90"/>
  <c r="BP90"/>
  <c r="BO90"/>
  <c r="BN90"/>
  <c r="BL90" s="1"/>
  <c r="BM90"/>
  <c r="BK90"/>
  <c r="BJ90"/>
  <c r="BI90"/>
  <c r="BH90"/>
  <c r="BG90"/>
  <c r="BF90"/>
  <c r="BE90"/>
  <c r="BD90"/>
  <c r="BC90"/>
  <c r="BB90"/>
  <c r="BA90" s="1"/>
  <c r="AX90"/>
  <c r="AW90"/>
  <c r="AV90"/>
  <c r="AC90"/>
  <c r="H90"/>
  <c r="G90"/>
  <c r="BT89"/>
  <c r="BS89"/>
  <c r="BR89"/>
  <c r="BQ89"/>
  <c r="BP89"/>
  <c r="BO89"/>
  <c r="BN89"/>
  <c r="BM89"/>
  <c r="BK89"/>
  <c r="BJ89"/>
  <c r="BI89"/>
  <c r="BH89"/>
  <c r="BG89"/>
  <c r="BF89"/>
  <c r="BE89"/>
  <c r="BD89"/>
  <c r="BC89"/>
  <c r="BB89"/>
  <c r="BA89" s="1"/>
  <c r="AX89"/>
  <c r="AW89"/>
  <c r="AV89"/>
  <c r="AC89"/>
  <c r="H89"/>
  <c r="G89" s="1"/>
  <c r="BT88"/>
  <c r="BS88"/>
  <c r="BR88"/>
  <c r="BQ88"/>
  <c r="BP88"/>
  <c r="BO88"/>
  <c r="BN88"/>
  <c r="BM88"/>
  <c r="BK88"/>
  <c r="BJ88"/>
  <c r="BI88"/>
  <c r="BH88"/>
  <c r="BG88"/>
  <c r="BF88"/>
  <c r="BE88"/>
  <c r="BD88"/>
  <c r="BC88"/>
  <c r="BB88"/>
  <c r="BA88"/>
  <c r="AX88"/>
  <c r="AW88"/>
  <c r="AV88"/>
  <c r="AC88"/>
  <c r="H88"/>
  <c r="G88" s="1"/>
  <c r="BT87"/>
  <c r="BS87"/>
  <c r="BR87"/>
  <c r="BQ87"/>
  <c r="BP87"/>
  <c r="BO87"/>
  <c r="BN87"/>
  <c r="BL87" s="1"/>
  <c r="BM87"/>
  <c r="BK87"/>
  <c r="BJ87"/>
  <c r="BI87"/>
  <c r="BH87"/>
  <c r="BG87"/>
  <c r="BF87"/>
  <c r="BE87"/>
  <c r="BD87"/>
  <c r="BC87"/>
  <c r="BB87"/>
  <c r="AX87"/>
  <c r="AW87"/>
  <c r="AV87"/>
  <c r="AC87"/>
  <c r="H87"/>
  <c r="G87" s="1"/>
  <c r="BT86"/>
  <c r="BS86"/>
  <c r="BR86"/>
  <c r="BQ86"/>
  <c r="BP86"/>
  <c r="BO86"/>
  <c r="BN86"/>
  <c r="BM86"/>
  <c r="BK86"/>
  <c r="BJ86"/>
  <c r="BI86"/>
  <c r="BH86"/>
  <c r="BG86"/>
  <c r="BF86"/>
  <c r="BE86"/>
  <c r="BD86"/>
  <c r="BC86"/>
  <c r="BB86"/>
  <c r="BA86" s="1"/>
  <c r="AX86"/>
  <c r="AW86"/>
  <c r="AV86"/>
  <c r="AC86"/>
  <c r="H86"/>
  <c r="G86" s="1"/>
  <c r="BT85"/>
  <c r="BS85"/>
  <c r="BR85"/>
  <c r="BQ85"/>
  <c r="BP85"/>
  <c r="BO85"/>
  <c r="BN85"/>
  <c r="BM85"/>
  <c r="BK85"/>
  <c r="BJ85"/>
  <c r="BI85"/>
  <c r="BH85"/>
  <c r="BG85"/>
  <c r="BF85"/>
  <c r="BE85"/>
  <c r="BD85"/>
  <c r="BC85"/>
  <c r="BB85"/>
  <c r="AX85"/>
  <c r="AW85"/>
  <c r="AV85"/>
  <c r="AC85"/>
  <c r="H85"/>
  <c r="G85" s="1"/>
  <c r="BT84"/>
  <c r="BS84"/>
  <c r="BR84"/>
  <c r="BQ84"/>
  <c r="BP84"/>
  <c r="BO84"/>
  <c r="BN84"/>
  <c r="BM84"/>
  <c r="BK84"/>
  <c r="BJ84"/>
  <c r="BI84"/>
  <c r="BH84"/>
  <c r="BG84"/>
  <c r="BF84"/>
  <c r="BE84"/>
  <c r="BD84"/>
  <c r="BC84"/>
  <c r="BB84"/>
  <c r="BA84" s="1"/>
  <c r="AX84"/>
  <c r="AW84"/>
  <c r="AV84"/>
  <c r="AC84"/>
  <c r="H84"/>
  <c r="G84" s="1"/>
  <c r="BT83"/>
  <c r="BS83"/>
  <c r="BR83"/>
  <c r="BQ83"/>
  <c r="BP83"/>
  <c r="BO83"/>
  <c r="BN83"/>
  <c r="BL83" s="1"/>
  <c r="BM83"/>
  <c r="BK83"/>
  <c r="BJ83"/>
  <c r="BI83"/>
  <c r="BH83"/>
  <c r="BG83"/>
  <c r="BF83"/>
  <c r="BE83"/>
  <c r="BD83"/>
  <c r="BC83"/>
  <c r="BB83"/>
  <c r="BA83" s="1"/>
  <c r="AX83"/>
  <c r="AW83"/>
  <c r="AV83"/>
  <c r="AC83"/>
  <c r="H83"/>
  <c r="G83" s="1"/>
  <c r="BT82"/>
  <c r="BS82"/>
  <c r="BR82"/>
  <c r="BQ82"/>
  <c r="BP82"/>
  <c r="BO82"/>
  <c r="BN82"/>
  <c r="BL82" s="1"/>
  <c r="BM82"/>
  <c r="BK82"/>
  <c r="BJ82"/>
  <c r="BI82"/>
  <c r="BH82"/>
  <c r="BG82"/>
  <c r="BF82"/>
  <c r="BE82"/>
  <c r="BD82"/>
  <c r="BC82"/>
  <c r="BB82"/>
  <c r="AX82"/>
  <c r="AW82"/>
  <c r="AV82"/>
  <c r="AC82"/>
  <c r="H82"/>
  <c r="G82" s="1"/>
  <c r="BT81"/>
  <c r="BS81"/>
  <c r="BR81"/>
  <c r="BQ81"/>
  <c r="BP81"/>
  <c r="BO81"/>
  <c r="BN81"/>
  <c r="BL81" s="1"/>
  <c r="BM81"/>
  <c r="BK81"/>
  <c r="BJ81"/>
  <c r="BI81"/>
  <c r="BH81"/>
  <c r="BG81"/>
  <c r="BF81"/>
  <c r="BE81"/>
  <c r="BD81"/>
  <c r="BC81"/>
  <c r="BB81"/>
  <c r="BA81" s="1"/>
  <c r="AX81"/>
  <c r="AW81"/>
  <c r="AV81"/>
  <c r="AC81"/>
  <c r="H81"/>
  <c r="G81" s="1"/>
  <c r="BT80"/>
  <c r="BS80"/>
  <c r="BR80"/>
  <c r="BQ80"/>
  <c r="BP80"/>
  <c r="BO80"/>
  <c r="BN80"/>
  <c r="BM80"/>
  <c r="BK80"/>
  <c r="BJ80"/>
  <c r="BI80"/>
  <c r="BH80"/>
  <c r="BG80"/>
  <c r="BF80"/>
  <c r="BE80"/>
  <c r="BD80"/>
  <c r="BC80"/>
  <c r="BB80"/>
  <c r="BA80"/>
  <c r="AX80"/>
  <c r="AW80"/>
  <c r="AV80"/>
  <c r="AC80"/>
  <c r="H80"/>
  <c r="G80" s="1"/>
  <c r="BT79"/>
  <c r="BS79"/>
  <c r="BR79"/>
  <c r="BQ79"/>
  <c r="BP79"/>
  <c r="BO79"/>
  <c r="BN79"/>
  <c r="BL79" s="1"/>
  <c r="BM79"/>
  <c r="BK79"/>
  <c r="BJ79"/>
  <c r="BI79"/>
  <c r="BH79"/>
  <c r="BG79"/>
  <c r="BF79"/>
  <c r="BE79"/>
  <c r="BD79"/>
  <c r="BC79"/>
  <c r="BB79"/>
  <c r="AX79"/>
  <c r="AW79"/>
  <c r="AV79"/>
  <c r="AC79"/>
  <c r="H79"/>
  <c r="G79" s="1"/>
  <c r="BT78"/>
  <c r="BS78"/>
  <c r="BR78"/>
  <c r="BQ78"/>
  <c r="BP78"/>
  <c r="BO78"/>
  <c r="BN78"/>
  <c r="BL78" s="1"/>
  <c r="BM78"/>
  <c r="BK78"/>
  <c r="BJ78"/>
  <c r="BI78"/>
  <c r="BH78"/>
  <c r="BG78"/>
  <c r="BF78"/>
  <c r="BE78"/>
  <c r="BD78"/>
  <c r="BC78"/>
  <c r="BB78"/>
  <c r="BA78" s="1"/>
  <c r="AX78"/>
  <c r="AW78"/>
  <c r="AV78"/>
  <c r="AC78"/>
  <c r="H78"/>
  <c r="G78" s="1"/>
  <c r="BT77"/>
  <c r="BS77"/>
  <c r="BR77"/>
  <c r="BQ77"/>
  <c r="BP77"/>
  <c r="BO77"/>
  <c r="BN77"/>
  <c r="BM77"/>
  <c r="BK77"/>
  <c r="BJ77"/>
  <c r="BI77"/>
  <c r="BH77"/>
  <c r="BG77"/>
  <c r="BF77"/>
  <c r="BE77"/>
  <c r="BD77"/>
  <c r="BC77"/>
  <c r="BB77"/>
  <c r="BA77"/>
  <c r="AX77"/>
  <c r="AW77"/>
  <c r="AV77"/>
  <c r="AC77"/>
  <c r="H77"/>
  <c r="G77"/>
  <c r="BT76"/>
  <c r="BS76"/>
  <c r="BR76"/>
  <c r="BQ76"/>
  <c r="BP76"/>
  <c r="BO76"/>
  <c r="BN76"/>
  <c r="BM76"/>
  <c r="BK76"/>
  <c r="BJ76"/>
  <c r="BI76"/>
  <c r="BH76"/>
  <c r="BG76"/>
  <c r="BF76"/>
  <c r="BE76"/>
  <c r="BD76"/>
  <c r="BC76"/>
  <c r="BB76"/>
  <c r="BA76" s="1"/>
  <c r="AX76"/>
  <c r="AW76"/>
  <c r="AV76"/>
  <c r="AC76"/>
  <c r="H76"/>
  <c r="G76" s="1"/>
  <c r="BT75"/>
  <c r="BS75"/>
  <c r="BR75"/>
  <c r="BQ75"/>
  <c r="BP75"/>
  <c r="BO75"/>
  <c r="BN75"/>
  <c r="BL75" s="1"/>
  <c r="BM75"/>
  <c r="BK75"/>
  <c r="BJ75"/>
  <c r="BI75"/>
  <c r="BH75"/>
  <c r="BG75"/>
  <c r="BF75"/>
  <c r="BE75"/>
  <c r="BD75"/>
  <c r="BC75"/>
  <c r="BB75"/>
  <c r="AX75"/>
  <c r="AW75"/>
  <c r="AV75"/>
  <c r="AC75"/>
  <c r="H75"/>
  <c r="G75" s="1"/>
  <c r="BT74"/>
  <c r="BS74"/>
  <c r="BR74"/>
  <c r="BQ74"/>
  <c r="BP74"/>
  <c r="BO74"/>
  <c r="BN74"/>
  <c r="BL74" s="1"/>
  <c r="BM74"/>
  <c r="BK74"/>
  <c r="BJ74"/>
  <c r="BI74"/>
  <c r="BH74"/>
  <c r="BG74"/>
  <c r="BF74"/>
  <c r="BE74"/>
  <c r="BD74"/>
  <c r="BC74"/>
  <c r="BB74"/>
  <c r="BA74" s="1"/>
  <c r="AX74"/>
  <c r="AW74"/>
  <c r="AV74"/>
  <c r="AC74"/>
  <c r="H74"/>
  <c r="G74" s="1"/>
  <c r="BT73"/>
  <c r="BS73"/>
  <c r="BR73"/>
  <c r="BQ73"/>
  <c r="BP73"/>
  <c r="BO73"/>
  <c r="BN73"/>
  <c r="BL73" s="1"/>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s="1"/>
  <c r="AX72"/>
  <c r="AW72"/>
  <c r="AV72"/>
  <c r="AC72"/>
  <c r="H72"/>
  <c r="G72" s="1"/>
  <c r="BT71"/>
  <c r="BS71"/>
  <c r="BR71"/>
  <c r="BQ71"/>
  <c r="BP71"/>
  <c r="BO71"/>
  <c r="BN71"/>
  <c r="BM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G70" s="1"/>
  <c r="BT69"/>
  <c r="BS69"/>
  <c r="BR69"/>
  <c r="BQ69"/>
  <c r="BP69"/>
  <c r="BO69"/>
  <c r="BN69"/>
  <c r="BL69" s="1"/>
  <c r="BM69"/>
  <c r="BK69"/>
  <c r="BJ69"/>
  <c r="BI69"/>
  <c r="BH69"/>
  <c r="BG69"/>
  <c r="BF69"/>
  <c r="BE69"/>
  <c r="BD69"/>
  <c r="BC69"/>
  <c r="BB69"/>
  <c r="BA69" s="1"/>
  <c r="AX69"/>
  <c r="AW69"/>
  <c r="AV69"/>
  <c r="AC69"/>
  <c r="H69"/>
  <c r="G69" s="1"/>
  <c r="BT68"/>
  <c r="BS68"/>
  <c r="BR68"/>
  <c r="BQ68"/>
  <c r="BP68"/>
  <c r="BO68"/>
  <c r="BN68"/>
  <c r="BL68" s="1"/>
  <c r="BM68"/>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G67" s="1"/>
  <c r="BT66"/>
  <c r="BS66"/>
  <c r="BR66"/>
  <c r="BQ66"/>
  <c r="BP66"/>
  <c r="BO66"/>
  <c r="BN66"/>
  <c r="BM66"/>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AX65"/>
  <c r="AW65"/>
  <c r="AV65"/>
  <c r="AC65"/>
  <c r="H65"/>
  <c r="G65" s="1"/>
  <c r="BT64"/>
  <c r="BS64"/>
  <c r="BR64"/>
  <c r="BQ64"/>
  <c r="BP64"/>
  <c r="BO64"/>
  <c r="BN64"/>
  <c r="BL64" s="1"/>
  <c r="BM64"/>
  <c r="BK64"/>
  <c r="BJ64"/>
  <c r="BI64"/>
  <c r="BH64"/>
  <c r="BG64"/>
  <c r="BF64"/>
  <c r="BE64"/>
  <c r="BD64"/>
  <c r="BC64"/>
  <c r="BB64"/>
  <c r="BA64" s="1"/>
  <c r="AX64"/>
  <c r="AW64"/>
  <c r="AV64"/>
  <c r="AC64"/>
  <c r="H64"/>
  <c r="G64" s="1"/>
  <c r="BT63"/>
  <c r="BS63"/>
  <c r="BR63"/>
  <c r="BQ63"/>
  <c r="BP63"/>
  <c r="BO63"/>
  <c r="BN63"/>
  <c r="BM63"/>
  <c r="BK63"/>
  <c r="BJ63"/>
  <c r="BI63"/>
  <c r="BH63"/>
  <c r="BG63"/>
  <c r="BF63"/>
  <c r="BE63"/>
  <c r="BD63"/>
  <c r="BC63"/>
  <c r="BB63"/>
  <c r="BA63"/>
  <c r="AX63"/>
  <c r="AW63"/>
  <c r="AV63"/>
  <c r="AC63"/>
  <c r="H63"/>
  <c r="G63"/>
  <c r="BT62"/>
  <c r="BS62"/>
  <c r="BR62"/>
  <c r="BQ62"/>
  <c r="BP62"/>
  <c r="BO62"/>
  <c r="BN62"/>
  <c r="BM62"/>
  <c r="BK62"/>
  <c r="BJ62"/>
  <c r="BI62"/>
  <c r="BH62"/>
  <c r="BG62"/>
  <c r="BF62"/>
  <c r="BE62"/>
  <c r="BD62"/>
  <c r="BC62"/>
  <c r="BB62"/>
  <c r="BA62" s="1"/>
  <c r="AX62"/>
  <c r="AW62"/>
  <c r="AV62"/>
  <c r="AC62"/>
  <c r="H62"/>
  <c r="G62" s="1"/>
  <c r="BT61"/>
  <c r="BS61"/>
  <c r="BR61"/>
  <c r="BQ61"/>
  <c r="BP61"/>
  <c r="BO61"/>
  <c r="BN61"/>
  <c r="BL61" s="1"/>
  <c r="BM61"/>
  <c r="BK61"/>
  <c r="BJ61"/>
  <c r="BI61"/>
  <c r="BH61"/>
  <c r="BG61"/>
  <c r="BF61"/>
  <c r="BE61"/>
  <c r="BD61"/>
  <c r="BC61"/>
  <c r="BB61"/>
  <c r="AX61"/>
  <c r="AW61"/>
  <c r="AV61"/>
  <c r="AC61"/>
  <c r="H61"/>
  <c r="G61" s="1"/>
  <c r="BT60"/>
  <c r="BS60"/>
  <c r="BR60"/>
  <c r="BQ60"/>
  <c r="BP60"/>
  <c r="BO60"/>
  <c r="BN60"/>
  <c r="BL60" s="1"/>
  <c r="BM60"/>
  <c r="BK60"/>
  <c r="BJ60"/>
  <c r="BI60"/>
  <c r="BH60"/>
  <c r="BG60"/>
  <c r="BF60"/>
  <c r="BE60"/>
  <c r="BD60"/>
  <c r="BC60"/>
  <c r="BB60"/>
  <c r="BA60" s="1"/>
  <c r="AX60"/>
  <c r="AW60"/>
  <c r="AV60"/>
  <c r="AC60"/>
  <c r="H60"/>
  <c r="G60" s="1"/>
  <c r="BT59"/>
  <c r="BS59"/>
  <c r="BR59"/>
  <c r="BQ59"/>
  <c r="BP59"/>
  <c r="BO59"/>
  <c r="BN59"/>
  <c r="BM59"/>
  <c r="BK59"/>
  <c r="BJ59"/>
  <c r="BI59"/>
  <c r="BH59"/>
  <c r="BG59"/>
  <c r="BF59"/>
  <c r="BE59"/>
  <c r="BD59"/>
  <c r="BC59"/>
  <c r="BB59"/>
  <c r="BA59"/>
  <c r="AX59"/>
  <c r="AW59"/>
  <c r="AV59"/>
  <c r="AC59"/>
  <c r="H59"/>
  <c r="G59"/>
  <c r="BT58"/>
  <c r="BS58"/>
  <c r="BR58"/>
  <c r="BQ58"/>
  <c r="BP58"/>
  <c r="BO58"/>
  <c r="BN58"/>
  <c r="BM58"/>
  <c r="BK58"/>
  <c r="BJ58"/>
  <c r="BI58"/>
  <c r="BH58"/>
  <c r="BG58"/>
  <c r="BF58"/>
  <c r="BE58"/>
  <c r="BD58"/>
  <c r="BC58"/>
  <c r="BB58"/>
  <c r="BA58" s="1"/>
  <c r="AX58"/>
  <c r="AW58"/>
  <c r="AV58"/>
  <c r="AC58"/>
  <c r="H58"/>
  <c r="G58" s="1"/>
  <c r="BT57"/>
  <c r="BS57"/>
  <c r="BR57"/>
  <c r="BQ57"/>
  <c r="BP57"/>
  <c r="BO57"/>
  <c r="BN57"/>
  <c r="BM57"/>
  <c r="BK57"/>
  <c r="BJ57"/>
  <c r="BI57"/>
  <c r="BH57"/>
  <c r="BG57"/>
  <c r="BF57"/>
  <c r="BE57"/>
  <c r="BD57"/>
  <c r="BC57"/>
  <c r="BB57"/>
  <c r="BA57"/>
  <c r="AX57"/>
  <c r="AW57"/>
  <c r="AV57"/>
  <c r="AC57"/>
  <c r="H57"/>
  <c r="G57" s="1"/>
  <c r="BT56"/>
  <c r="BS56"/>
  <c r="BR56"/>
  <c r="BQ56"/>
  <c r="BP56"/>
  <c r="BO56"/>
  <c r="BN56"/>
  <c r="BL56" s="1"/>
  <c r="BM56"/>
  <c r="BK56"/>
  <c r="BJ56"/>
  <c r="BI56"/>
  <c r="BH56"/>
  <c r="BG56"/>
  <c r="BF56"/>
  <c r="BE56"/>
  <c r="BD56"/>
  <c r="BC56"/>
  <c r="BB56"/>
  <c r="AX56"/>
  <c r="AW56"/>
  <c r="AV56"/>
  <c r="AC56"/>
  <c r="H56"/>
  <c r="G56" s="1"/>
  <c r="BT55"/>
  <c r="BS55"/>
  <c r="BR55"/>
  <c r="BQ55"/>
  <c r="BP55"/>
  <c r="BO55"/>
  <c r="BN55"/>
  <c r="BM55"/>
  <c r="BK55"/>
  <c r="BJ55"/>
  <c r="BI55"/>
  <c r="BH55"/>
  <c r="BG55"/>
  <c r="BF55"/>
  <c r="BE55"/>
  <c r="BD55"/>
  <c r="BC55"/>
  <c r="BB55"/>
  <c r="AX55"/>
  <c r="AW55"/>
  <c r="AV55"/>
  <c r="AC55"/>
  <c r="H55"/>
  <c r="G55" s="1"/>
  <c r="BT54"/>
  <c r="BS54"/>
  <c r="BR54"/>
  <c r="BQ54"/>
  <c r="BP54"/>
  <c r="BO54"/>
  <c r="BN54"/>
  <c r="BM54"/>
  <c r="BK54"/>
  <c r="BJ54"/>
  <c r="BI54"/>
  <c r="BH54"/>
  <c r="BG54"/>
  <c r="BF54"/>
  <c r="BE54"/>
  <c r="BD54"/>
  <c r="BC54"/>
  <c r="BB54"/>
  <c r="BA54" s="1"/>
  <c r="AX54"/>
  <c r="AW54"/>
  <c r="AV54"/>
  <c r="AC54"/>
  <c r="H54"/>
  <c r="G54" s="1"/>
  <c r="BT53"/>
  <c r="BS53"/>
  <c r="BR53"/>
  <c r="BQ53"/>
  <c r="BP53"/>
  <c r="BO53"/>
  <c r="BN53"/>
  <c r="BL53" s="1"/>
  <c r="BM53"/>
  <c r="BK53"/>
  <c r="BJ53"/>
  <c r="BI53"/>
  <c r="BH53"/>
  <c r="BG53"/>
  <c r="BF53"/>
  <c r="BE53"/>
  <c r="BD53"/>
  <c r="BC53"/>
  <c r="BB53"/>
  <c r="BA53" s="1"/>
  <c r="AX53"/>
  <c r="AW53"/>
  <c r="AV53"/>
  <c r="AC53"/>
  <c r="H53"/>
  <c r="G53" s="1"/>
  <c r="BT52"/>
  <c r="BS52"/>
  <c r="BR52"/>
  <c r="BQ52"/>
  <c r="BP52"/>
  <c r="BO52"/>
  <c r="BN52"/>
  <c r="BL52" s="1"/>
  <c r="BM52"/>
  <c r="BK52"/>
  <c r="BJ52"/>
  <c r="BI52"/>
  <c r="BH52"/>
  <c r="BG52"/>
  <c r="BF52"/>
  <c r="BE52"/>
  <c r="BD52"/>
  <c r="BC52"/>
  <c r="BB52"/>
  <c r="AX52"/>
  <c r="AW52"/>
  <c r="AV52"/>
  <c r="AC52"/>
  <c r="H52"/>
  <c r="G52" s="1"/>
  <c r="BT51"/>
  <c r="BS51"/>
  <c r="BR51"/>
  <c r="BQ51"/>
  <c r="BP51"/>
  <c r="BO51"/>
  <c r="BN51"/>
  <c r="BM51"/>
  <c r="BK51"/>
  <c r="BJ51"/>
  <c r="BI51"/>
  <c r="BH51"/>
  <c r="BG51"/>
  <c r="BF51"/>
  <c r="BE51"/>
  <c r="BD51"/>
  <c r="BC51"/>
  <c r="BB51"/>
  <c r="AX51"/>
  <c r="AW51"/>
  <c r="AV51"/>
  <c r="AC51"/>
  <c r="H51"/>
  <c r="G51" s="1"/>
  <c r="BT50"/>
  <c r="BS50"/>
  <c r="BR50"/>
  <c r="BQ50"/>
  <c r="BP50"/>
  <c r="BO50"/>
  <c r="BN50"/>
  <c r="BM50"/>
  <c r="BK50"/>
  <c r="BJ50"/>
  <c r="BI50"/>
  <c r="BH50"/>
  <c r="BG50"/>
  <c r="BF50"/>
  <c r="BE50"/>
  <c r="BD50"/>
  <c r="BC50"/>
  <c r="BB50"/>
  <c r="BA50" s="1"/>
  <c r="AX50"/>
  <c r="AW50"/>
  <c r="AV50"/>
  <c r="AC50"/>
  <c r="H50"/>
  <c r="G50" s="1"/>
  <c r="BT49"/>
  <c r="BS49"/>
  <c r="BR49"/>
  <c r="BQ49"/>
  <c r="BP49"/>
  <c r="BO49"/>
  <c r="BN49"/>
  <c r="BM49"/>
  <c r="BK49"/>
  <c r="BJ49"/>
  <c r="BI49"/>
  <c r="BH49"/>
  <c r="BG49"/>
  <c r="BF49"/>
  <c r="BE49"/>
  <c r="BD49"/>
  <c r="BC49"/>
  <c r="BB49"/>
  <c r="AX49"/>
  <c r="AW49"/>
  <c r="AV49"/>
  <c r="AC49"/>
  <c r="H49"/>
  <c r="G49" s="1"/>
  <c r="BT48"/>
  <c r="BS48"/>
  <c r="BR48"/>
  <c r="BQ48"/>
  <c r="BP48"/>
  <c r="BO48"/>
  <c r="BN48"/>
  <c r="BL48" s="1"/>
  <c r="BM48"/>
  <c r="BK48"/>
  <c r="BJ48"/>
  <c r="BI48"/>
  <c r="BH48"/>
  <c r="BG48"/>
  <c r="BF48"/>
  <c r="BE48"/>
  <c r="BD48"/>
  <c r="BC48"/>
  <c r="BB48"/>
  <c r="BA48" s="1"/>
  <c r="AX48"/>
  <c r="AW48"/>
  <c r="AV48"/>
  <c r="AC48"/>
  <c r="H48"/>
  <c r="G48" s="1"/>
  <c r="BT47"/>
  <c r="BS47"/>
  <c r="BR47"/>
  <c r="BQ47"/>
  <c r="BP47"/>
  <c r="BO47"/>
  <c r="BN47"/>
  <c r="BM47"/>
  <c r="BK47"/>
  <c r="BJ47"/>
  <c r="BI47"/>
  <c r="BH47"/>
  <c r="BG47"/>
  <c r="BF47"/>
  <c r="BE47"/>
  <c r="BD47"/>
  <c r="BC47"/>
  <c r="BB47"/>
  <c r="BA47"/>
  <c r="AX47"/>
  <c r="AW47"/>
  <c r="AV47"/>
  <c r="AC47"/>
  <c r="H47"/>
  <c r="G47"/>
  <c r="BT46"/>
  <c r="BS46"/>
  <c r="BR46"/>
  <c r="BQ46"/>
  <c r="BP46"/>
  <c r="BO46"/>
  <c r="BN46"/>
  <c r="BM46"/>
  <c r="BK46"/>
  <c r="BJ46"/>
  <c r="BI46"/>
  <c r="BH46"/>
  <c r="BG46"/>
  <c r="BF46"/>
  <c r="BE46"/>
  <c r="BD46"/>
  <c r="BC46"/>
  <c r="BB46"/>
  <c r="BA46" s="1"/>
  <c r="AX46"/>
  <c r="AW46"/>
  <c r="AV46"/>
  <c r="AC46"/>
  <c r="H46"/>
  <c r="G46" s="1"/>
  <c r="BT45"/>
  <c r="BS45"/>
  <c r="BR45"/>
  <c r="BQ45"/>
  <c r="BP45"/>
  <c r="BO45"/>
  <c r="BN45"/>
  <c r="BL45" s="1"/>
  <c r="BM45"/>
  <c r="BK45"/>
  <c r="BJ45"/>
  <c r="BI45"/>
  <c r="BH45"/>
  <c r="BG45"/>
  <c r="BF45"/>
  <c r="BE45"/>
  <c r="BD45"/>
  <c r="BC45"/>
  <c r="BB45"/>
  <c r="AX45"/>
  <c r="AW45"/>
  <c r="AV45"/>
  <c r="AC45"/>
  <c r="H45"/>
  <c r="G45" s="1"/>
  <c r="BT44"/>
  <c r="BS44"/>
  <c r="BR44"/>
  <c r="BQ44"/>
  <c r="BP44"/>
  <c r="BO44"/>
  <c r="BN44"/>
  <c r="BL44" s="1"/>
  <c r="BM44"/>
  <c r="BK44"/>
  <c r="BJ44"/>
  <c r="BI44"/>
  <c r="BH44"/>
  <c r="BG44"/>
  <c r="BF44"/>
  <c r="BE44"/>
  <c r="BD44"/>
  <c r="BC44"/>
  <c r="BB44"/>
  <c r="BA44" s="1"/>
  <c r="AX44"/>
  <c r="AW44"/>
  <c r="AV44"/>
  <c r="AC44"/>
  <c r="H44"/>
  <c r="G44" s="1"/>
  <c r="BT43"/>
  <c r="BS43"/>
  <c r="BR43"/>
  <c r="BQ43"/>
  <c r="BP43"/>
  <c r="BO43"/>
  <c r="BN43"/>
  <c r="BM43"/>
  <c r="BK43"/>
  <c r="BJ43"/>
  <c r="BI43"/>
  <c r="BH43"/>
  <c r="BG43"/>
  <c r="BF43"/>
  <c r="BE43"/>
  <c r="BD43"/>
  <c r="BC43"/>
  <c r="BB43"/>
  <c r="BA43"/>
  <c r="AX43"/>
  <c r="AW43"/>
  <c r="AV43"/>
  <c r="AC43"/>
  <c r="H43"/>
  <c r="G43"/>
  <c r="BT42"/>
  <c r="BS42"/>
  <c r="BR42"/>
  <c r="BQ42"/>
  <c r="BP42"/>
  <c r="BO42"/>
  <c r="BN42"/>
  <c r="BM42"/>
  <c r="BK42"/>
  <c r="BJ42"/>
  <c r="BI42"/>
  <c r="BH42"/>
  <c r="BG42"/>
  <c r="BF42"/>
  <c r="BE42"/>
  <c r="BD42"/>
  <c r="BC42"/>
  <c r="BB42"/>
  <c r="BA42" s="1"/>
  <c r="AX42"/>
  <c r="AW42"/>
  <c r="AV42"/>
  <c r="AC42"/>
  <c r="H42"/>
  <c r="G42" s="1"/>
  <c r="BT41"/>
  <c r="BS41"/>
  <c r="BR41"/>
  <c r="BQ41"/>
  <c r="BP41"/>
  <c r="BO41"/>
  <c r="BN41"/>
  <c r="BM41"/>
  <c r="BK41"/>
  <c r="BJ41"/>
  <c r="BI41"/>
  <c r="BH41"/>
  <c r="BG41"/>
  <c r="BF41"/>
  <c r="BE41"/>
  <c r="BD41"/>
  <c r="BC41"/>
  <c r="BB41"/>
  <c r="BA41"/>
  <c r="AX41"/>
  <c r="AW41"/>
  <c r="AV41"/>
  <c r="AC41"/>
  <c r="H41"/>
  <c r="G41" s="1"/>
  <c r="BT40"/>
  <c r="BS40"/>
  <c r="BR40"/>
  <c r="BQ40"/>
  <c r="BP40"/>
  <c r="BO40"/>
  <c r="BN40"/>
  <c r="BL40" s="1"/>
  <c r="BM40"/>
  <c r="BK40"/>
  <c r="BJ40"/>
  <c r="BI40"/>
  <c r="BH40"/>
  <c r="BG40"/>
  <c r="BF40"/>
  <c r="BE40"/>
  <c r="BD40"/>
  <c r="BC40"/>
  <c r="BB40"/>
  <c r="AX40"/>
  <c r="AW40"/>
  <c r="AV40"/>
  <c r="AC40"/>
  <c r="H40"/>
  <c r="G40" s="1"/>
  <c r="BT39"/>
  <c r="BS39"/>
  <c r="BR39"/>
  <c r="BQ39"/>
  <c r="BP39"/>
  <c r="BO39"/>
  <c r="BN39"/>
  <c r="BM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G38" s="1"/>
  <c r="BT37"/>
  <c r="BS37"/>
  <c r="BR37"/>
  <c r="BQ37"/>
  <c r="BP37"/>
  <c r="BO37"/>
  <c r="BN37"/>
  <c r="BL37" s="1"/>
  <c r="BM37"/>
  <c r="BK37"/>
  <c r="BJ37"/>
  <c r="BI37"/>
  <c r="BH37"/>
  <c r="BG37"/>
  <c r="BF37"/>
  <c r="BE37"/>
  <c r="BD37"/>
  <c r="BC37"/>
  <c r="BB37"/>
  <c r="BA37" s="1"/>
  <c r="AX37"/>
  <c r="AW37"/>
  <c r="AV37"/>
  <c r="AC37"/>
  <c r="H37"/>
  <c r="G37" s="1"/>
  <c r="BT36"/>
  <c r="BS36"/>
  <c r="BR36"/>
  <c r="BQ36"/>
  <c r="BP36"/>
  <c r="BO36"/>
  <c r="BN36"/>
  <c r="BL36" s="1"/>
  <c r="BM36"/>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s="1"/>
  <c r="AX35"/>
  <c r="AW35"/>
  <c r="AV35"/>
  <c r="AC35"/>
  <c r="H35"/>
  <c r="G35" s="1"/>
  <c r="BT34"/>
  <c r="BS34"/>
  <c r="BR34"/>
  <c r="BQ34"/>
  <c r="BP34"/>
  <c r="BO34"/>
  <c r="BN34"/>
  <c r="BL34" s="1"/>
  <c r="BM34"/>
  <c r="BK34"/>
  <c r="BJ34"/>
  <c r="BI34"/>
  <c r="BH34"/>
  <c r="BG34"/>
  <c r="BF34"/>
  <c r="BE34"/>
  <c r="BD34"/>
  <c r="BC34"/>
  <c r="BB34"/>
  <c r="BA34" s="1"/>
  <c r="AX34"/>
  <c r="AW34"/>
  <c r="AV34"/>
  <c r="AC34"/>
  <c r="H34"/>
  <c r="G34" s="1"/>
  <c r="BT33"/>
  <c r="BS33"/>
  <c r="BR33"/>
  <c r="BQ33"/>
  <c r="BP33"/>
  <c r="BO33"/>
  <c r="BN33"/>
  <c r="BM33"/>
  <c r="BK33"/>
  <c r="BJ33"/>
  <c r="BI33"/>
  <c r="BH33"/>
  <c r="BG33"/>
  <c r="BF33"/>
  <c r="BE33"/>
  <c r="BD33"/>
  <c r="BC33"/>
  <c r="BB33"/>
  <c r="BA33"/>
  <c r="AX33"/>
  <c r="AW33"/>
  <c r="AV33"/>
  <c r="AC33"/>
  <c r="H33"/>
  <c r="G33"/>
  <c r="BT32"/>
  <c r="BS32"/>
  <c r="BR32"/>
  <c r="BQ32"/>
  <c r="BP32"/>
  <c r="BO32"/>
  <c r="BN32"/>
  <c r="BM32"/>
  <c r="BK32"/>
  <c r="BJ32"/>
  <c r="BI32"/>
  <c r="BH32"/>
  <c r="BG32"/>
  <c r="BF32"/>
  <c r="BE32"/>
  <c r="BD32"/>
  <c r="BC32"/>
  <c r="BB32"/>
  <c r="BA32" s="1"/>
  <c r="AX32"/>
  <c r="AW32"/>
  <c r="AV32"/>
  <c r="AC32"/>
  <c r="H32"/>
  <c r="G32" s="1"/>
  <c r="BT31"/>
  <c r="BS31"/>
  <c r="BR31"/>
  <c r="BQ31"/>
  <c r="BP31"/>
  <c r="BO31"/>
  <c r="BN31"/>
  <c r="BM31"/>
  <c r="BK31"/>
  <c r="BJ31"/>
  <c r="BI31"/>
  <c r="BH31"/>
  <c r="BG31"/>
  <c r="BF31"/>
  <c r="BE31"/>
  <c r="BD31"/>
  <c r="BC31"/>
  <c r="BB31"/>
  <c r="BA31"/>
  <c r="AX31"/>
  <c r="AW31"/>
  <c r="AV31"/>
  <c r="AC31"/>
  <c r="H31"/>
  <c r="G31"/>
  <c r="BT30"/>
  <c r="BS30"/>
  <c r="BR30"/>
  <c r="BQ30"/>
  <c r="BP30"/>
  <c r="BO30"/>
  <c r="BN30"/>
  <c r="BM30"/>
  <c r="BK30"/>
  <c r="BJ30"/>
  <c r="BI30"/>
  <c r="BH30"/>
  <c r="BG30"/>
  <c r="BF30"/>
  <c r="BE30"/>
  <c r="BD30"/>
  <c r="BC30"/>
  <c r="BB30"/>
  <c r="BA30" s="1"/>
  <c r="AX30"/>
  <c r="AW30"/>
  <c r="AV30"/>
  <c r="AC30"/>
  <c r="H30"/>
  <c r="G30" s="1"/>
  <c r="BT29"/>
  <c r="BS29"/>
  <c r="BR29"/>
  <c r="BQ29"/>
  <c r="BP29"/>
  <c r="BO29"/>
  <c r="BN29"/>
  <c r="BL29" s="1"/>
  <c r="BM29"/>
  <c r="BK29"/>
  <c r="BJ29"/>
  <c r="BI29"/>
  <c r="BH29"/>
  <c r="BG29"/>
  <c r="BF29"/>
  <c r="BE29"/>
  <c r="BD29"/>
  <c r="BC29"/>
  <c r="BB29"/>
  <c r="AX29"/>
  <c r="AW29"/>
  <c r="AV29"/>
  <c r="AC29"/>
  <c r="H29"/>
  <c r="G29" s="1"/>
  <c r="BT28"/>
  <c r="BS28"/>
  <c r="BR28"/>
  <c r="BQ28"/>
  <c r="BP28"/>
  <c r="BO28"/>
  <c r="BN28"/>
  <c r="BL28" s="1"/>
  <c r="BM28"/>
  <c r="BK28"/>
  <c r="BJ28"/>
  <c r="BI28"/>
  <c r="BH28"/>
  <c r="BG28"/>
  <c r="BF28"/>
  <c r="BE28"/>
  <c r="BD28"/>
  <c r="BC28"/>
  <c r="BB28"/>
  <c r="BA28" s="1"/>
  <c r="AX28"/>
  <c r="AW28"/>
  <c r="AV28"/>
  <c r="AC28"/>
  <c r="H28"/>
  <c r="G28" s="1"/>
  <c r="BT27"/>
  <c r="BS27"/>
  <c r="BR27"/>
  <c r="BQ27"/>
  <c r="BP27"/>
  <c r="BO27"/>
  <c r="BN27"/>
  <c r="BM27"/>
  <c r="BK27"/>
  <c r="BJ27"/>
  <c r="BI27"/>
  <c r="BH27"/>
  <c r="BG27"/>
  <c r="BF27"/>
  <c r="BE27"/>
  <c r="BD27"/>
  <c r="BC27"/>
  <c r="BB27"/>
  <c r="AX27"/>
  <c r="AW27"/>
  <c r="AV27"/>
  <c r="AC27"/>
  <c r="H27"/>
  <c r="G27" s="1"/>
  <c r="BT26"/>
  <c r="BS26"/>
  <c r="BR26"/>
  <c r="BQ26"/>
  <c r="BP26"/>
  <c r="BO26"/>
  <c r="BN26"/>
  <c r="BM26"/>
  <c r="BL26" s="1"/>
  <c r="BK26"/>
  <c r="BJ26"/>
  <c r="BI26"/>
  <c r="BH26"/>
  <c r="BG26"/>
  <c r="BF26"/>
  <c r="BE26"/>
  <c r="BD26"/>
  <c r="BC26"/>
  <c r="BB26"/>
  <c r="AX26"/>
  <c r="AW26"/>
  <c r="AV26"/>
  <c r="AC26"/>
  <c r="H26"/>
  <c r="G26" s="1"/>
  <c r="BT25"/>
  <c r="BS25"/>
  <c r="BR25"/>
  <c r="BQ25"/>
  <c r="BP25"/>
  <c r="BO25"/>
  <c r="BN25"/>
  <c r="BM25"/>
  <c r="BL25" s="1"/>
  <c r="BK25"/>
  <c r="BJ25"/>
  <c r="BI25"/>
  <c r="BH25"/>
  <c r="BG25"/>
  <c r="BF25"/>
  <c r="BE25"/>
  <c r="BD25"/>
  <c r="BC25"/>
  <c r="BB25"/>
  <c r="AX25"/>
  <c r="AW25"/>
  <c r="AV25"/>
  <c r="AC25"/>
  <c r="H25"/>
  <c r="G25" s="1"/>
  <c r="BT24"/>
  <c r="BS24"/>
  <c r="BR24"/>
  <c r="BQ24"/>
  <c r="BP24"/>
  <c r="BO24"/>
  <c r="BN24"/>
  <c r="BM24"/>
  <c r="BL24" s="1"/>
  <c r="BK24"/>
  <c r="BJ24"/>
  <c r="BI24"/>
  <c r="BH24"/>
  <c r="BG24"/>
  <c r="BF24"/>
  <c r="BE24"/>
  <c r="BD24"/>
  <c r="BC24"/>
  <c r="BB24"/>
  <c r="AX24"/>
  <c r="AW24"/>
  <c r="AV24"/>
  <c r="AC24"/>
  <c r="H24"/>
  <c r="G24" s="1"/>
  <c r="BT23"/>
  <c r="BS23"/>
  <c r="BR23"/>
  <c r="BQ23"/>
  <c r="BP23"/>
  <c r="BO23"/>
  <c r="BN23"/>
  <c r="BM23"/>
  <c r="BL23" s="1"/>
  <c r="BK23"/>
  <c r="BJ23"/>
  <c r="BI23"/>
  <c r="BH23"/>
  <c r="BG23"/>
  <c r="BF23"/>
  <c r="BE23"/>
  <c r="BD23"/>
  <c r="BC23"/>
  <c r="BB23"/>
  <c r="AX23"/>
  <c r="AW23"/>
  <c r="AV23"/>
  <c r="AC23"/>
  <c r="H23"/>
  <c r="G23" s="1"/>
  <c r="BT22"/>
  <c r="BS22"/>
  <c r="BR22"/>
  <c r="BQ22"/>
  <c r="BP22"/>
  <c r="BO22"/>
  <c r="BN22"/>
  <c r="BM22"/>
  <c r="BK22"/>
  <c r="BJ22"/>
  <c r="BI22"/>
  <c r="BH22"/>
  <c r="BG22"/>
  <c r="BF22"/>
  <c r="BE22"/>
  <c r="BD22"/>
  <c r="BC22"/>
  <c r="BB22"/>
  <c r="AX22"/>
  <c r="AW22"/>
  <c r="AV22"/>
  <c r="AC22"/>
  <c r="H22"/>
  <c r="G22" s="1"/>
  <c r="BT21"/>
  <c r="BS21"/>
  <c r="BR21"/>
  <c r="BQ21"/>
  <c r="BP21"/>
  <c r="BO21"/>
  <c r="BN21"/>
  <c r="BM21"/>
  <c r="BL21" s="1"/>
  <c r="BK21"/>
  <c r="BJ21"/>
  <c r="BI21"/>
  <c r="BH21"/>
  <c r="BG21"/>
  <c r="BF21"/>
  <c r="BE21"/>
  <c r="BD21"/>
  <c r="BC21"/>
  <c r="BB21"/>
  <c r="AX21"/>
  <c r="AW21"/>
  <c r="AV21"/>
  <c r="AC21"/>
  <c r="H21"/>
  <c r="G21" s="1"/>
  <c r="BT20"/>
  <c r="BS20"/>
  <c r="BR20"/>
  <c r="BQ20"/>
  <c r="BP20"/>
  <c r="BO20"/>
  <c r="BN20"/>
  <c r="BM20"/>
  <c r="BL20" s="1"/>
  <c r="BK20"/>
  <c r="BJ20"/>
  <c r="BI20"/>
  <c r="BH20"/>
  <c r="BG20"/>
  <c r="BF20"/>
  <c r="BE20"/>
  <c r="BD20"/>
  <c r="BC20"/>
  <c r="BB20"/>
  <c r="AX20"/>
  <c r="AW20"/>
  <c r="AV20"/>
  <c r="AC20"/>
  <c r="H20"/>
  <c r="G20" s="1"/>
  <c r="BT19"/>
  <c r="BS19"/>
  <c r="BR19"/>
  <c r="BQ19"/>
  <c r="BP19"/>
  <c r="BO19"/>
  <c r="BN19"/>
  <c r="BM19"/>
  <c r="BL19" s="1"/>
  <c r="BK19"/>
  <c r="BJ19"/>
  <c r="BI19"/>
  <c r="BH19"/>
  <c r="BG19"/>
  <c r="BF19"/>
  <c r="BE19"/>
  <c r="BD19"/>
  <c r="BC19"/>
  <c r="BB19"/>
  <c r="AX19"/>
  <c r="AW19"/>
  <c r="AV19"/>
  <c r="AC19"/>
  <c r="H19"/>
  <c r="G19" s="1"/>
  <c r="BT18"/>
  <c r="BS18"/>
  <c r="BR18"/>
  <c r="BQ18"/>
  <c r="BP18"/>
  <c r="BO18"/>
  <c r="BN18"/>
  <c r="BM18"/>
  <c r="BL18" s="1"/>
  <c r="BK18"/>
  <c r="BJ18"/>
  <c r="BI18"/>
  <c r="BH18"/>
  <c r="BG18"/>
  <c r="BF18"/>
  <c r="BE18"/>
  <c r="BD18"/>
  <c r="BC18"/>
  <c r="BB18"/>
  <c r="AX18"/>
  <c r="AW18"/>
  <c r="AV18"/>
  <c r="AC18"/>
  <c r="H18"/>
  <c r="G18" s="1"/>
  <c r="BT207"/>
  <c r="BS207"/>
  <c r="BR207"/>
  <c r="BQ207"/>
  <c r="BP207"/>
  <c r="BO207"/>
  <c r="BN207"/>
  <c r="BM207"/>
  <c r="BL207" s="1"/>
  <c r="BK207"/>
  <c r="BJ207"/>
  <c r="BI207"/>
  <c r="BH207"/>
  <c r="BG207"/>
  <c r="BF207"/>
  <c r="BE207"/>
  <c r="BD207"/>
  <c r="BC207"/>
  <c r="BB207"/>
  <c r="AX207"/>
  <c r="AW207"/>
  <c r="AV207"/>
  <c r="AC207"/>
  <c r="H207"/>
  <c r="G207"/>
  <c r="BT206"/>
  <c r="BS206"/>
  <c r="BR206"/>
  <c r="BQ206"/>
  <c r="BP206"/>
  <c r="BO206"/>
  <c r="BN206"/>
  <c r="BM206"/>
  <c r="BK206"/>
  <c r="BJ206"/>
  <c r="BI206"/>
  <c r="BH206"/>
  <c r="BG206"/>
  <c r="BF206"/>
  <c r="BE206"/>
  <c r="BD206"/>
  <c r="BC206"/>
  <c r="BB206"/>
  <c r="AX206"/>
  <c r="AW206"/>
  <c r="AV206"/>
  <c r="AC206"/>
  <c r="H206"/>
  <c r="BT205"/>
  <c r="BS205"/>
  <c r="BR205"/>
  <c r="BQ205"/>
  <c r="BP205"/>
  <c r="BO205"/>
  <c r="BN205"/>
  <c r="BM205"/>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BA204" s="1"/>
  <c r="AX204"/>
  <c r="AW204"/>
  <c r="AV204"/>
  <c r="AC204"/>
  <c r="H204"/>
  <c r="G204"/>
  <c r="BT203"/>
  <c r="BS203"/>
  <c r="BR203"/>
  <c r="BQ203"/>
  <c r="BP203"/>
  <c r="BO203"/>
  <c r="BN203"/>
  <c r="BM203"/>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AX202"/>
  <c r="AW202"/>
  <c r="AV202"/>
  <c r="AC202"/>
  <c r="H202"/>
  <c r="G202" s="1"/>
  <c r="BT201"/>
  <c r="BS201"/>
  <c r="BR201"/>
  <c r="BQ201"/>
  <c r="BP201"/>
  <c r="BO201"/>
  <c r="BN201"/>
  <c r="BM201"/>
  <c r="BL201" s="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AX200"/>
  <c r="AW200"/>
  <c r="AV200"/>
  <c r="AC200"/>
  <c r="H200"/>
  <c r="G200" s="1"/>
  <c r="BT199"/>
  <c r="BS199"/>
  <c r="BR199"/>
  <c r="BQ199"/>
  <c r="BP199"/>
  <c r="BO199"/>
  <c r="BN199"/>
  <c r="BM199"/>
  <c r="BK199"/>
  <c r="BJ199"/>
  <c r="BI199"/>
  <c r="BH199"/>
  <c r="BG199"/>
  <c r="BF199"/>
  <c r="BE199"/>
  <c r="BD199"/>
  <c r="BC199"/>
  <c r="BB199"/>
  <c r="AX199"/>
  <c r="AW199"/>
  <c r="AV199"/>
  <c r="AC199"/>
  <c r="H199"/>
  <c r="BT198"/>
  <c r="BS198"/>
  <c r="BR198"/>
  <c r="BQ198"/>
  <c r="BP198"/>
  <c r="BO198"/>
  <c r="BN198"/>
  <c r="BL198" s="1"/>
  <c r="BM198"/>
  <c r="BK198"/>
  <c r="BJ198"/>
  <c r="BI198"/>
  <c r="BH198"/>
  <c r="BG198"/>
  <c r="BF198"/>
  <c r="BE198"/>
  <c r="BD198"/>
  <c r="BC198"/>
  <c r="BB198"/>
  <c r="AX198"/>
  <c r="AW198"/>
  <c r="AV198"/>
  <c r="AC198"/>
  <c r="H198"/>
  <c r="G198" s="1"/>
  <c r="BT197"/>
  <c r="BS197"/>
  <c r="BR197"/>
  <c r="BQ197"/>
  <c r="BP197"/>
  <c r="BO197"/>
  <c r="BN197"/>
  <c r="BM197"/>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BA196"/>
  <c r="AX196"/>
  <c r="AW196"/>
  <c r="AV196"/>
  <c r="AC196"/>
  <c r="H196"/>
  <c r="BT195"/>
  <c r="BS195"/>
  <c r="BR195"/>
  <c r="BQ195"/>
  <c r="BP195"/>
  <c r="BO195"/>
  <c r="BN195"/>
  <c r="BM195"/>
  <c r="BK195"/>
  <c r="BJ195"/>
  <c r="BI195"/>
  <c r="BH195"/>
  <c r="BG195"/>
  <c r="BF195"/>
  <c r="BE195"/>
  <c r="BD195"/>
  <c r="BC195"/>
  <c r="BB195"/>
  <c r="AX195"/>
  <c r="AW195"/>
  <c r="AV195"/>
  <c r="AC195"/>
  <c r="H195"/>
  <c r="G195" s="1"/>
  <c r="BT194"/>
  <c r="BS194"/>
  <c r="BR194"/>
  <c r="BQ194"/>
  <c r="BP194"/>
  <c r="BO194"/>
  <c r="BN194"/>
  <c r="BM194"/>
  <c r="BL194" s="1"/>
  <c r="BK194"/>
  <c r="BJ194"/>
  <c r="BI194"/>
  <c r="BH194"/>
  <c r="BG194"/>
  <c r="BF194"/>
  <c r="BE194"/>
  <c r="BD194"/>
  <c r="BC194"/>
  <c r="BB194"/>
  <c r="AX194"/>
  <c r="AW194"/>
  <c r="AV194"/>
  <c r="AC194"/>
  <c r="H194"/>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BT191"/>
  <c r="BS191"/>
  <c r="BR191"/>
  <c r="BQ191"/>
  <c r="BP191"/>
  <c r="BO191"/>
  <c r="BN191"/>
  <c r="BM191"/>
  <c r="BK191"/>
  <c r="BJ191"/>
  <c r="BI191"/>
  <c r="BH191"/>
  <c r="BG191"/>
  <c r="BF191"/>
  <c r="BE191"/>
  <c r="BD191"/>
  <c r="BC191"/>
  <c r="BB191"/>
  <c r="AX191"/>
  <c r="AW191"/>
  <c r="AV191"/>
  <c r="AC191"/>
  <c r="H191"/>
  <c r="G191" s="1"/>
  <c r="BT190"/>
  <c r="BS190"/>
  <c r="BR190"/>
  <c r="BQ190"/>
  <c r="BL190" s="1"/>
  <c r="BP190"/>
  <c r="BO190"/>
  <c r="BN190"/>
  <c r="BM190"/>
  <c r="BK190"/>
  <c r="BJ190"/>
  <c r="BI190"/>
  <c r="BH190"/>
  <c r="BG190"/>
  <c r="BF190"/>
  <c r="BE190"/>
  <c r="BD190"/>
  <c r="BC190"/>
  <c r="BB190"/>
  <c r="AX190"/>
  <c r="AW190"/>
  <c r="AV190"/>
  <c r="AC190"/>
  <c r="H190"/>
  <c r="G190" s="1"/>
  <c r="BT189"/>
  <c r="BS189"/>
  <c r="BR189"/>
  <c r="BQ189"/>
  <c r="BL189" s="1"/>
  <c r="BP189"/>
  <c r="BO189"/>
  <c r="BN189"/>
  <c r="BM189"/>
  <c r="BK189"/>
  <c r="BJ189"/>
  <c r="BI189"/>
  <c r="BH189"/>
  <c r="BG189"/>
  <c r="BF189"/>
  <c r="BE189"/>
  <c r="BD189"/>
  <c r="BC189"/>
  <c r="BB189"/>
  <c r="AX189"/>
  <c r="AW189"/>
  <c r="AV189"/>
  <c r="AC189"/>
  <c r="H189"/>
  <c r="BT188"/>
  <c r="BS188"/>
  <c r="BR188"/>
  <c r="BQ188"/>
  <c r="BP188"/>
  <c r="BO188"/>
  <c r="BN188"/>
  <c r="BM188"/>
  <c r="BK188"/>
  <c r="BJ188"/>
  <c r="BI188"/>
  <c r="BH188"/>
  <c r="BG188"/>
  <c r="BF188"/>
  <c r="BE188"/>
  <c r="BD188"/>
  <c r="BC188"/>
  <c r="BB188"/>
  <c r="AX188"/>
  <c r="AW188"/>
  <c r="AV188"/>
  <c r="AC188"/>
  <c r="H188"/>
  <c r="BT187"/>
  <c r="BS187"/>
  <c r="BR187"/>
  <c r="BQ187"/>
  <c r="BP187"/>
  <c r="BO187"/>
  <c r="BN187"/>
  <c r="BM187"/>
  <c r="BK187"/>
  <c r="BJ187"/>
  <c r="BI187"/>
  <c r="BH187"/>
  <c r="BG187"/>
  <c r="BF187"/>
  <c r="BE187"/>
  <c r="BD187"/>
  <c r="BC187"/>
  <c r="BB187"/>
  <c r="AX187"/>
  <c r="AW187"/>
  <c r="AV187"/>
  <c r="AC187"/>
  <c r="H187"/>
  <c r="G187" s="1"/>
  <c r="BT186"/>
  <c r="BS186"/>
  <c r="BR186"/>
  <c r="BQ186"/>
  <c r="BP186"/>
  <c r="BO186"/>
  <c r="BN186"/>
  <c r="BM186"/>
  <c r="BL186" s="1"/>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BT183"/>
  <c r="BS183"/>
  <c r="BR183"/>
  <c r="BQ183"/>
  <c r="BP183"/>
  <c r="BO183"/>
  <c r="BN183"/>
  <c r="BM183"/>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BT181"/>
  <c r="BS181"/>
  <c r="BR181"/>
  <c r="BQ181"/>
  <c r="BP181"/>
  <c r="BO181"/>
  <c r="BN181"/>
  <c r="BL181" s="1"/>
  <c r="BM18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AX179"/>
  <c r="AW179"/>
  <c r="AV179"/>
  <c r="AC179"/>
  <c r="H179"/>
  <c r="G179" s="1"/>
  <c r="BT178"/>
  <c r="BS178"/>
  <c r="BR178"/>
  <c r="BQ178"/>
  <c r="BP178"/>
  <c r="BO178"/>
  <c r="BN178"/>
  <c r="BM178"/>
  <c r="BL178" s="1"/>
  <c r="BK178"/>
  <c r="BJ178"/>
  <c r="BI178"/>
  <c r="BH178"/>
  <c r="BG178"/>
  <c r="BF178"/>
  <c r="BE178"/>
  <c r="BD178"/>
  <c r="BC178"/>
  <c r="BB178"/>
  <c r="AX178"/>
  <c r="AW178"/>
  <c r="AV178"/>
  <c r="AC178"/>
  <c r="H178"/>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AX176"/>
  <c r="AW176"/>
  <c r="AV176"/>
  <c r="AC176"/>
  <c r="H176"/>
  <c r="BT175"/>
  <c r="BS175"/>
  <c r="BR175"/>
  <c r="BQ175"/>
  <c r="BP175"/>
  <c r="BO175"/>
  <c r="BN175"/>
  <c r="BM175"/>
  <c r="BK175"/>
  <c r="BJ175"/>
  <c r="BI175"/>
  <c r="BH175"/>
  <c r="BG175"/>
  <c r="BF175"/>
  <c r="BE175"/>
  <c r="BD175"/>
  <c r="BC175"/>
  <c r="BB175"/>
  <c r="AX175"/>
  <c r="AW175"/>
  <c r="AV175"/>
  <c r="AC175"/>
  <c r="H175"/>
  <c r="G175" s="1"/>
  <c r="BT174"/>
  <c r="BS174"/>
  <c r="BR174"/>
  <c r="BQ174"/>
  <c r="BL174" s="1"/>
  <c r="BP174"/>
  <c r="BO174"/>
  <c r="BN174"/>
  <c r="BM174"/>
  <c r="BK174"/>
  <c r="BJ174"/>
  <c r="BI174"/>
  <c r="BH174"/>
  <c r="BG174"/>
  <c r="BF174"/>
  <c r="BE174"/>
  <c r="BD174"/>
  <c r="BC174"/>
  <c r="BB174"/>
  <c r="AX174"/>
  <c r="AW174"/>
  <c r="AV174"/>
  <c r="AC174"/>
  <c r="H174"/>
  <c r="G174" s="1"/>
  <c r="BT173"/>
  <c r="BS173"/>
  <c r="BR173"/>
  <c r="BQ173"/>
  <c r="BP173"/>
  <c r="BO173"/>
  <c r="BN173"/>
  <c r="BM173"/>
  <c r="BL173"/>
  <c r="BK173"/>
  <c r="BJ173"/>
  <c r="BI173"/>
  <c r="BH173"/>
  <c r="BG173"/>
  <c r="BF173"/>
  <c r="BE173"/>
  <c r="BD173"/>
  <c r="BC173"/>
  <c r="BB173"/>
  <c r="BA173" s="1"/>
  <c r="AZ173" s="1"/>
  <c r="AX173"/>
  <c r="AW173"/>
  <c r="AV173"/>
  <c r="AC173"/>
  <c r="H173"/>
  <c r="BT172"/>
  <c r="BS172"/>
  <c r="BR172"/>
  <c r="BQ172"/>
  <c r="BP172"/>
  <c r="BO172"/>
  <c r="BN172"/>
  <c r="BM172"/>
  <c r="BK172"/>
  <c r="BJ172"/>
  <c r="BI172"/>
  <c r="BH172"/>
  <c r="BG172"/>
  <c r="BF172"/>
  <c r="BE172"/>
  <c r="BD172"/>
  <c r="BC172"/>
  <c r="BB172"/>
  <c r="BA172"/>
  <c r="AX172"/>
  <c r="AW172"/>
  <c r="AV172"/>
  <c r="AC172"/>
  <c r="H172"/>
  <c r="BT171"/>
  <c r="BS171"/>
  <c r="BR171"/>
  <c r="BQ171"/>
  <c r="BP171"/>
  <c r="BO171"/>
  <c r="BN171"/>
  <c r="BM171"/>
  <c r="BK171"/>
  <c r="BJ171"/>
  <c r="BI171"/>
  <c r="BH171"/>
  <c r="BG171"/>
  <c r="BF171"/>
  <c r="BE171"/>
  <c r="BD171"/>
  <c r="BC171"/>
  <c r="BB171"/>
  <c r="AX171"/>
  <c r="AW171"/>
  <c r="AV171"/>
  <c r="AC171"/>
  <c r="H171"/>
  <c r="G171" s="1"/>
  <c r="BT170"/>
  <c r="BS170"/>
  <c r="BR170"/>
  <c r="BQ170"/>
  <c r="BP170"/>
  <c r="BO170"/>
  <c r="BN170"/>
  <c r="BM170"/>
  <c r="BL170" s="1"/>
  <c r="BK170"/>
  <c r="BJ170"/>
  <c r="BI170"/>
  <c r="BH170"/>
  <c r="BG170"/>
  <c r="BF170"/>
  <c r="BE170"/>
  <c r="BD170"/>
  <c r="BC170"/>
  <c r="BB170"/>
  <c r="AX170"/>
  <c r="AW170"/>
  <c r="AV170"/>
  <c r="AC170"/>
  <c r="H170"/>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BA168" s="1"/>
  <c r="AX168"/>
  <c r="AW168"/>
  <c r="AV168"/>
  <c r="AC168"/>
  <c r="H168"/>
  <c r="BT167"/>
  <c r="BS167"/>
  <c r="BR167"/>
  <c r="BQ167"/>
  <c r="BP167"/>
  <c r="BO167"/>
  <c r="BN167"/>
  <c r="BM167"/>
  <c r="BK167"/>
  <c r="BJ167"/>
  <c r="BI167"/>
  <c r="BH167"/>
  <c r="BG167"/>
  <c r="BF167"/>
  <c r="BE167"/>
  <c r="BD167"/>
  <c r="BC167"/>
  <c r="BB167"/>
  <c r="AX167"/>
  <c r="AW167"/>
  <c r="AV167"/>
  <c r="AC167"/>
  <c r="H167"/>
  <c r="BT166"/>
  <c r="BS166"/>
  <c r="BR166"/>
  <c r="BQ166"/>
  <c r="BP166"/>
  <c r="BO166"/>
  <c r="BN166"/>
  <c r="BL166" s="1"/>
  <c r="BM166"/>
  <c r="BK166"/>
  <c r="BJ166"/>
  <c r="BI166"/>
  <c r="BH166"/>
  <c r="BG166"/>
  <c r="BF166"/>
  <c r="BE166"/>
  <c r="BD166"/>
  <c r="BC166"/>
  <c r="BB166"/>
  <c r="BA166" s="1"/>
  <c r="AX166"/>
  <c r="AW166"/>
  <c r="AV166"/>
  <c r="AC166"/>
  <c r="H166"/>
  <c r="BT165"/>
  <c r="BS165"/>
  <c r="BR165"/>
  <c r="BQ165"/>
  <c r="BP165"/>
  <c r="BO165"/>
  <c r="BN165"/>
  <c r="BL165" s="1"/>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BA164" s="1"/>
  <c r="AX164"/>
  <c r="AW164"/>
  <c r="AV164"/>
  <c r="AC164"/>
  <c r="H164"/>
  <c r="BT163"/>
  <c r="BS163"/>
  <c r="BR163"/>
  <c r="BQ163"/>
  <c r="BP163"/>
  <c r="BO163"/>
  <c r="BN163"/>
  <c r="BM163"/>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AX162"/>
  <c r="AW162"/>
  <c r="AV162"/>
  <c r="AC162"/>
  <c r="H162"/>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AX160"/>
  <c r="AW160"/>
  <c r="AV160"/>
  <c r="AC160"/>
  <c r="H160"/>
  <c r="BT159"/>
  <c r="BS159"/>
  <c r="BR159"/>
  <c r="BQ159"/>
  <c r="BP159"/>
  <c r="BO159"/>
  <c r="BN159"/>
  <c r="BM159"/>
  <c r="BK159"/>
  <c r="BJ159"/>
  <c r="BI159"/>
  <c r="BH159"/>
  <c r="BG159"/>
  <c r="BF159"/>
  <c r="BE159"/>
  <c r="BD159"/>
  <c r="BC159"/>
  <c r="BB159"/>
  <c r="AX159"/>
  <c r="AW159"/>
  <c r="AV159"/>
  <c r="AC159"/>
  <c r="H159"/>
  <c r="BT158"/>
  <c r="BS158"/>
  <c r="BR158"/>
  <c r="BQ158"/>
  <c r="BP158"/>
  <c r="BO158"/>
  <c r="BN158"/>
  <c r="BM158"/>
  <c r="BL158"/>
  <c r="BK158"/>
  <c r="BJ158"/>
  <c r="BI158"/>
  <c r="BH158"/>
  <c r="BG158"/>
  <c r="BF158"/>
  <c r="BE158"/>
  <c r="BD158"/>
  <c r="BC158"/>
  <c r="BB158"/>
  <c r="AX158"/>
  <c r="AW158"/>
  <c r="AV158"/>
  <c r="AC158"/>
  <c r="H158"/>
  <c r="BT157"/>
  <c r="BS157"/>
  <c r="BR157"/>
  <c r="BQ157"/>
  <c r="BP157"/>
  <c r="BO157"/>
  <c r="BN157"/>
  <c r="BM157"/>
  <c r="BL157"/>
  <c r="BK157"/>
  <c r="BJ157"/>
  <c r="BI157"/>
  <c r="BH157"/>
  <c r="BG157"/>
  <c r="BF157"/>
  <c r="BE157"/>
  <c r="BD157"/>
  <c r="BC157"/>
  <c r="BB157"/>
  <c r="BA157" s="1"/>
  <c r="AZ157" s="1"/>
  <c r="AX157"/>
  <c r="AW157"/>
  <c r="AV157"/>
  <c r="AC157"/>
  <c r="H157"/>
  <c r="BT156"/>
  <c r="BS156"/>
  <c r="BR156"/>
  <c r="BQ156"/>
  <c r="BP156"/>
  <c r="BO156"/>
  <c r="BN156"/>
  <c r="BM156"/>
  <c r="BK156"/>
  <c r="BJ156"/>
  <c r="BI156"/>
  <c r="BH156"/>
  <c r="BG156"/>
  <c r="BF156"/>
  <c r="BE156"/>
  <c r="BD156"/>
  <c r="BC156"/>
  <c r="BB156"/>
  <c r="BA156"/>
  <c r="AX156"/>
  <c r="AW156"/>
  <c r="AV156"/>
  <c r="AC156"/>
  <c r="H156"/>
  <c r="BT155"/>
  <c r="BS155"/>
  <c r="BR155"/>
  <c r="BQ155"/>
  <c r="BP155"/>
  <c r="BO155"/>
  <c r="BN155"/>
  <c r="BM155"/>
  <c r="BK155"/>
  <c r="BJ155"/>
  <c r="BI155"/>
  <c r="BH155"/>
  <c r="BG155"/>
  <c r="BF155"/>
  <c r="BE155"/>
  <c r="BD155"/>
  <c r="BC155"/>
  <c r="BB155"/>
  <c r="AX155"/>
  <c r="AW155"/>
  <c r="AV155"/>
  <c r="AC155"/>
  <c r="H155"/>
  <c r="G155" s="1"/>
  <c r="BT154"/>
  <c r="BS154"/>
  <c r="BR154"/>
  <c r="BQ154"/>
  <c r="BP154"/>
  <c r="BO154"/>
  <c r="BN154"/>
  <c r="BM154"/>
  <c r="BL154" s="1"/>
  <c r="BK154"/>
  <c r="BJ154"/>
  <c r="BI154"/>
  <c r="BH154"/>
  <c r="BG154"/>
  <c r="BF154"/>
  <c r="BE154"/>
  <c r="BD154"/>
  <c r="BC154"/>
  <c r="BB154"/>
  <c r="AX154"/>
  <c r="AW154"/>
  <c r="AV154"/>
  <c r="AC154"/>
  <c r="H154"/>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BT151"/>
  <c r="BS151"/>
  <c r="BR151"/>
  <c r="BQ151"/>
  <c r="BP151"/>
  <c r="BO151"/>
  <c r="BN151"/>
  <c r="BM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BA150" s="1"/>
  <c r="AX150"/>
  <c r="AW150"/>
  <c r="AV150"/>
  <c r="AC150"/>
  <c r="H150"/>
  <c r="BT149"/>
  <c r="BS149"/>
  <c r="BR149"/>
  <c r="BQ149"/>
  <c r="BP149"/>
  <c r="BO149"/>
  <c r="BN149"/>
  <c r="BL149" s="1"/>
  <c r="BM149"/>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BA148" s="1"/>
  <c r="AX148"/>
  <c r="AW148"/>
  <c r="AV148"/>
  <c r="AC148"/>
  <c r="H148"/>
  <c r="BT147"/>
  <c r="BS147"/>
  <c r="BR147"/>
  <c r="BQ147"/>
  <c r="BP147"/>
  <c r="BO147"/>
  <c r="BN147"/>
  <c r="BM147"/>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AX144"/>
  <c r="AW144"/>
  <c r="AV144"/>
  <c r="AC144"/>
  <c r="H144"/>
  <c r="BT143"/>
  <c r="BS143"/>
  <c r="BR143"/>
  <c r="BQ143"/>
  <c r="BP143"/>
  <c r="BO143"/>
  <c r="BN143"/>
  <c r="BM143"/>
  <c r="BK143"/>
  <c r="BJ143"/>
  <c r="BI143"/>
  <c r="BH143"/>
  <c r="BG143"/>
  <c r="BF143"/>
  <c r="BE143"/>
  <c r="BD143"/>
  <c r="BC143"/>
  <c r="BB143"/>
  <c r="AX143"/>
  <c r="AW143"/>
  <c r="AV143"/>
  <c r="AC143"/>
  <c r="H143"/>
  <c r="G143" s="1"/>
  <c r="BT142"/>
  <c r="BS142"/>
  <c r="BR142"/>
  <c r="BQ142"/>
  <c r="BL142" s="1"/>
  <c r="BP142"/>
  <c r="BO142"/>
  <c r="BN142"/>
  <c r="BM142"/>
  <c r="BK142"/>
  <c r="BJ142"/>
  <c r="BI142"/>
  <c r="BH142"/>
  <c r="BG142"/>
  <c r="BF142"/>
  <c r="BE142"/>
  <c r="BD142"/>
  <c r="BC142"/>
  <c r="BB142"/>
  <c r="BA142" s="1"/>
  <c r="AX142"/>
  <c r="AW142"/>
  <c r="AV142"/>
  <c r="AC142"/>
  <c r="H142"/>
  <c r="G142" s="1"/>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G140" s="1"/>
  <c r="BT139"/>
  <c r="BS139"/>
  <c r="BR139"/>
  <c r="BQ139"/>
  <c r="BP139"/>
  <c r="BO139"/>
  <c r="BN139"/>
  <c r="BM139"/>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AX138"/>
  <c r="AW138"/>
  <c r="AV138"/>
  <c r="AC138"/>
  <c r="H138"/>
  <c r="G138" s="1"/>
  <c r="BT137"/>
  <c r="BS137"/>
  <c r="BR137"/>
  <c r="BQ137"/>
  <c r="BP137"/>
  <c r="BO137"/>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AX136"/>
  <c r="AW136"/>
  <c r="AV136"/>
  <c r="AC136"/>
  <c r="H136"/>
  <c r="G136" s="1"/>
  <c r="BT135"/>
  <c r="BS135"/>
  <c r="BR135"/>
  <c r="BQ135"/>
  <c r="BP135"/>
  <c r="BO135"/>
  <c r="BN135"/>
  <c r="BM135"/>
  <c r="BL135" s="1"/>
  <c r="BK135"/>
  <c r="BJ135"/>
  <c r="BI135"/>
  <c r="BH135"/>
  <c r="BG135"/>
  <c r="BF135"/>
  <c r="BE135"/>
  <c r="BD135"/>
  <c r="BC135"/>
  <c r="BB135"/>
  <c r="AX135"/>
  <c r="AW135"/>
  <c r="AV135"/>
  <c r="AC135"/>
  <c r="H135"/>
  <c r="BT134"/>
  <c r="BS134"/>
  <c r="BR134"/>
  <c r="BQ134"/>
  <c r="BP134"/>
  <c r="BO134"/>
  <c r="BN134"/>
  <c r="BM134"/>
  <c r="BL134"/>
  <c r="BK134"/>
  <c r="BJ134"/>
  <c r="BI134"/>
  <c r="BH134"/>
  <c r="BG134"/>
  <c r="BF134"/>
  <c r="BE134"/>
  <c r="BD134"/>
  <c r="BC134"/>
  <c r="BB134"/>
  <c r="AX134"/>
  <c r="AW134"/>
  <c r="AV134"/>
  <c r="AC134"/>
  <c r="H134"/>
  <c r="BT133"/>
  <c r="BS133"/>
  <c r="BR133"/>
  <c r="BQ133"/>
  <c r="BP133"/>
  <c r="BO133"/>
  <c r="BN133"/>
  <c r="BM133"/>
  <c r="BK133"/>
  <c r="BJ133"/>
  <c r="BI133"/>
  <c r="BH133"/>
  <c r="BG133"/>
  <c r="BF133"/>
  <c r="BE133"/>
  <c r="BD133"/>
  <c r="BC133"/>
  <c r="BA133" s="1"/>
  <c r="BB133"/>
  <c r="AX133"/>
  <c r="AW133"/>
  <c r="AV133"/>
  <c r="AC133"/>
  <c r="H133"/>
  <c r="BT132"/>
  <c r="BS132"/>
  <c r="BR132"/>
  <c r="BQ132"/>
  <c r="BP132"/>
  <c r="BO132"/>
  <c r="BN132"/>
  <c r="BM132"/>
  <c r="BK132"/>
  <c r="BJ132"/>
  <c r="BI132"/>
  <c r="BH132"/>
  <c r="BG132"/>
  <c r="BF132"/>
  <c r="BE132"/>
  <c r="BD132"/>
  <c r="BC132"/>
  <c r="BB132"/>
  <c r="AX132"/>
  <c r="AW132"/>
  <c r="AV132"/>
  <c r="AC132"/>
  <c r="H132"/>
  <c r="BT131"/>
  <c r="BS131"/>
  <c r="BR131"/>
  <c r="BQ131"/>
  <c r="BP131"/>
  <c r="BO131"/>
  <c r="BN131"/>
  <c r="BM131"/>
  <c r="BK131"/>
  <c r="BJ131"/>
  <c r="BI131"/>
  <c r="BH131"/>
  <c r="BG131"/>
  <c r="BF131"/>
  <c r="BE131"/>
  <c r="BD131"/>
  <c r="BC131"/>
  <c r="BB131"/>
  <c r="AX131"/>
  <c r="AW131"/>
  <c r="AV131"/>
  <c r="AC131"/>
  <c r="H131"/>
  <c r="G131" s="1"/>
  <c r="BT130"/>
  <c r="BS130"/>
  <c r="BR130"/>
  <c r="BQ130"/>
  <c r="BP130"/>
  <c r="BO130"/>
  <c r="BN130"/>
  <c r="BM130"/>
  <c r="BK130"/>
  <c r="BJ130"/>
  <c r="BI130"/>
  <c r="BH130"/>
  <c r="BG130"/>
  <c r="BF130"/>
  <c r="BE130"/>
  <c r="BD130"/>
  <c r="BC130"/>
  <c r="BB130"/>
  <c r="AX130"/>
  <c r="AW130"/>
  <c r="AV130"/>
  <c r="AC130"/>
  <c r="H130"/>
  <c r="BT129"/>
  <c r="BS129"/>
  <c r="BR129"/>
  <c r="BQ129"/>
  <c r="BP129"/>
  <c r="BO129"/>
  <c r="BN129"/>
  <c r="BM129"/>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AX128"/>
  <c r="AW128"/>
  <c r="AV128"/>
  <c r="AC128"/>
  <c r="H128"/>
  <c r="BT127"/>
  <c r="BS127"/>
  <c r="BR127"/>
  <c r="BQ127"/>
  <c r="BP127"/>
  <c r="BO127"/>
  <c r="BN127"/>
  <c r="BM127"/>
  <c r="BK127"/>
  <c r="BJ127"/>
  <c r="BI127"/>
  <c r="BH127"/>
  <c r="BG127"/>
  <c r="BF127"/>
  <c r="BE127"/>
  <c r="BD127"/>
  <c r="BC127"/>
  <c r="BB127"/>
  <c r="AX127"/>
  <c r="AW127"/>
  <c r="AV127"/>
  <c r="AC127"/>
  <c r="H127"/>
  <c r="G127" s="1"/>
  <c r="BT126"/>
  <c r="BS126"/>
  <c r="BR126"/>
  <c r="BQ126"/>
  <c r="BP126"/>
  <c r="BO126"/>
  <c r="BN126"/>
  <c r="BM126"/>
  <c r="BK126"/>
  <c r="BJ126"/>
  <c r="BI126"/>
  <c r="BH126"/>
  <c r="BG126"/>
  <c r="BF126"/>
  <c r="BE126"/>
  <c r="BD126"/>
  <c r="BC126"/>
  <c r="BB126"/>
  <c r="BA126" s="1"/>
  <c r="AX126"/>
  <c r="AW126"/>
  <c r="AV126"/>
  <c r="AC126"/>
  <c r="H126"/>
  <c r="BT125"/>
  <c r="BS125"/>
  <c r="BR125"/>
  <c r="BQ125"/>
  <c r="BP125"/>
  <c r="BO125"/>
  <c r="BN125"/>
  <c r="BM125"/>
  <c r="BK125"/>
  <c r="BJ125"/>
  <c r="BI125"/>
  <c r="BH125"/>
  <c r="BG125"/>
  <c r="BF125"/>
  <c r="BE125"/>
  <c r="BD125"/>
  <c r="BC125"/>
  <c r="BB125"/>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L123"/>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AX122"/>
  <c r="AW122"/>
  <c r="AV122"/>
  <c r="AC122"/>
  <c r="H122"/>
  <c r="G122" s="1"/>
  <c r="BT121"/>
  <c r="BS121"/>
  <c r="BR121"/>
  <c r="BQ121"/>
  <c r="BP121"/>
  <c r="BO12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L118" s="1"/>
  <c r="BM118"/>
  <c r="BK118"/>
  <c r="BJ118"/>
  <c r="BI118"/>
  <c r="BH118"/>
  <c r="BG118"/>
  <c r="BF118"/>
  <c r="BE118"/>
  <c r="BD118"/>
  <c r="BC118"/>
  <c r="BB118"/>
  <c r="BA118" s="1"/>
  <c r="AX118"/>
  <c r="AW118"/>
  <c r="AV118"/>
  <c r="AC118"/>
  <c r="H118"/>
  <c r="G118"/>
  <c r="BT117"/>
  <c r="BS117"/>
  <c r="BR117"/>
  <c r="BQ117"/>
  <c r="BP117"/>
  <c r="BO117"/>
  <c r="BN117"/>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AX116"/>
  <c r="AW116"/>
  <c r="AV116"/>
  <c r="AC116"/>
  <c r="H116"/>
  <c r="BT115"/>
  <c r="BS115"/>
  <c r="BR115"/>
  <c r="BQ115"/>
  <c r="BP115"/>
  <c r="BO115"/>
  <c r="BN115"/>
  <c r="BM115"/>
  <c r="BK115"/>
  <c r="BJ115"/>
  <c r="BI115"/>
  <c r="BH115"/>
  <c r="BG115"/>
  <c r="BF115"/>
  <c r="BE115"/>
  <c r="BD115"/>
  <c r="BC115"/>
  <c r="BB115"/>
  <c r="AX115"/>
  <c r="AW115"/>
  <c r="AV115"/>
  <c r="AC115"/>
  <c r="H115"/>
  <c r="G115" s="1"/>
  <c r="BT114"/>
  <c r="BS114"/>
  <c r="BR114"/>
  <c r="BQ114"/>
  <c r="BP114"/>
  <c r="BO114"/>
  <c r="BN114"/>
  <c r="BM114"/>
  <c r="BL114" s="1"/>
  <c r="BK114"/>
  <c r="BJ114"/>
  <c r="BI114"/>
  <c r="BH114"/>
  <c r="BG114"/>
  <c r="BF114"/>
  <c r="BE114"/>
  <c r="BD114"/>
  <c r="BC114"/>
  <c r="BB114"/>
  <c r="BA114" s="1"/>
  <c r="AX114"/>
  <c r="AW114"/>
  <c r="AV114"/>
  <c r="AC114"/>
  <c r="H114"/>
  <c r="BT113"/>
  <c r="BS113"/>
  <c r="BR113"/>
  <c r="BQ113"/>
  <c r="BP113"/>
  <c r="BO113"/>
  <c r="BN113"/>
  <c r="BM113"/>
  <c r="BK113"/>
  <c r="BJ113"/>
  <c r="BI113"/>
  <c r="BH113"/>
  <c r="BG113"/>
  <c r="BF113"/>
  <c r="BE113"/>
  <c r="BD113"/>
  <c r="BC113"/>
  <c r="BB113"/>
  <c r="AX113"/>
  <c r="AW113"/>
  <c r="AV113"/>
  <c r="AC113"/>
  <c r="H113"/>
  <c r="BT302"/>
  <c r="BS302"/>
  <c r="BR302"/>
  <c r="BQ302"/>
  <c r="BP302"/>
  <c r="BO302"/>
  <c r="BN302"/>
  <c r="BM302"/>
  <c r="BK302"/>
  <c r="BJ302"/>
  <c r="BI302"/>
  <c r="BH302"/>
  <c r="BG302"/>
  <c r="BF302"/>
  <c r="BE302"/>
  <c r="BD302"/>
  <c r="BC302"/>
  <c r="BB302"/>
  <c r="BA302" s="1"/>
  <c r="AX302"/>
  <c r="AW302"/>
  <c r="AV302"/>
  <c r="AC302"/>
  <c r="H302"/>
  <c r="G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L300" s="1"/>
  <c r="BN300"/>
  <c r="BM300"/>
  <c r="BK300"/>
  <c r="BJ300"/>
  <c r="BI300"/>
  <c r="BH300"/>
  <c r="BG300"/>
  <c r="BF300"/>
  <c r="BE300"/>
  <c r="BD300"/>
  <c r="BC300"/>
  <c r="BB300"/>
  <c r="AX300"/>
  <c r="AW300"/>
  <c r="AV300"/>
  <c r="AC300"/>
  <c r="H300"/>
  <c r="G300" s="1"/>
  <c r="BT299"/>
  <c r="BS299"/>
  <c r="BR299"/>
  <c r="BQ299"/>
  <c r="BP299"/>
  <c r="BO299"/>
  <c r="BN299"/>
  <c r="BM299"/>
  <c r="BK299"/>
  <c r="BJ299"/>
  <c r="BI299"/>
  <c r="BH299"/>
  <c r="BG299"/>
  <c r="BF299"/>
  <c r="BE299"/>
  <c r="BD299"/>
  <c r="BC299"/>
  <c r="BB299"/>
  <c r="BA299" s="1"/>
  <c r="AX299"/>
  <c r="AW299"/>
  <c r="AV299"/>
  <c r="AC299"/>
  <c r="H299"/>
  <c r="G299" s="1"/>
  <c r="BT298"/>
  <c r="BS298"/>
  <c r="BR298"/>
  <c r="BQ298"/>
  <c r="BP298"/>
  <c r="BO298"/>
  <c r="BN298"/>
  <c r="BM298"/>
  <c r="BK298"/>
  <c r="BJ298"/>
  <c r="BI298"/>
  <c r="BH298"/>
  <c r="BG298"/>
  <c r="BF298"/>
  <c r="BE298"/>
  <c r="BD298"/>
  <c r="BC298"/>
  <c r="BB298"/>
  <c r="BA298" s="1"/>
  <c r="AX298"/>
  <c r="AW298"/>
  <c r="AV298"/>
  <c r="AC298"/>
  <c r="H298"/>
  <c r="G298" s="1"/>
  <c r="BT297"/>
  <c r="BS297"/>
  <c r="BR297"/>
  <c r="BQ297"/>
  <c r="BP297"/>
  <c r="BO297"/>
  <c r="BN297"/>
  <c r="BM297"/>
  <c r="BK297"/>
  <c r="BJ297"/>
  <c r="BI297"/>
  <c r="BH297"/>
  <c r="BG297"/>
  <c r="BF297"/>
  <c r="BE297"/>
  <c r="BD297"/>
  <c r="BC297"/>
  <c r="BB297"/>
  <c r="AX297"/>
  <c r="AW297"/>
  <c r="AV297"/>
  <c r="AC297"/>
  <c r="H297"/>
  <c r="G297" s="1"/>
  <c r="BT296"/>
  <c r="BS296"/>
  <c r="BR296"/>
  <c r="BQ296"/>
  <c r="BP296"/>
  <c r="BO296"/>
  <c r="BN296"/>
  <c r="BM296"/>
  <c r="BK296"/>
  <c r="BJ296"/>
  <c r="BI296"/>
  <c r="BH296"/>
  <c r="BG296"/>
  <c r="BF296"/>
  <c r="BE296"/>
  <c r="BD296"/>
  <c r="BC296"/>
  <c r="BB296"/>
  <c r="AX296"/>
  <c r="AW296"/>
  <c r="AV296"/>
  <c r="AC296"/>
  <c r="H296"/>
  <c r="G296" s="1"/>
  <c r="BT295"/>
  <c r="BS295"/>
  <c r="BR295"/>
  <c r="BQ295"/>
  <c r="BP295"/>
  <c r="BO295"/>
  <c r="BN295"/>
  <c r="BM295"/>
  <c r="BK295"/>
  <c r="BJ295"/>
  <c r="BI295"/>
  <c r="BH295"/>
  <c r="BG295"/>
  <c r="BF295"/>
  <c r="BE295"/>
  <c r="BD295"/>
  <c r="BC295"/>
  <c r="BB295"/>
  <c r="BA295"/>
  <c r="AX295"/>
  <c r="AW295"/>
  <c r="AV295"/>
  <c r="AC295"/>
  <c r="H295"/>
  <c r="G295" s="1"/>
  <c r="BT294"/>
  <c r="BS294"/>
  <c r="BR294"/>
  <c r="BQ294"/>
  <c r="BP294"/>
  <c r="BO294"/>
  <c r="BN294"/>
  <c r="BM294"/>
  <c r="BK294"/>
  <c r="BJ294"/>
  <c r="BI294"/>
  <c r="BH294"/>
  <c r="BG294"/>
  <c r="BF294"/>
  <c r="BE294"/>
  <c r="BD294"/>
  <c r="BC294"/>
  <c r="BB294"/>
  <c r="BA294"/>
  <c r="AX294"/>
  <c r="AW294"/>
  <c r="AV294"/>
  <c r="AC294"/>
  <c r="H294"/>
  <c r="G294" s="1"/>
  <c r="BT293"/>
  <c r="BS293"/>
  <c r="BR293"/>
  <c r="BQ293"/>
  <c r="BP293"/>
  <c r="BO293"/>
  <c r="BN293"/>
  <c r="BL293" s="1"/>
  <c r="BM293"/>
  <c r="BK293"/>
  <c r="BJ293"/>
  <c r="BI293"/>
  <c r="BH293"/>
  <c r="BG293"/>
  <c r="BF293"/>
  <c r="BE293"/>
  <c r="BD293"/>
  <c r="BC293"/>
  <c r="BB293"/>
  <c r="BA293" s="1"/>
  <c r="AX293"/>
  <c r="AW293"/>
  <c r="AV293"/>
  <c r="AC293"/>
  <c r="H293"/>
  <c r="G293" s="1"/>
  <c r="BT292"/>
  <c r="BS292"/>
  <c r="BR292"/>
  <c r="BQ292"/>
  <c r="BP292"/>
  <c r="BO292"/>
  <c r="BN292"/>
  <c r="BM292"/>
  <c r="BK292"/>
  <c r="BJ292"/>
  <c r="BI292"/>
  <c r="BH292"/>
  <c r="BG292"/>
  <c r="BF292"/>
  <c r="BE292"/>
  <c r="BD292"/>
  <c r="BC292"/>
  <c r="BB292"/>
  <c r="AX292"/>
  <c r="AW292"/>
  <c r="AV292"/>
  <c r="AC292"/>
  <c r="H292"/>
  <c r="G292" s="1"/>
  <c r="BT291"/>
  <c r="BS291"/>
  <c r="BR291"/>
  <c r="BQ291"/>
  <c r="BP291"/>
  <c r="BO291"/>
  <c r="BN291"/>
  <c r="BM291"/>
  <c r="BL291" s="1"/>
  <c r="BK291"/>
  <c r="BJ291"/>
  <c r="BI291"/>
  <c r="BH291"/>
  <c r="BG291"/>
  <c r="BF291"/>
  <c r="BE291"/>
  <c r="BD291"/>
  <c r="BC291"/>
  <c r="BB291"/>
  <c r="AX291"/>
  <c r="AW291"/>
  <c r="AV291"/>
  <c r="AC291"/>
  <c r="H291"/>
  <c r="G291" s="1"/>
  <c r="BT290"/>
  <c r="BS290"/>
  <c r="BR290"/>
  <c r="BQ290"/>
  <c r="BP290"/>
  <c r="BO290"/>
  <c r="BN290"/>
  <c r="BM290"/>
  <c r="BL290" s="1"/>
  <c r="BK290"/>
  <c r="BJ290"/>
  <c r="BI290"/>
  <c r="BH290"/>
  <c r="BG290"/>
  <c r="BF290"/>
  <c r="BE290"/>
  <c r="BD290"/>
  <c r="BC290"/>
  <c r="BB290"/>
  <c r="AX290"/>
  <c r="AW290"/>
  <c r="AV290"/>
  <c r="AC290"/>
  <c r="H290"/>
  <c r="G290"/>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s="1"/>
  <c r="AX288"/>
  <c r="AW288"/>
  <c r="AV288"/>
  <c r="AC288"/>
  <c r="H288"/>
  <c r="G288" s="1"/>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BA286" s="1"/>
  <c r="AX286"/>
  <c r="AW286"/>
  <c r="AV286"/>
  <c r="AC286"/>
  <c r="H286"/>
  <c r="G286" s="1"/>
  <c r="BT285"/>
  <c r="BS285"/>
  <c r="BR285"/>
  <c r="BQ285"/>
  <c r="BP285"/>
  <c r="BO285"/>
  <c r="BL285" s="1"/>
  <c r="BN285"/>
  <c r="BM285"/>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BA284" s="1"/>
  <c r="AX284"/>
  <c r="AW284"/>
  <c r="AV284"/>
  <c r="AC284"/>
  <c r="H284"/>
  <c r="G284" s="1"/>
  <c r="BT283"/>
  <c r="BS283"/>
  <c r="BR283"/>
  <c r="BQ283"/>
  <c r="BP283"/>
  <c r="BO283"/>
  <c r="BN283"/>
  <c r="BL283" s="1"/>
  <c r="BM283"/>
  <c r="BK283"/>
  <c r="BJ283"/>
  <c r="BI283"/>
  <c r="BH283"/>
  <c r="BG283"/>
  <c r="BF283"/>
  <c r="BE283"/>
  <c r="BD283"/>
  <c r="BC283"/>
  <c r="BB283"/>
  <c r="AX283"/>
  <c r="AW283"/>
  <c r="AV283"/>
  <c r="AC283"/>
  <c r="H283"/>
  <c r="G283" s="1"/>
  <c r="BT282"/>
  <c r="BS282"/>
  <c r="BR282"/>
  <c r="BQ282"/>
  <c r="BP282"/>
  <c r="BO282"/>
  <c r="BN282"/>
  <c r="BL282" s="1"/>
  <c r="BM282"/>
  <c r="BK282"/>
  <c r="BJ282"/>
  <c r="BI282"/>
  <c r="BH282"/>
  <c r="BG282"/>
  <c r="BF282"/>
  <c r="BE282"/>
  <c r="BD282"/>
  <c r="BC282"/>
  <c r="BB282"/>
  <c r="BA282" s="1"/>
  <c r="AX282"/>
  <c r="AW282"/>
  <c r="AV282"/>
  <c r="AC282"/>
  <c r="H282"/>
  <c r="G282"/>
  <c r="BT281"/>
  <c r="BS281"/>
  <c r="BR281"/>
  <c r="BQ281"/>
  <c r="BP281"/>
  <c r="BO281"/>
  <c r="BN281"/>
  <c r="BM281"/>
  <c r="BK281"/>
  <c r="BJ281"/>
  <c r="BI281"/>
  <c r="BH281"/>
  <c r="BG281"/>
  <c r="BF281"/>
  <c r="BE281"/>
  <c r="BD281"/>
  <c r="BC281"/>
  <c r="BB281"/>
  <c r="BA281" s="1"/>
  <c r="AX281"/>
  <c r="AW281"/>
  <c r="AV281"/>
  <c r="AC281"/>
  <c r="H281"/>
  <c r="G281" s="1"/>
  <c r="BT280"/>
  <c r="BS280"/>
  <c r="BR280"/>
  <c r="BQ280"/>
  <c r="BP280"/>
  <c r="BO280"/>
  <c r="BN280"/>
  <c r="BL280" s="1"/>
  <c r="BM280"/>
  <c r="BK280"/>
  <c r="BJ280"/>
  <c r="BI280"/>
  <c r="BH280"/>
  <c r="BG280"/>
  <c r="BF280"/>
  <c r="BE280"/>
  <c r="BD280"/>
  <c r="BC280"/>
  <c r="BB280"/>
  <c r="BA280" s="1"/>
  <c r="AX280"/>
  <c r="AW280"/>
  <c r="AV280"/>
  <c r="AC280"/>
  <c r="H280"/>
  <c r="G280" s="1"/>
  <c r="BT279"/>
  <c r="BS279"/>
  <c r="BR279"/>
  <c r="BQ279"/>
  <c r="BP279"/>
  <c r="BO279"/>
  <c r="BN279"/>
  <c r="BL279" s="1"/>
  <c r="BM279"/>
  <c r="BK279"/>
  <c r="BJ279"/>
  <c r="BI279"/>
  <c r="BH279"/>
  <c r="BG279"/>
  <c r="BF279"/>
  <c r="BE279"/>
  <c r="BD279"/>
  <c r="BC279"/>
  <c r="BB279"/>
  <c r="BA279" s="1"/>
  <c r="AX279"/>
  <c r="AW279"/>
  <c r="AV279"/>
  <c r="AC279"/>
  <c r="H279"/>
  <c r="G279" s="1"/>
  <c r="BT278"/>
  <c r="BS278"/>
  <c r="BR278"/>
  <c r="BQ278"/>
  <c r="BP278"/>
  <c r="BO278"/>
  <c r="BN278"/>
  <c r="BL278" s="1"/>
  <c r="BM278"/>
  <c r="BK278"/>
  <c r="BJ278"/>
  <c r="BI278"/>
  <c r="BH278"/>
  <c r="BG278"/>
  <c r="BF278"/>
  <c r="BE278"/>
  <c r="BD278"/>
  <c r="BC278"/>
  <c r="BB278"/>
  <c r="BA278" s="1"/>
  <c r="AX278"/>
  <c r="AW278"/>
  <c r="AV278"/>
  <c r="AC278"/>
  <c r="H278"/>
  <c r="G278" s="1"/>
  <c r="BT277"/>
  <c r="BS277"/>
  <c r="BR277"/>
  <c r="BQ277"/>
  <c r="BP277"/>
  <c r="BO277"/>
  <c r="BN277"/>
  <c r="BM277"/>
  <c r="BK277"/>
  <c r="BJ277"/>
  <c r="BI277"/>
  <c r="BH277"/>
  <c r="BG277"/>
  <c r="BF277"/>
  <c r="BE277"/>
  <c r="BD277"/>
  <c r="BC277"/>
  <c r="BB277"/>
  <c r="AX277"/>
  <c r="AW277"/>
  <c r="AV277"/>
  <c r="AC277"/>
  <c r="H277"/>
  <c r="G277" s="1"/>
  <c r="BT276"/>
  <c r="BS276"/>
  <c r="BR276"/>
  <c r="BQ276"/>
  <c r="BP276"/>
  <c r="BO276"/>
  <c r="BL276" s="1"/>
  <c r="BN276"/>
  <c r="BM276"/>
  <c r="BK276"/>
  <c r="BJ276"/>
  <c r="BI276"/>
  <c r="BH276"/>
  <c r="BG276"/>
  <c r="BF276"/>
  <c r="BE276"/>
  <c r="BD276"/>
  <c r="BC276"/>
  <c r="BB276"/>
  <c r="AX276"/>
  <c r="AW276"/>
  <c r="AV276"/>
  <c r="AC276"/>
  <c r="H276"/>
  <c r="G276" s="1"/>
  <c r="BT275"/>
  <c r="BS275"/>
  <c r="BR275"/>
  <c r="BQ275"/>
  <c r="BP275"/>
  <c r="BO275"/>
  <c r="BN275"/>
  <c r="BM275"/>
  <c r="BK275"/>
  <c r="BJ275"/>
  <c r="BI275"/>
  <c r="BH275"/>
  <c r="BG275"/>
  <c r="BF275"/>
  <c r="BE275"/>
  <c r="BD275"/>
  <c r="BC275"/>
  <c r="BB275"/>
  <c r="AX275"/>
  <c r="AW275"/>
  <c r="AV275"/>
  <c r="AC275"/>
  <c r="H275"/>
  <c r="G275" s="1"/>
  <c r="BT274"/>
  <c r="BS274"/>
  <c r="BR274"/>
  <c r="BQ274"/>
  <c r="BP274"/>
  <c r="BO274"/>
  <c r="BN274"/>
  <c r="BM274"/>
  <c r="BK274"/>
  <c r="BJ274"/>
  <c r="BI274"/>
  <c r="BH274"/>
  <c r="BG274"/>
  <c r="BF274"/>
  <c r="BE274"/>
  <c r="BD274"/>
  <c r="BC274"/>
  <c r="BB274"/>
  <c r="BA274" s="1"/>
  <c r="AX274"/>
  <c r="AW274"/>
  <c r="AV274"/>
  <c r="AC274"/>
  <c r="H274"/>
  <c r="G274" s="1"/>
  <c r="BT273"/>
  <c r="BS273"/>
  <c r="BR273"/>
  <c r="BQ273"/>
  <c r="BP273"/>
  <c r="BO273"/>
  <c r="BN273"/>
  <c r="BL273" s="1"/>
  <c r="BM273"/>
  <c r="BK273"/>
  <c r="BJ273"/>
  <c r="BI273"/>
  <c r="BH273"/>
  <c r="BG273"/>
  <c r="BF273"/>
  <c r="BE273"/>
  <c r="BD273"/>
  <c r="BC273"/>
  <c r="BB273"/>
  <c r="AX273"/>
  <c r="AW273"/>
  <c r="AV273"/>
  <c r="AC273"/>
  <c r="H273"/>
  <c r="G273" s="1"/>
  <c r="BT272"/>
  <c r="BS272"/>
  <c r="BR272"/>
  <c r="BQ272"/>
  <c r="BP272"/>
  <c r="BO272"/>
  <c r="BN272"/>
  <c r="BL272" s="1"/>
  <c r="BM272"/>
  <c r="BK272"/>
  <c r="BJ272"/>
  <c r="BI272"/>
  <c r="BH272"/>
  <c r="BG272"/>
  <c r="BF272"/>
  <c r="BE272"/>
  <c r="BD272"/>
  <c r="BC272"/>
  <c r="BB272"/>
  <c r="BA272" s="1"/>
  <c r="AX272"/>
  <c r="AW272"/>
  <c r="AV272"/>
  <c r="AC272"/>
  <c r="H272"/>
  <c r="G272"/>
  <c r="BT271"/>
  <c r="BS271"/>
  <c r="BR271"/>
  <c r="BQ271"/>
  <c r="BP271"/>
  <c r="BO271"/>
  <c r="BN271"/>
  <c r="BM271"/>
  <c r="BK271"/>
  <c r="BJ271"/>
  <c r="BI271"/>
  <c r="BH271"/>
  <c r="BG271"/>
  <c r="BF271"/>
  <c r="BE271"/>
  <c r="BD271"/>
  <c r="BC271"/>
  <c r="BB271"/>
  <c r="BA271" s="1"/>
  <c r="AX271"/>
  <c r="AW271"/>
  <c r="AV271"/>
  <c r="AC271"/>
  <c r="H271"/>
  <c r="G271" s="1"/>
  <c r="BT270"/>
  <c r="BS270"/>
  <c r="BR270"/>
  <c r="BQ270"/>
  <c r="BP270"/>
  <c r="BO270"/>
  <c r="BN270"/>
  <c r="BM270"/>
  <c r="BK270"/>
  <c r="BJ270"/>
  <c r="BI270"/>
  <c r="BH270"/>
  <c r="BG270"/>
  <c r="BF270"/>
  <c r="BE270"/>
  <c r="BD270"/>
  <c r="BC270"/>
  <c r="BB270"/>
  <c r="AX270"/>
  <c r="AW270"/>
  <c r="AV270"/>
  <c r="AC270"/>
  <c r="H270"/>
  <c r="G270" s="1"/>
  <c r="BT269"/>
  <c r="BS269"/>
  <c r="BR269"/>
  <c r="BQ269"/>
  <c r="BP269"/>
  <c r="BO269"/>
  <c r="BL269" s="1"/>
  <c r="BN269"/>
  <c r="BM269"/>
  <c r="BK269"/>
  <c r="BJ269"/>
  <c r="BI269"/>
  <c r="BH269"/>
  <c r="BG269"/>
  <c r="BF269"/>
  <c r="BE269"/>
  <c r="BD269"/>
  <c r="BC269"/>
  <c r="BB269"/>
  <c r="AX269"/>
  <c r="AW269"/>
  <c r="AV269"/>
  <c r="AC269"/>
  <c r="H269"/>
  <c r="G269" s="1"/>
  <c r="BT268"/>
  <c r="BS268"/>
  <c r="BR268"/>
  <c r="BQ268"/>
  <c r="BP268"/>
  <c r="BO268"/>
  <c r="BL268" s="1"/>
  <c r="BN268"/>
  <c r="BM268"/>
  <c r="BK268"/>
  <c r="BJ268"/>
  <c r="BI268"/>
  <c r="BH268"/>
  <c r="BG268"/>
  <c r="BF268"/>
  <c r="BE268"/>
  <c r="BD268"/>
  <c r="BC268"/>
  <c r="BB268"/>
  <c r="AX268"/>
  <c r="AW268"/>
  <c r="AV268"/>
  <c r="AC268"/>
  <c r="H268"/>
  <c r="G268" s="1"/>
  <c r="BT267"/>
  <c r="BS267"/>
  <c r="BR267"/>
  <c r="BQ267"/>
  <c r="BP267"/>
  <c r="BO267"/>
  <c r="BL267" s="1"/>
  <c r="BN267"/>
  <c r="BM267"/>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AX266"/>
  <c r="AW266"/>
  <c r="AV266"/>
  <c r="AC266"/>
  <c r="H266"/>
  <c r="G266" s="1"/>
  <c r="BT265"/>
  <c r="BS265"/>
  <c r="BR265"/>
  <c r="BQ265"/>
  <c r="BP265"/>
  <c r="BO265"/>
  <c r="BL265" s="1"/>
  <c r="BN265"/>
  <c r="BM265"/>
  <c r="BK265"/>
  <c r="BJ265"/>
  <c r="BI265"/>
  <c r="BH265"/>
  <c r="BG265"/>
  <c r="BF265"/>
  <c r="BE265"/>
  <c r="BD265"/>
  <c r="BC265"/>
  <c r="BB265"/>
  <c r="AX265"/>
  <c r="AW265"/>
  <c r="AV265"/>
  <c r="AC265"/>
  <c r="H265"/>
  <c r="G265" s="1"/>
  <c r="BT264"/>
  <c r="BS264"/>
  <c r="BR264"/>
  <c r="BQ264"/>
  <c r="BP264"/>
  <c r="BO264"/>
  <c r="BL264" s="1"/>
  <c r="BN264"/>
  <c r="BM264"/>
  <c r="BK264"/>
  <c r="BJ264"/>
  <c r="BI264"/>
  <c r="BH264"/>
  <c r="BG264"/>
  <c r="BF264"/>
  <c r="BE264"/>
  <c r="BD264"/>
  <c r="BC264"/>
  <c r="BB264"/>
  <c r="AX264"/>
  <c r="AW264"/>
  <c r="AV264"/>
  <c r="AC264"/>
  <c r="H264"/>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AX262"/>
  <c r="AW262"/>
  <c r="AV262"/>
  <c r="AC262"/>
  <c r="H262"/>
  <c r="BT261"/>
  <c r="BS261"/>
  <c r="BR261"/>
  <c r="BQ261"/>
  <c r="BP261"/>
  <c r="BO261"/>
  <c r="BN261"/>
  <c r="BL261" s="1"/>
  <c r="BM261"/>
  <c r="BK261"/>
  <c r="BJ261"/>
  <c r="BI261"/>
  <c r="BH261"/>
  <c r="BG261"/>
  <c r="BF261"/>
  <c r="BE261"/>
  <c r="BD261"/>
  <c r="BC261"/>
  <c r="BB261"/>
  <c r="BA261" s="1"/>
  <c r="AX261"/>
  <c r="AW261"/>
  <c r="AV261"/>
  <c r="AC261"/>
  <c r="H261"/>
  <c r="G261" s="1"/>
  <c r="BT260"/>
  <c r="BS260"/>
  <c r="BR260"/>
  <c r="BQ260"/>
  <c r="BP260"/>
  <c r="BO260"/>
  <c r="BN260"/>
  <c r="BM260"/>
  <c r="BK260"/>
  <c r="BJ260"/>
  <c r="BI260"/>
  <c r="BH260"/>
  <c r="BG260"/>
  <c r="BF260"/>
  <c r="BE260"/>
  <c r="BD260"/>
  <c r="BC260"/>
  <c r="BB260"/>
  <c r="AX260"/>
  <c r="AW260"/>
  <c r="AV260"/>
  <c r="AC260"/>
  <c r="H260"/>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K258"/>
  <c r="BJ258"/>
  <c r="BI258"/>
  <c r="BH258"/>
  <c r="BG258"/>
  <c r="BF258"/>
  <c r="BE258"/>
  <c r="BD258"/>
  <c r="BC258"/>
  <c r="BB258"/>
  <c r="BA258" s="1"/>
  <c r="AX258"/>
  <c r="AW258"/>
  <c r="AV258"/>
  <c r="AC258"/>
  <c r="H258"/>
  <c r="BT257"/>
  <c r="BS257"/>
  <c r="BR257"/>
  <c r="BQ257"/>
  <c r="BP257"/>
  <c r="BO257"/>
  <c r="BL257" s="1"/>
  <c r="BN257"/>
  <c r="BM257"/>
  <c r="BK257"/>
  <c r="BJ257"/>
  <c r="BI257"/>
  <c r="BH257"/>
  <c r="BG257"/>
  <c r="BF257"/>
  <c r="BE257"/>
  <c r="BD257"/>
  <c r="BC257"/>
  <c r="BB257"/>
  <c r="AX257"/>
  <c r="AW257"/>
  <c r="AV257"/>
  <c r="AC257"/>
  <c r="H257"/>
  <c r="G257" s="1"/>
  <c r="BT256"/>
  <c r="BS256"/>
  <c r="BR256"/>
  <c r="BQ256"/>
  <c r="BP256"/>
  <c r="BO256"/>
  <c r="BL256" s="1"/>
  <c r="BN256"/>
  <c r="BM256"/>
  <c r="BK256"/>
  <c r="BJ256"/>
  <c r="BI256"/>
  <c r="BH256"/>
  <c r="BG256"/>
  <c r="BF256"/>
  <c r="BE256"/>
  <c r="BD256"/>
  <c r="BC256"/>
  <c r="BB256"/>
  <c r="AX256"/>
  <c r="AW256"/>
  <c r="AV256"/>
  <c r="AC256"/>
  <c r="H256"/>
  <c r="G256" s="1"/>
  <c r="BT255"/>
  <c r="BS255"/>
  <c r="BR255"/>
  <c r="BQ255"/>
  <c r="BP255"/>
  <c r="BO255"/>
  <c r="BN255"/>
  <c r="BM255"/>
  <c r="BK255"/>
  <c r="BJ255"/>
  <c r="BI255"/>
  <c r="BH255"/>
  <c r="BG255"/>
  <c r="BF255"/>
  <c r="BE255"/>
  <c r="BD255"/>
  <c r="BC255"/>
  <c r="BB255"/>
  <c r="AX255"/>
  <c r="AW255"/>
  <c r="AV255"/>
  <c r="AC255"/>
  <c r="H255"/>
  <c r="BT254"/>
  <c r="BS254"/>
  <c r="BR254"/>
  <c r="BQ254"/>
  <c r="BP254"/>
  <c r="BO254"/>
  <c r="BN254"/>
  <c r="BM254"/>
  <c r="BK254"/>
  <c r="BJ254"/>
  <c r="BI254"/>
  <c r="BH254"/>
  <c r="BG254"/>
  <c r="BF254"/>
  <c r="BE254"/>
  <c r="BD254"/>
  <c r="BC254"/>
  <c r="BB254"/>
  <c r="BA254" s="1"/>
  <c r="AX254"/>
  <c r="AW254"/>
  <c r="AV254"/>
  <c r="AC254"/>
  <c r="H254"/>
  <c r="BT253"/>
  <c r="BS253"/>
  <c r="BR253"/>
  <c r="BQ253"/>
  <c r="BP253"/>
  <c r="BO253"/>
  <c r="BN253"/>
  <c r="BL253" s="1"/>
  <c r="BM253"/>
  <c r="BK253"/>
  <c r="BJ253"/>
  <c r="BI253"/>
  <c r="BH253"/>
  <c r="BG253"/>
  <c r="BF253"/>
  <c r="BE253"/>
  <c r="BD253"/>
  <c r="BC253"/>
  <c r="BB253"/>
  <c r="BA253" s="1"/>
  <c r="AX253"/>
  <c r="AW253"/>
  <c r="AV253"/>
  <c r="AC253"/>
  <c r="H253"/>
  <c r="BT252"/>
  <c r="BS252"/>
  <c r="BR252"/>
  <c r="BQ252"/>
  <c r="BP252"/>
  <c r="BO252"/>
  <c r="BN252"/>
  <c r="BL252" s="1"/>
  <c r="BM252"/>
  <c r="BK252"/>
  <c r="BJ252"/>
  <c r="BI252"/>
  <c r="BH252"/>
  <c r="BG252"/>
  <c r="BF252"/>
  <c r="BE252"/>
  <c r="BD252"/>
  <c r="BC252"/>
  <c r="BB252"/>
  <c r="BA252" s="1"/>
  <c r="AX252"/>
  <c r="AW252"/>
  <c r="AV252"/>
  <c r="AC252"/>
  <c r="H252"/>
  <c r="BT251"/>
  <c r="BS251"/>
  <c r="BR251"/>
  <c r="BQ251"/>
  <c r="BP251"/>
  <c r="BO251"/>
  <c r="BN251"/>
  <c r="BM25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AX250"/>
  <c r="AW250"/>
  <c r="AV250"/>
  <c r="AC250"/>
  <c r="H250"/>
  <c r="BT249"/>
  <c r="BS249"/>
  <c r="BR249"/>
  <c r="BQ249"/>
  <c r="BP249"/>
  <c r="BO249"/>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AX248"/>
  <c r="AW248"/>
  <c r="AV248"/>
  <c r="AC248"/>
  <c r="H248"/>
  <c r="BT247"/>
  <c r="BS247"/>
  <c r="BR247"/>
  <c r="BQ247"/>
  <c r="BP247"/>
  <c r="BO247"/>
  <c r="BN247"/>
  <c r="BM247"/>
  <c r="BK247"/>
  <c r="BJ247"/>
  <c r="BI247"/>
  <c r="BH247"/>
  <c r="BG247"/>
  <c r="BF247"/>
  <c r="BE247"/>
  <c r="BD247"/>
  <c r="BC247"/>
  <c r="BB247"/>
  <c r="BA247" s="1"/>
  <c r="AX247"/>
  <c r="AW247"/>
  <c r="AV247"/>
  <c r="AC247"/>
  <c r="H247"/>
  <c r="BT246"/>
  <c r="BS246"/>
  <c r="BR246"/>
  <c r="BQ246"/>
  <c r="BP246"/>
  <c r="BO246"/>
  <c r="BN246"/>
  <c r="BM246"/>
  <c r="BK246"/>
  <c r="BJ246"/>
  <c r="BI246"/>
  <c r="BH246"/>
  <c r="BG246"/>
  <c r="BF246"/>
  <c r="BE246"/>
  <c r="BD246"/>
  <c r="BC246"/>
  <c r="BB246"/>
  <c r="AX246"/>
  <c r="AW246"/>
  <c r="AV246"/>
  <c r="AC246"/>
  <c r="H246"/>
  <c r="BT245"/>
  <c r="BS245"/>
  <c r="BR245"/>
  <c r="BQ245"/>
  <c r="BP245"/>
  <c r="BO245"/>
  <c r="BN245"/>
  <c r="BM245"/>
  <c r="BK245"/>
  <c r="BJ245"/>
  <c r="BI245"/>
  <c r="BH245"/>
  <c r="BG245"/>
  <c r="BF245"/>
  <c r="BE245"/>
  <c r="BD245"/>
  <c r="BC245"/>
  <c r="BB245"/>
  <c r="BA245" s="1"/>
  <c r="AX245"/>
  <c r="AW245"/>
  <c r="AV245"/>
  <c r="AC245"/>
  <c r="H245"/>
  <c r="G245"/>
  <c r="BT244"/>
  <c r="BS244"/>
  <c r="BR244"/>
  <c r="BQ244"/>
  <c r="BP244"/>
  <c r="BO244"/>
  <c r="BN244"/>
  <c r="BM244"/>
  <c r="BK244"/>
  <c r="BJ244"/>
  <c r="BI244"/>
  <c r="BH244"/>
  <c r="BG244"/>
  <c r="BF244"/>
  <c r="BE244"/>
  <c r="BD244"/>
  <c r="BC244"/>
  <c r="BB244"/>
  <c r="BA244" s="1"/>
  <c r="AX244"/>
  <c r="AW244"/>
  <c r="AV244"/>
  <c r="AC244"/>
  <c r="H244"/>
  <c r="BT243"/>
  <c r="BS243"/>
  <c r="BR243"/>
  <c r="BQ243"/>
  <c r="BP243"/>
  <c r="BO243"/>
  <c r="BN243"/>
  <c r="BL243" s="1"/>
  <c r="BM243"/>
  <c r="BK243"/>
  <c r="BJ243"/>
  <c r="BI243"/>
  <c r="BH243"/>
  <c r="BG243"/>
  <c r="BF243"/>
  <c r="BE243"/>
  <c r="BD243"/>
  <c r="BC243"/>
  <c r="BB243"/>
  <c r="AX243"/>
  <c r="AW243"/>
  <c r="AV243"/>
  <c r="AC243"/>
  <c r="H243"/>
  <c r="G243" s="1"/>
  <c r="BT242"/>
  <c r="BS242"/>
  <c r="BR242"/>
  <c r="BQ242"/>
  <c r="BP242"/>
  <c r="BO242"/>
  <c r="BN242"/>
  <c r="BM242"/>
  <c r="BK242"/>
  <c r="BJ242"/>
  <c r="BI242"/>
  <c r="BH242"/>
  <c r="BG242"/>
  <c r="BF242"/>
  <c r="BE242"/>
  <c r="BD242"/>
  <c r="BC242"/>
  <c r="BB242"/>
  <c r="BA242" s="1"/>
  <c r="AX242"/>
  <c r="AW242"/>
  <c r="AV242"/>
  <c r="AC242"/>
  <c r="H242"/>
  <c r="G242"/>
  <c r="BT241"/>
  <c r="BS241"/>
  <c r="BR241"/>
  <c r="BQ241"/>
  <c r="BP241"/>
  <c r="BO241"/>
  <c r="BN241"/>
  <c r="BM241"/>
  <c r="BK241"/>
  <c r="BJ241"/>
  <c r="BI241"/>
  <c r="BH241"/>
  <c r="BG241"/>
  <c r="BF241"/>
  <c r="BE241"/>
  <c r="BD241"/>
  <c r="BC241"/>
  <c r="BB241"/>
  <c r="BA241" s="1"/>
  <c r="AX241"/>
  <c r="AW241"/>
  <c r="AV241"/>
  <c r="AC241"/>
  <c r="H241"/>
  <c r="BT240"/>
  <c r="BS240"/>
  <c r="BR240"/>
  <c r="BQ240"/>
  <c r="BP240"/>
  <c r="BO240"/>
  <c r="BN240"/>
  <c r="BM240"/>
  <c r="BK240"/>
  <c r="BJ240"/>
  <c r="BI240"/>
  <c r="BH240"/>
  <c r="BG240"/>
  <c r="BF240"/>
  <c r="BE240"/>
  <c r="BD240"/>
  <c r="BC240"/>
  <c r="BB240"/>
  <c r="BA240" s="1"/>
  <c r="AX240"/>
  <c r="AW240"/>
  <c r="AV240"/>
  <c r="AC240"/>
  <c r="H240"/>
  <c r="G240" s="1"/>
  <c r="BT239"/>
  <c r="BS239"/>
  <c r="BR239"/>
  <c r="BQ239"/>
  <c r="BP239"/>
  <c r="BO239"/>
  <c r="BN239"/>
  <c r="BM239"/>
  <c r="BK239"/>
  <c r="BJ239"/>
  <c r="BI239"/>
  <c r="BH239"/>
  <c r="BG239"/>
  <c r="BF239"/>
  <c r="BE239"/>
  <c r="BD239"/>
  <c r="BC239"/>
  <c r="BB239"/>
  <c r="BA239" s="1"/>
  <c r="AX239"/>
  <c r="AW239"/>
  <c r="AV239"/>
  <c r="AC239"/>
  <c r="H239"/>
  <c r="BT238"/>
  <c r="BS238"/>
  <c r="BR238"/>
  <c r="BQ238"/>
  <c r="BP238"/>
  <c r="BO238"/>
  <c r="BN238"/>
  <c r="BL238" s="1"/>
  <c r="BM238"/>
  <c r="BK238"/>
  <c r="BJ238"/>
  <c r="BI238"/>
  <c r="BH238"/>
  <c r="BG238"/>
  <c r="BF238"/>
  <c r="BE238"/>
  <c r="BD238"/>
  <c r="BC238"/>
  <c r="BB238"/>
  <c r="BA238" s="1"/>
  <c r="AX238"/>
  <c r="AW238"/>
  <c r="AV238"/>
  <c r="AC238"/>
  <c r="H238"/>
  <c r="G238" s="1"/>
  <c r="BT237"/>
  <c r="BS237"/>
  <c r="BR237"/>
  <c r="BQ237"/>
  <c r="BP237"/>
  <c r="BO237"/>
  <c r="BN237"/>
  <c r="BM237"/>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G236" s="1"/>
  <c r="BT235"/>
  <c r="BS235"/>
  <c r="BR235"/>
  <c r="BQ235"/>
  <c r="BP235"/>
  <c r="BO235"/>
  <c r="BL235" s="1"/>
  <c r="BN235"/>
  <c r="BM235"/>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AX234"/>
  <c r="AW234"/>
  <c r="AV234"/>
  <c r="AC234"/>
  <c r="H234"/>
  <c r="G234" s="1"/>
  <c r="BT233"/>
  <c r="BS233"/>
  <c r="BR233"/>
  <c r="BQ233"/>
  <c r="BP233"/>
  <c r="BO233"/>
  <c r="BN233"/>
  <c r="BM233"/>
  <c r="BK233"/>
  <c r="BJ233"/>
  <c r="BI233"/>
  <c r="BH233"/>
  <c r="BG233"/>
  <c r="BF233"/>
  <c r="BE233"/>
  <c r="BD233"/>
  <c r="BC233"/>
  <c r="BB233"/>
  <c r="BA233" s="1"/>
  <c r="AX233"/>
  <c r="AW233"/>
  <c r="AV233"/>
  <c r="AC233"/>
  <c r="H233"/>
  <c r="BT232"/>
  <c r="BS232"/>
  <c r="BR232"/>
  <c r="BQ232"/>
  <c r="BP232"/>
  <c r="BO232"/>
  <c r="BN232"/>
  <c r="BM232"/>
  <c r="BK232"/>
  <c r="BJ232"/>
  <c r="BI232"/>
  <c r="BH232"/>
  <c r="BG232"/>
  <c r="BF232"/>
  <c r="BE232"/>
  <c r="BD232"/>
  <c r="BC232"/>
  <c r="BB232"/>
  <c r="AX232"/>
  <c r="AW232"/>
  <c r="AV232"/>
  <c r="AC232"/>
  <c r="H232"/>
  <c r="G232" s="1"/>
  <c r="BT231"/>
  <c r="BS231"/>
  <c r="BR231"/>
  <c r="BQ231"/>
  <c r="BP231"/>
  <c r="BO231"/>
  <c r="BN231"/>
  <c r="BM231"/>
  <c r="BK231"/>
  <c r="BJ231"/>
  <c r="BI231"/>
  <c r="BH231"/>
  <c r="BG231"/>
  <c r="BF231"/>
  <c r="BE231"/>
  <c r="BD231"/>
  <c r="BC231"/>
  <c r="BB231"/>
  <c r="AX231"/>
  <c r="AW231"/>
  <c r="AV231"/>
  <c r="AC231"/>
  <c r="H231"/>
  <c r="BT230"/>
  <c r="BS230"/>
  <c r="BR230"/>
  <c r="BQ230"/>
  <c r="BP230"/>
  <c r="BO230"/>
  <c r="BN230"/>
  <c r="BL230" s="1"/>
  <c r="BM230"/>
  <c r="BK230"/>
  <c r="BJ230"/>
  <c r="BI230"/>
  <c r="BH230"/>
  <c r="BG230"/>
  <c r="BF230"/>
  <c r="BE230"/>
  <c r="BD230"/>
  <c r="BC230"/>
  <c r="BB230"/>
  <c r="BA230" s="1"/>
  <c r="AX230"/>
  <c r="AW230"/>
  <c r="AV230"/>
  <c r="AC230"/>
  <c r="H230"/>
  <c r="G230"/>
  <c r="BT229"/>
  <c r="BS229"/>
  <c r="BR229"/>
  <c r="BQ229"/>
  <c r="BP229"/>
  <c r="BO229"/>
  <c r="BN229"/>
  <c r="BM229"/>
  <c r="BK229"/>
  <c r="BJ229"/>
  <c r="BI229"/>
  <c r="BH229"/>
  <c r="BG229"/>
  <c r="BF229"/>
  <c r="BE229"/>
  <c r="BD229"/>
  <c r="BC229"/>
  <c r="BB229"/>
  <c r="BA229" s="1"/>
  <c r="AX229"/>
  <c r="AW229"/>
  <c r="AV229"/>
  <c r="AC229"/>
  <c r="H229"/>
  <c r="G229" s="1"/>
  <c r="BT228"/>
  <c r="BS228"/>
  <c r="BR228"/>
  <c r="BQ228"/>
  <c r="BP228"/>
  <c r="BO228"/>
  <c r="BN228"/>
  <c r="BM228"/>
  <c r="BK228"/>
  <c r="BJ228"/>
  <c r="BI228"/>
  <c r="BH228"/>
  <c r="BG228"/>
  <c r="BF228"/>
  <c r="BE228"/>
  <c r="BD228"/>
  <c r="BC228"/>
  <c r="BB228"/>
  <c r="AX228"/>
  <c r="AW228"/>
  <c r="AV228"/>
  <c r="AC228"/>
  <c r="H228"/>
  <c r="BT227"/>
  <c r="BS227"/>
  <c r="BR227"/>
  <c r="BQ227"/>
  <c r="BP227"/>
  <c r="BO227"/>
  <c r="BN227"/>
  <c r="BM227"/>
  <c r="BK227"/>
  <c r="BJ227"/>
  <c r="BI227"/>
  <c r="BH227"/>
  <c r="BG227"/>
  <c r="BF227"/>
  <c r="BE227"/>
  <c r="BD227"/>
  <c r="BC227"/>
  <c r="BB227"/>
  <c r="AX227"/>
  <c r="AW227"/>
  <c r="AV227"/>
  <c r="AC227"/>
  <c r="H227"/>
  <c r="G227" s="1"/>
  <c r="BT226"/>
  <c r="BS226"/>
  <c r="BR226"/>
  <c r="BQ226"/>
  <c r="BP226"/>
  <c r="BO226"/>
  <c r="BL226" s="1"/>
  <c r="BN226"/>
  <c r="BM226"/>
  <c r="BK226"/>
  <c r="BJ226"/>
  <c r="BI226"/>
  <c r="BH226"/>
  <c r="BG226"/>
  <c r="BF226"/>
  <c r="BE226"/>
  <c r="BD226"/>
  <c r="BC226"/>
  <c r="BB226"/>
  <c r="AX226"/>
  <c r="AW226"/>
  <c r="AV226"/>
  <c r="AC226"/>
  <c r="H226"/>
  <c r="BT225"/>
  <c r="BS225"/>
  <c r="BR225"/>
  <c r="BQ225"/>
  <c r="BP225"/>
  <c r="BO225"/>
  <c r="BN225"/>
  <c r="BM225"/>
  <c r="BK225"/>
  <c r="BJ225"/>
  <c r="BI225"/>
  <c r="BH225"/>
  <c r="BG225"/>
  <c r="BF225"/>
  <c r="BE225"/>
  <c r="BD225"/>
  <c r="BC225"/>
  <c r="BB225"/>
  <c r="BA225" s="1"/>
  <c r="AX225"/>
  <c r="AW225"/>
  <c r="AV225"/>
  <c r="AC225"/>
  <c r="H225"/>
  <c r="G225" s="1"/>
  <c r="BT224"/>
  <c r="BS224"/>
  <c r="BR224"/>
  <c r="BQ224"/>
  <c r="BP224"/>
  <c r="BO224"/>
  <c r="BN224"/>
  <c r="BM224"/>
  <c r="BK224"/>
  <c r="BJ224"/>
  <c r="BI224"/>
  <c r="BH224"/>
  <c r="BG224"/>
  <c r="BF224"/>
  <c r="BE224"/>
  <c r="BD224"/>
  <c r="BC224"/>
  <c r="BB224"/>
  <c r="AX224"/>
  <c r="AW224"/>
  <c r="AV224"/>
  <c r="AC224"/>
  <c r="H224"/>
  <c r="BT223"/>
  <c r="BS223"/>
  <c r="BR223"/>
  <c r="BQ223"/>
  <c r="BP223"/>
  <c r="BO223"/>
  <c r="BN223"/>
  <c r="BM223"/>
  <c r="BK223"/>
  <c r="BJ223"/>
  <c r="BI223"/>
  <c r="BH223"/>
  <c r="BG223"/>
  <c r="BF223"/>
  <c r="BE223"/>
  <c r="BD223"/>
  <c r="BC223"/>
  <c r="BB223"/>
  <c r="AX223"/>
  <c r="AW223"/>
  <c r="AV223"/>
  <c r="AC223"/>
  <c r="H223"/>
  <c r="G223" s="1"/>
  <c r="BT222"/>
  <c r="BS222"/>
  <c r="BR222"/>
  <c r="BQ222"/>
  <c r="BP222"/>
  <c r="BO222"/>
  <c r="BN222"/>
  <c r="BM222"/>
  <c r="BK222"/>
  <c r="BJ222"/>
  <c r="BI222"/>
  <c r="BH222"/>
  <c r="BG222"/>
  <c r="BF222"/>
  <c r="BE222"/>
  <c r="BD222"/>
  <c r="BC222"/>
  <c r="BB222"/>
  <c r="AX222"/>
  <c r="AW222"/>
  <c r="AV222"/>
  <c r="AC222"/>
  <c r="H222"/>
  <c r="BT221"/>
  <c r="BS221"/>
  <c r="BR221"/>
  <c r="BQ221"/>
  <c r="BP221"/>
  <c r="BO221"/>
  <c r="BN221"/>
  <c r="BM221"/>
  <c r="BK221"/>
  <c r="BJ221"/>
  <c r="BI221"/>
  <c r="BH221"/>
  <c r="BG221"/>
  <c r="BF221"/>
  <c r="BE221"/>
  <c r="BD221"/>
  <c r="BC221"/>
  <c r="BB221"/>
  <c r="BA221" s="1"/>
  <c r="AX221"/>
  <c r="AW221"/>
  <c r="AV221"/>
  <c r="AC221"/>
  <c r="H221"/>
  <c r="G221" s="1"/>
  <c r="BT220"/>
  <c r="BS220"/>
  <c r="BR220"/>
  <c r="BQ220"/>
  <c r="BP220"/>
  <c r="BO220"/>
  <c r="BL220" s="1"/>
  <c r="BN220"/>
  <c r="BM220"/>
  <c r="BK220"/>
  <c r="BJ220"/>
  <c r="BI220"/>
  <c r="BH220"/>
  <c r="BG220"/>
  <c r="BF220"/>
  <c r="BE220"/>
  <c r="BD220"/>
  <c r="BC220"/>
  <c r="BB220"/>
  <c r="AX220"/>
  <c r="AW220"/>
  <c r="AV220"/>
  <c r="AC220"/>
  <c r="H220"/>
  <c r="BT219"/>
  <c r="BS219"/>
  <c r="BR219"/>
  <c r="BQ219"/>
  <c r="BP219"/>
  <c r="BO219"/>
  <c r="BN219"/>
  <c r="BM219"/>
  <c r="BK219"/>
  <c r="BJ219"/>
  <c r="BI219"/>
  <c r="BH219"/>
  <c r="BG219"/>
  <c r="BF219"/>
  <c r="BE219"/>
  <c r="BD219"/>
  <c r="BC219"/>
  <c r="BB219"/>
  <c r="BA219" s="1"/>
  <c r="AX219"/>
  <c r="AW219"/>
  <c r="AV219"/>
  <c r="AC219"/>
  <c r="H219"/>
  <c r="G219" s="1"/>
  <c r="BT218"/>
  <c r="BS218"/>
  <c r="BR218"/>
  <c r="BQ218"/>
  <c r="BP218"/>
  <c r="BO218"/>
  <c r="BN218"/>
  <c r="BM218"/>
  <c r="BL218" s="1"/>
  <c r="BK218"/>
  <c r="BJ218"/>
  <c r="BI218"/>
  <c r="BH218"/>
  <c r="BG218"/>
  <c r="BF218"/>
  <c r="BE218"/>
  <c r="BD218"/>
  <c r="BC218"/>
  <c r="BB218"/>
  <c r="AX218"/>
  <c r="AW218"/>
  <c r="AV218"/>
  <c r="AC218"/>
  <c r="H218"/>
  <c r="BT217"/>
  <c r="BS217"/>
  <c r="BR217"/>
  <c r="BQ217"/>
  <c r="BP217"/>
  <c r="BO217"/>
  <c r="BN217"/>
  <c r="BL217" s="1"/>
  <c r="BM217"/>
  <c r="BK217"/>
  <c r="BJ217"/>
  <c r="BI217"/>
  <c r="BH217"/>
  <c r="BG217"/>
  <c r="BF217"/>
  <c r="BE217"/>
  <c r="BD217"/>
  <c r="BC217"/>
  <c r="BB217"/>
  <c r="BA217" s="1"/>
  <c r="AX217"/>
  <c r="AW217"/>
  <c r="AV217"/>
  <c r="AC217"/>
  <c r="H217"/>
  <c r="G217"/>
  <c r="BT216"/>
  <c r="BS216"/>
  <c r="BR216"/>
  <c r="BQ216"/>
  <c r="BP216"/>
  <c r="BO216"/>
  <c r="BN216"/>
  <c r="BM216"/>
  <c r="BK216"/>
  <c r="BJ216"/>
  <c r="BI216"/>
  <c r="BH216"/>
  <c r="BG216"/>
  <c r="BF216"/>
  <c r="BE216"/>
  <c r="BD216"/>
  <c r="BC216"/>
  <c r="BB216"/>
  <c r="BA216" s="1"/>
  <c r="AX216"/>
  <c r="AW216"/>
  <c r="AV216"/>
  <c r="AC216"/>
  <c r="H216"/>
  <c r="BT215"/>
  <c r="BS215"/>
  <c r="BR215"/>
  <c r="BQ215"/>
  <c r="BP215"/>
  <c r="BO215"/>
  <c r="BN215"/>
  <c r="BL215" s="1"/>
  <c r="BM215"/>
  <c r="BK215"/>
  <c r="BJ215"/>
  <c r="BI215"/>
  <c r="BH215"/>
  <c r="BG215"/>
  <c r="BF215"/>
  <c r="BE215"/>
  <c r="BD215"/>
  <c r="BC215"/>
  <c r="BB215"/>
  <c r="AX215"/>
  <c r="AW215"/>
  <c r="AV215"/>
  <c r="AC215"/>
  <c r="H215"/>
  <c r="BT214"/>
  <c r="BS214"/>
  <c r="BR214"/>
  <c r="BQ214"/>
  <c r="BP214"/>
  <c r="BO214"/>
  <c r="BN214"/>
  <c r="BL214" s="1"/>
  <c r="BM214"/>
  <c r="BK214"/>
  <c r="BJ214"/>
  <c r="BI214"/>
  <c r="BH214"/>
  <c r="BG214"/>
  <c r="BF214"/>
  <c r="BE214"/>
  <c r="BD214"/>
  <c r="BC214"/>
  <c r="BB214"/>
  <c r="BA214" s="1"/>
  <c r="AX214"/>
  <c r="AW214"/>
  <c r="AV214"/>
  <c r="AC214"/>
  <c r="H214"/>
  <c r="BT213"/>
  <c r="BS213"/>
  <c r="BR213"/>
  <c r="BQ213"/>
  <c r="BP213"/>
  <c r="BO213"/>
  <c r="BN213"/>
  <c r="BL213" s="1"/>
  <c r="BM213"/>
  <c r="BK213"/>
  <c r="BJ213"/>
  <c r="BI213"/>
  <c r="BH213"/>
  <c r="BG213"/>
  <c r="BF213"/>
  <c r="BE213"/>
  <c r="BD213"/>
  <c r="BC213"/>
  <c r="BB213"/>
  <c r="AX213"/>
  <c r="AW213"/>
  <c r="AV213"/>
  <c r="AC213"/>
  <c r="H213"/>
  <c r="BT212"/>
  <c r="BS212"/>
  <c r="BR212"/>
  <c r="BQ212"/>
  <c r="BP212"/>
  <c r="BO212"/>
  <c r="BN212"/>
  <c r="BM212"/>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AX210"/>
  <c r="AW210"/>
  <c r="AV210"/>
  <c r="AC210"/>
  <c r="H210"/>
  <c r="BT209"/>
  <c r="BS209"/>
  <c r="BR209"/>
  <c r="BQ209"/>
  <c r="BP209"/>
  <c r="BO209"/>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AX208"/>
  <c r="AW208"/>
  <c r="AV208"/>
  <c r="AC208"/>
  <c r="H208"/>
  <c r="BT397"/>
  <c r="BS397"/>
  <c r="BR397"/>
  <c r="BQ397"/>
  <c r="BP397"/>
  <c r="BO397"/>
  <c r="BN397"/>
  <c r="BM397"/>
  <c r="BL397" s="1"/>
  <c r="BK397"/>
  <c r="BJ397"/>
  <c r="BI397"/>
  <c r="BH397"/>
  <c r="BG397"/>
  <c r="BF397"/>
  <c r="BE397"/>
  <c r="BD397"/>
  <c r="BC397"/>
  <c r="BB397"/>
  <c r="BA397" s="1"/>
  <c r="AZ397" s="1"/>
  <c r="AX397"/>
  <c r="AW397"/>
  <c r="AV397"/>
  <c r="AC397"/>
  <c r="H397"/>
  <c r="G397" s="1"/>
  <c r="BT396"/>
  <c r="BS396"/>
  <c r="BR396"/>
  <c r="BQ396"/>
  <c r="BP396"/>
  <c r="BO396"/>
  <c r="BN396"/>
  <c r="BM396"/>
  <c r="BL396"/>
  <c r="BK396"/>
  <c r="BJ396"/>
  <c r="BI396"/>
  <c r="BH396"/>
  <c r="BG396"/>
  <c r="BF396"/>
  <c r="BE396"/>
  <c r="BD396"/>
  <c r="BC396"/>
  <c r="BB396"/>
  <c r="AX396"/>
  <c r="AW396"/>
  <c r="AV396"/>
  <c r="AC396"/>
  <c r="H396"/>
  <c r="G396" s="1"/>
  <c r="BT395"/>
  <c r="BS395"/>
  <c r="BR395"/>
  <c r="BQ395"/>
  <c r="BP395"/>
  <c r="BO395"/>
  <c r="BN395"/>
  <c r="BM395"/>
  <c r="BL395"/>
  <c r="BK395"/>
  <c r="BJ395"/>
  <c r="BI395"/>
  <c r="BH395"/>
  <c r="BG395"/>
  <c r="BF395"/>
  <c r="BE395"/>
  <c r="BD395"/>
  <c r="BC395"/>
  <c r="BB395"/>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Z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L386"/>
  <c r="BK386"/>
  <c r="BJ386"/>
  <c r="BI386"/>
  <c r="BH386"/>
  <c r="BG386"/>
  <c r="BF386"/>
  <c r="BE386"/>
  <c r="BD386"/>
  <c r="BC386"/>
  <c r="BB386"/>
  <c r="BA386" s="1"/>
  <c r="AX386"/>
  <c r="AW386"/>
  <c r="AV386"/>
  <c r="AC386"/>
  <c r="H386"/>
  <c r="BT385"/>
  <c r="BS385"/>
  <c r="BR385"/>
  <c r="BQ385"/>
  <c r="BP385"/>
  <c r="BO385"/>
  <c r="BN385"/>
  <c r="BM385"/>
  <c r="BL385" s="1"/>
  <c r="BK385"/>
  <c r="BJ385"/>
  <c r="BI385"/>
  <c r="BH385"/>
  <c r="BG385"/>
  <c r="BF385"/>
  <c r="BE385"/>
  <c r="BD385"/>
  <c r="BC385"/>
  <c r="BB385"/>
  <c r="BA385"/>
  <c r="AX385"/>
  <c r="AW385"/>
  <c r="AV385"/>
  <c r="AC385"/>
  <c r="H385"/>
  <c r="BT384"/>
  <c r="BS384"/>
  <c r="BR384"/>
  <c r="BQ384"/>
  <c r="BP384"/>
  <c r="BO384"/>
  <c r="BN384"/>
  <c r="BM384"/>
  <c r="BK384"/>
  <c r="BJ384"/>
  <c r="BI384"/>
  <c r="BH384"/>
  <c r="BG384"/>
  <c r="BF384"/>
  <c r="BE384"/>
  <c r="BD384"/>
  <c r="BC384"/>
  <c r="BB384"/>
  <c r="AX384"/>
  <c r="AW384"/>
  <c r="AV384"/>
  <c r="AC384"/>
  <c r="H384"/>
  <c r="G384" s="1"/>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s="1"/>
  <c r="AZ367" s="1"/>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s="1"/>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s="1"/>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BA333" s="1"/>
  <c r="AZ333" s="1"/>
  <c r="AX333"/>
  <c r="AW333"/>
  <c r="AV333"/>
  <c r="AC333"/>
  <c r="H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BA331" s="1"/>
  <c r="AZ331" s="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K317"/>
  <c r="BJ317"/>
  <c r="BI317"/>
  <c r="BH317"/>
  <c r="BG317"/>
  <c r="BF317"/>
  <c r="BE317"/>
  <c r="BD317"/>
  <c r="BC317"/>
  <c r="BB317"/>
  <c r="AX317"/>
  <c r="AW317"/>
  <c r="AV317"/>
  <c r="AC317"/>
  <c r="H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L492" s="1"/>
  <c r="BK492"/>
  <c r="BJ492"/>
  <c r="BI492"/>
  <c r="BH492"/>
  <c r="BG492"/>
  <c r="BF492"/>
  <c r="BE492"/>
  <c r="BD492"/>
  <c r="BC492"/>
  <c r="BB492"/>
  <c r="BA492"/>
  <c r="AZ492" s="1"/>
  <c r="AX492"/>
  <c r="AW492"/>
  <c r="AV492"/>
  <c r="AC492"/>
  <c r="H492"/>
  <c r="G492" s="1"/>
  <c r="BT491"/>
  <c r="BS491"/>
  <c r="BR491"/>
  <c r="BQ491"/>
  <c r="BP491"/>
  <c r="BO491"/>
  <c r="BN491"/>
  <c r="BM491"/>
  <c r="BL491"/>
  <c r="BK491"/>
  <c r="BJ491"/>
  <c r="BI491"/>
  <c r="BH491"/>
  <c r="BG491"/>
  <c r="BF491"/>
  <c r="BE491"/>
  <c r="BD491"/>
  <c r="BC491"/>
  <c r="BB491"/>
  <c r="BA491" s="1"/>
  <c r="AX491"/>
  <c r="AW491"/>
  <c r="AV491"/>
  <c r="AC491"/>
  <c r="H491"/>
  <c r="G491" s="1"/>
  <c r="BT490"/>
  <c r="BS490"/>
  <c r="BR490"/>
  <c r="BQ490"/>
  <c r="BP490"/>
  <c r="BO490"/>
  <c r="BN490"/>
  <c r="BM490"/>
  <c r="BL490"/>
  <c r="BK490"/>
  <c r="BJ490"/>
  <c r="BI490"/>
  <c r="BH490"/>
  <c r="BG490"/>
  <c r="BF490"/>
  <c r="BE490"/>
  <c r="BD490"/>
  <c r="BC490"/>
  <c r="BB490"/>
  <c r="BA490" s="1"/>
  <c r="AZ490" s="1"/>
  <c r="AX490"/>
  <c r="AW490"/>
  <c r="AV490"/>
  <c r="AC490"/>
  <c r="H490"/>
  <c r="G490"/>
  <c r="BT489"/>
  <c r="BS489"/>
  <c r="BR489"/>
  <c r="BQ489"/>
  <c r="BP489"/>
  <c r="BO489"/>
  <c r="BN489"/>
  <c r="BM489"/>
  <c r="BL489" s="1"/>
  <c r="BK489"/>
  <c r="BJ489"/>
  <c r="BI489"/>
  <c r="BH489"/>
  <c r="BG489"/>
  <c r="BF489"/>
  <c r="BE489"/>
  <c r="BD489"/>
  <c r="BC489"/>
  <c r="BB489"/>
  <c r="BA489"/>
  <c r="AX489"/>
  <c r="AW489"/>
  <c r="AV489"/>
  <c r="AC489"/>
  <c r="H489"/>
  <c r="G489"/>
  <c r="BT488"/>
  <c r="BS488"/>
  <c r="BR488"/>
  <c r="BQ488"/>
  <c r="BP488"/>
  <c r="BO488"/>
  <c r="BN488"/>
  <c r="BM488"/>
  <c r="BL488" s="1"/>
  <c r="BK488"/>
  <c r="BJ488"/>
  <c r="BI488"/>
  <c r="BH488"/>
  <c r="BG488"/>
  <c r="BF488"/>
  <c r="BE488"/>
  <c r="BD488"/>
  <c r="BC488"/>
  <c r="BB488"/>
  <c r="BA488"/>
  <c r="AZ488" s="1"/>
  <c r="AX488"/>
  <c r="AW488"/>
  <c r="AV488"/>
  <c r="AC488"/>
  <c r="H488"/>
  <c r="G488" s="1"/>
  <c r="BT487"/>
  <c r="BS487"/>
  <c r="BR487"/>
  <c r="BQ487"/>
  <c r="BP487"/>
  <c r="BO487"/>
  <c r="BN487"/>
  <c r="BM487"/>
  <c r="BL487"/>
  <c r="BK487"/>
  <c r="BJ487"/>
  <c r="BI487"/>
  <c r="BH487"/>
  <c r="BG487"/>
  <c r="BF487"/>
  <c r="BE487"/>
  <c r="BD487"/>
  <c r="BC487"/>
  <c r="BB487"/>
  <c r="BA487" s="1"/>
  <c r="AX487"/>
  <c r="AW487"/>
  <c r="AV487"/>
  <c r="AC487"/>
  <c r="H487"/>
  <c r="G487" s="1"/>
  <c r="BT486"/>
  <c r="BS486"/>
  <c r="BR486"/>
  <c r="BQ486"/>
  <c r="BP486"/>
  <c r="BO486"/>
  <c r="BN486"/>
  <c r="BM486"/>
  <c r="BL486"/>
  <c r="BK486"/>
  <c r="BJ486"/>
  <c r="BI486"/>
  <c r="BH486"/>
  <c r="BG486"/>
  <c r="BF486"/>
  <c r="BE486"/>
  <c r="BD486"/>
  <c r="BC486"/>
  <c r="BB486"/>
  <c r="BA486" s="1"/>
  <c r="AZ486" s="1"/>
  <c r="AX486"/>
  <c r="AW486"/>
  <c r="AV486"/>
  <c r="AC486"/>
  <c r="H486"/>
  <c r="G486"/>
  <c r="BT485"/>
  <c r="BS485"/>
  <c r="BR485"/>
  <c r="BQ485"/>
  <c r="BP485"/>
  <c r="BO485"/>
  <c r="BN485"/>
  <c r="BM485"/>
  <c r="BL485" s="1"/>
  <c r="BK485"/>
  <c r="BJ485"/>
  <c r="BI485"/>
  <c r="BH485"/>
  <c r="BG485"/>
  <c r="BF485"/>
  <c r="BE485"/>
  <c r="BD485"/>
  <c r="BC485"/>
  <c r="BB485"/>
  <c r="BA485"/>
  <c r="AX485"/>
  <c r="AW485"/>
  <c r="AV485"/>
  <c r="AC485"/>
  <c r="H485"/>
  <c r="G485"/>
  <c r="BT484"/>
  <c r="BS484"/>
  <c r="BR484"/>
  <c r="BQ484"/>
  <c r="BP484"/>
  <c r="BO484"/>
  <c r="BN484"/>
  <c r="BM484"/>
  <c r="BL484" s="1"/>
  <c r="BK484"/>
  <c r="BJ484"/>
  <c r="BI484"/>
  <c r="BH484"/>
  <c r="BG484"/>
  <c r="BF484"/>
  <c r="BE484"/>
  <c r="BD484"/>
  <c r="BC484"/>
  <c r="BB484"/>
  <c r="BA484"/>
  <c r="AX484"/>
  <c r="AW484"/>
  <c r="AV484"/>
  <c r="AC484"/>
  <c r="H484"/>
  <c r="G484" s="1"/>
  <c r="BT483"/>
  <c r="BS483"/>
  <c r="BR483"/>
  <c r="BQ483"/>
  <c r="BP483"/>
  <c r="BO483"/>
  <c r="BN483"/>
  <c r="BM483"/>
  <c r="BL483"/>
  <c r="BK483"/>
  <c r="BJ483"/>
  <c r="BI483"/>
  <c r="BH483"/>
  <c r="BG483"/>
  <c r="BF483"/>
  <c r="BE483"/>
  <c r="BD483"/>
  <c r="BC483"/>
  <c r="BB483"/>
  <c r="BA483" s="1"/>
  <c r="AX483"/>
  <c r="AW483"/>
  <c r="AV483"/>
  <c r="AC483"/>
  <c r="H483"/>
  <c r="G483" s="1"/>
  <c r="BT482"/>
  <c r="BS482"/>
  <c r="BR482"/>
  <c r="BQ482"/>
  <c r="BP482"/>
  <c r="BO482"/>
  <c r="BN482"/>
  <c r="BM482"/>
  <c r="BL482"/>
  <c r="BK482"/>
  <c r="BJ482"/>
  <c r="BI482"/>
  <c r="BH482"/>
  <c r="BG482"/>
  <c r="BF482"/>
  <c r="BE482"/>
  <c r="BD482"/>
  <c r="BC482"/>
  <c r="BB482"/>
  <c r="BA482" s="1"/>
  <c r="AZ482"/>
  <c r="AX482"/>
  <c r="AW482"/>
  <c r="AV482"/>
  <c r="AC482"/>
  <c r="H482"/>
  <c r="G482"/>
  <c r="BT481"/>
  <c r="BS481"/>
  <c r="BR481"/>
  <c r="BQ481"/>
  <c r="BP481"/>
  <c r="BO481"/>
  <c r="BN481"/>
  <c r="BM481"/>
  <c r="BL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Z474"/>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s="1"/>
  <c r="BT471"/>
  <c r="BS471"/>
  <c r="BR471"/>
  <c r="BQ471"/>
  <c r="BP471"/>
  <c r="BO471"/>
  <c r="BN471"/>
  <c r="BM471"/>
  <c r="BL471"/>
  <c r="BK471"/>
  <c r="BJ471"/>
  <c r="BI471"/>
  <c r="BH471"/>
  <c r="BG471"/>
  <c r="BF471"/>
  <c r="BE471"/>
  <c r="BD471"/>
  <c r="BC471"/>
  <c r="BB471"/>
  <c r="BA471" s="1"/>
  <c r="AZ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AZ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Z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AZ462" s="1"/>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AZ459" s="1"/>
  <c r="BK459"/>
  <c r="BJ459"/>
  <c r="BI459"/>
  <c r="BH459"/>
  <c r="BG459"/>
  <c r="BF459"/>
  <c r="BE459"/>
  <c r="BD459"/>
  <c r="BC459"/>
  <c r="BB459"/>
  <c r="BA459"/>
  <c r="AX459"/>
  <c r="AW459"/>
  <c r="AV459"/>
  <c r="AC459"/>
  <c r="H459"/>
  <c r="G459"/>
  <c r="BT458"/>
  <c r="BS458"/>
  <c r="BR458"/>
  <c r="BQ458"/>
  <c r="BP458"/>
  <c r="BO458"/>
  <c r="BN458"/>
  <c r="BM458"/>
  <c r="BL458" s="1"/>
  <c r="AZ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Z457" s="1"/>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AZ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AZ451" s="1"/>
  <c r="BK451"/>
  <c r="BJ451"/>
  <c r="BI451"/>
  <c r="BH451"/>
  <c r="BG451"/>
  <c r="BF451"/>
  <c r="BE451"/>
  <c r="BD451"/>
  <c r="BC451"/>
  <c r="BB451"/>
  <c r="BA451"/>
  <c r="AX451"/>
  <c r="AW451"/>
  <c r="AV451"/>
  <c r="AC451"/>
  <c r="H451"/>
  <c r="G451"/>
  <c r="BT450"/>
  <c r="BS450"/>
  <c r="BR450"/>
  <c r="BQ450"/>
  <c r="BP450"/>
  <c r="BO450"/>
  <c r="BN450"/>
  <c r="BM450"/>
  <c r="BL450" s="1"/>
  <c r="AZ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AZ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AZ443" s="1"/>
  <c r="BK443"/>
  <c r="BJ443"/>
  <c r="BI443"/>
  <c r="BH443"/>
  <c r="BG443"/>
  <c r="BF443"/>
  <c r="BE443"/>
  <c r="BD443"/>
  <c r="BC443"/>
  <c r="BB443"/>
  <c r="BA443"/>
  <c r="AX443"/>
  <c r="AW443"/>
  <c r="AV443"/>
  <c r="AC443"/>
  <c r="H443"/>
  <c r="G443"/>
  <c r="BT442"/>
  <c r="BS442"/>
  <c r="BR442"/>
  <c r="BQ442"/>
  <c r="BP442"/>
  <c r="BO442"/>
  <c r="BN442"/>
  <c r="BM442"/>
  <c r="BL442" s="1"/>
  <c r="AZ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Z441" s="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AZ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Z437" s="1"/>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AZ435" s="1"/>
  <c r="BK435"/>
  <c r="BJ435"/>
  <c r="BI435"/>
  <c r="BH435"/>
  <c r="BG435"/>
  <c r="BF435"/>
  <c r="BE435"/>
  <c r="BD435"/>
  <c r="BC435"/>
  <c r="BB435"/>
  <c r="BA435"/>
  <c r="AX435"/>
  <c r="AW435"/>
  <c r="AV435"/>
  <c r="AC435"/>
  <c r="H435"/>
  <c r="G435"/>
  <c r="BT434"/>
  <c r="BS434"/>
  <c r="BR434"/>
  <c r="BQ434"/>
  <c r="BP434"/>
  <c r="BO434"/>
  <c r="BN434"/>
  <c r="BM434"/>
  <c r="BL434" s="1"/>
  <c r="AZ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Z431" s="1"/>
  <c r="AX431"/>
  <c r="AW431"/>
  <c r="AV431"/>
  <c r="AC431"/>
  <c r="H431"/>
  <c r="G431" s="1"/>
  <c r="BT430"/>
  <c r="BS430"/>
  <c r="BR430"/>
  <c r="BQ430"/>
  <c r="BP430"/>
  <c r="BO430"/>
  <c r="BN430"/>
  <c r="BM430"/>
  <c r="BL430"/>
  <c r="BK430"/>
  <c r="BJ430"/>
  <c r="BI430"/>
  <c r="BH430"/>
  <c r="BG430"/>
  <c r="BF430"/>
  <c r="BE430"/>
  <c r="BD430"/>
  <c r="BC430"/>
  <c r="BB430"/>
  <c r="BA430" s="1"/>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s="1"/>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AZ424" s="1"/>
  <c r="BK424"/>
  <c r="BJ424"/>
  <c r="BI424"/>
  <c r="BH424"/>
  <c r="BG424"/>
  <c r="BF424"/>
  <c r="BE424"/>
  <c r="BD424"/>
  <c r="BC424"/>
  <c r="BB424"/>
  <c r="BA424"/>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s="1"/>
  <c r="BT422"/>
  <c r="BS422"/>
  <c r="BR422"/>
  <c r="BQ422"/>
  <c r="BP422"/>
  <c r="BO422"/>
  <c r="BN422"/>
  <c r="BM422"/>
  <c r="BL422"/>
  <c r="BK422"/>
  <c r="BJ422"/>
  <c r="BI422"/>
  <c r="BH422"/>
  <c r="BG422"/>
  <c r="BF422"/>
  <c r="BE422"/>
  <c r="BD422"/>
  <c r="BC422"/>
  <c r="BB422"/>
  <c r="BA422" s="1"/>
  <c r="AZ422" s="1"/>
  <c r="AX422"/>
  <c r="AW422"/>
  <c r="AV422"/>
  <c r="AC422"/>
  <c r="H422"/>
  <c r="G422" s="1"/>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c r="AZ420" s="1"/>
  <c r="AX420"/>
  <c r="AW420"/>
  <c r="AV420"/>
  <c r="AC420"/>
  <c r="H420"/>
  <c r="G420" s="1"/>
  <c r="BT419"/>
  <c r="BS419"/>
  <c r="BR419"/>
  <c r="BQ419"/>
  <c r="BP419"/>
  <c r="BO419"/>
  <c r="BN419"/>
  <c r="BM419"/>
  <c r="BL419"/>
  <c r="BK419"/>
  <c r="BJ419"/>
  <c r="BI419"/>
  <c r="BH419"/>
  <c r="BG419"/>
  <c r="BF419"/>
  <c r="BE419"/>
  <c r="BD419"/>
  <c r="BC419"/>
  <c r="BB419"/>
  <c r="BA419" s="1"/>
  <c r="AZ419" s="1"/>
  <c r="AX419"/>
  <c r="AW419"/>
  <c r="AV419"/>
  <c r="AC419"/>
  <c r="H419"/>
  <c r="G419" s="1"/>
  <c r="BT418"/>
  <c r="BS418"/>
  <c r="BR418"/>
  <c r="BQ418"/>
  <c r="BP418"/>
  <c r="BO418"/>
  <c r="BN418"/>
  <c r="BM418"/>
  <c r="BL418"/>
  <c r="BK418"/>
  <c r="BJ418"/>
  <c r="BI418"/>
  <c r="BH418"/>
  <c r="BG418"/>
  <c r="BF418"/>
  <c r="BE418"/>
  <c r="BD418"/>
  <c r="BC418"/>
  <c r="BB418"/>
  <c r="BA418" s="1"/>
  <c r="AZ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Z415" s="1"/>
  <c r="AX415"/>
  <c r="AW415"/>
  <c r="AV415"/>
  <c r="AC415"/>
  <c r="H415"/>
  <c r="G415"/>
  <c r="BT414"/>
  <c r="BS414"/>
  <c r="BR414"/>
  <c r="BQ414"/>
  <c r="BP414"/>
  <c r="BO414"/>
  <c r="BN414"/>
  <c r="BM414"/>
  <c r="BL414" s="1"/>
  <c r="AZ414" s="1"/>
  <c r="BK414"/>
  <c r="BJ414"/>
  <c r="BI414"/>
  <c r="BH414"/>
  <c r="BG414"/>
  <c r="BF414"/>
  <c r="BE414"/>
  <c r="BD414"/>
  <c r="BC414"/>
  <c r="BB414"/>
  <c r="BA414"/>
  <c r="AX414"/>
  <c r="AW414"/>
  <c r="AV414"/>
  <c r="AC414"/>
  <c r="H414"/>
  <c r="G414"/>
  <c r="BT413"/>
  <c r="BS413"/>
  <c r="BR413"/>
  <c r="BQ413"/>
  <c r="BP413"/>
  <c r="BO413"/>
  <c r="BN413"/>
  <c r="BM413"/>
  <c r="BL413" s="1"/>
  <c r="BK413"/>
  <c r="BJ413"/>
  <c r="BI413"/>
  <c r="BH413"/>
  <c r="BG413"/>
  <c r="BF413"/>
  <c r="BE413"/>
  <c r="BD413"/>
  <c r="BC413"/>
  <c r="BB413"/>
  <c r="BA413"/>
  <c r="AX413"/>
  <c r="AW413"/>
  <c r="AV413"/>
  <c r="AC413"/>
  <c r="H413"/>
  <c r="G413" s="1"/>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AZ411" s="1"/>
  <c r="BK411"/>
  <c r="BJ411"/>
  <c r="BI411"/>
  <c r="BH411"/>
  <c r="BG411"/>
  <c r="BF411"/>
  <c r="BE411"/>
  <c r="BD411"/>
  <c r="BC411"/>
  <c r="BB411"/>
  <c r="BA411"/>
  <c r="AX411"/>
  <c r="AW411"/>
  <c r="AV411"/>
  <c r="AC411"/>
  <c r="H411"/>
  <c r="G411"/>
  <c r="BT410"/>
  <c r="BS410"/>
  <c r="BR410"/>
  <c r="BQ410"/>
  <c r="BP410"/>
  <c r="BO410"/>
  <c r="BN410"/>
  <c r="BM410"/>
  <c r="BL410" s="1"/>
  <c r="AZ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Z409" s="1"/>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H407"/>
  <c r="G407" s="1"/>
  <c r="BT406"/>
  <c r="BS406"/>
  <c r="BR406"/>
  <c r="BQ406"/>
  <c r="BP406"/>
  <c r="BO406"/>
  <c r="BN406"/>
  <c r="BM406"/>
  <c r="BL406"/>
  <c r="BK406"/>
  <c r="BJ406"/>
  <c r="BI406"/>
  <c r="BH406"/>
  <c r="BG406"/>
  <c r="BF406"/>
  <c r="BE406"/>
  <c r="BD406"/>
  <c r="BC406"/>
  <c r="BB406"/>
  <c r="BA406" s="1"/>
  <c r="AZ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Z404" s="1"/>
  <c r="AX404"/>
  <c r="AW404"/>
  <c r="AV404"/>
  <c r="AC404"/>
  <c r="H404"/>
  <c r="G404" s="1"/>
  <c r="BT403"/>
  <c r="BS403"/>
  <c r="BR403"/>
  <c r="BQ403"/>
  <c r="BP403"/>
  <c r="BO403"/>
  <c r="BN403"/>
  <c r="BM403"/>
  <c r="BL403"/>
  <c r="BK403"/>
  <c r="BJ403"/>
  <c r="BI403"/>
  <c r="BH403"/>
  <c r="BG403"/>
  <c r="BF403"/>
  <c r="BE403"/>
  <c r="BD403"/>
  <c r="BC403"/>
  <c r="BB403"/>
  <c r="BA403" s="1"/>
  <c r="AZ403" s="1"/>
  <c r="AX403"/>
  <c r="AW403"/>
  <c r="AV403"/>
  <c r="AC403"/>
  <c r="H403"/>
  <c r="G403" s="1"/>
  <c r="BT402"/>
  <c r="BS402"/>
  <c r="BR402"/>
  <c r="BQ402"/>
  <c r="BP402"/>
  <c r="BO402"/>
  <c r="BN402"/>
  <c r="BM402"/>
  <c r="BL402"/>
  <c r="BK402"/>
  <c r="BJ402"/>
  <c r="BI402"/>
  <c r="BH402"/>
  <c r="BG402"/>
  <c r="BF402"/>
  <c r="BE402"/>
  <c r="BD402"/>
  <c r="BC402"/>
  <c r="BB402"/>
  <c r="BA402" s="1"/>
  <c r="AZ402" s="1"/>
  <c r="AX402"/>
  <c r="AW402"/>
  <c r="AV402"/>
  <c r="AC402"/>
  <c r="H402"/>
  <c r="G402" s="1"/>
  <c r="BT401"/>
  <c r="BS401"/>
  <c r="BR401"/>
  <c r="BQ401"/>
  <c r="BP401"/>
  <c r="BO401"/>
  <c r="BN401"/>
  <c r="BM401"/>
  <c r="BL401"/>
  <c r="BK401"/>
  <c r="BJ401"/>
  <c r="BI401"/>
  <c r="BH401"/>
  <c r="BG401"/>
  <c r="BF401"/>
  <c r="BE401"/>
  <c r="BD401"/>
  <c r="BC401"/>
  <c r="BB401"/>
  <c r="BA401" s="1"/>
  <c r="AZ401" s="1"/>
  <c r="AX401"/>
  <c r="AW401"/>
  <c r="AV401"/>
  <c r="AC401"/>
  <c r="H401"/>
  <c r="G401"/>
  <c r="BT400"/>
  <c r="BS400"/>
  <c r="BR400"/>
  <c r="BQ400"/>
  <c r="BP400"/>
  <c r="BO400"/>
  <c r="BN400"/>
  <c r="BM400"/>
  <c r="BL400" s="1"/>
  <c r="BK400"/>
  <c r="BJ400"/>
  <c r="BI400"/>
  <c r="BH400"/>
  <c r="BG400"/>
  <c r="BF400"/>
  <c r="BE400"/>
  <c r="BD400"/>
  <c r="BC400"/>
  <c r="BB400"/>
  <c r="BA400"/>
  <c r="AX400"/>
  <c r="AW400"/>
  <c r="AV400"/>
  <c r="AC400"/>
  <c r="H400"/>
  <c r="G400" s="1"/>
  <c r="BT399"/>
  <c r="BS399"/>
  <c r="BR399"/>
  <c r="BQ399"/>
  <c r="BP399"/>
  <c r="BO399"/>
  <c r="BN399"/>
  <c r="BM399"/>
  <c r="BL399"/>
  <c r="BK399"/>
  <c r="BJ399"/>
  <c r="BI399"/>
  <c r="BH399"/>
  <c r="BG399"/>
  <c r="BF399"/>
  <c r="BE399"/>
  <c r="BD399"/>
  <c r="BC399"/>
  <c r="BB399"/>
  <c r="BA399" s="1"/>
  <c r="AZ399" s="1"/>
  <c r="AX399"/>
  <c r="AW399"/>
  <c r="AV399"/>
  <c r="AC399"/>
  <c r="H399"/>
  <c r="G399"/>
  <c r="BT398"/>
  <c r="BS398"/>
  <c r="BR398"/>
  <c r="BQ398"/>
  <c r="BP398"/>
  <c r="BO398"/>
  <c r="BN398"/>
  <c r="BM398"/>
  <c r="BL398" s="1"/>
  <c r="BK398"/>
  <c r="BJ398"/>
  <c r="BI398"/>
  <c r="BH398"/>
  <c r="BG398"/>
  <c r="BF398"/>
  <c r="BE398"/>
  <c r="BD398"/>
  <c r="BC398"/>
  <c r="BB398"/>
  <c r="BA398" s="1"/>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BM5" s="1"/>
  <c r="A120" i="9"/>
  <c r="A6" i="52" s="1"/>
  <c r="B57" i="72" s="1"/>
  <c r="A10" i="52"/>
  <c r="B55" i="72" s="1"/>
  <c r="K4" i="9"/>
  <c r="L22" i="4"/>
  <c r="L20"/>
  <c r="A5" i="62"/>
  <c r="B72" i="72" s="1"/>
  <c r="A4" i="62"/>
  <c r="B70" i="72" s="1"/>
  <c r="F33" i="9"/>
  <c r="B37" i="48"/>
  <c r="B2" i="72" s="1"/>
  <c r="B13" i="53"/>
  <c r="B29" i="72" s="1"/>
  <c r="R35" i="4"/>
  <c r="Q35"/>
  <c r="P35"/>
  <c r="O35"/>
  <c r="N35"/>
  <c r="M35"/>
  <c r="L35"/>
  <c r="K34"/>
  <c r="T34" s="1"/>
  <c r="I15"/>
  <c r="F8" i="1" s="1"/>
  <c r="H15" i="4"/>
  <c r="G15"/>
  <c r="E15"/>
  <c r="D15"/>
  <c r="F7" i="1" s="1"/>
  <c r="L21" i="4"/>
  <c r="F19"/>
  <c r="F2" i="52"/>
  <c r="B50" i="72" s="1"/>
  <c r="D2" i="52"/>
  <c r="B46" i="72" s="1"/>
  <c r="B8" i="53"/>
  <c r="B23" i="72" s="1"/>
  <c r="L4" i="9"/>
  <c r="A22" i="51"/>
  <c r="B17" i="72" s="1"/>
  <c r="A20" i="51"/>
  <c r="B15" i="72" s="1"/>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5" s="1"/>
  <c r="BT14"/>
  <c r="BT15"/>
  <c r="BT16"/>
  <c r="BT17"/>
  <c r="BM14"/>
  <c r="BM15"/>
  <c r="BM16"/>
  <c r="BM17"/>
  <c r="BO13"/>
  <c r="BO14"/>
  <c r="BO15"/>
  <c r="BO16"/>
  <c r="BO17"/>
  <c r="BN13"/>
  <c r="BN5" s="1"/>
  <c r="BN14"/>
  <c r="BN15"/>
  <c r="BN16"/>
  <c r="BN17"/>
  <c r="BP13"/>
  <c r="BP14"/>
  <c r="BP15"/>
  <c r="BP16"/>
  <c r="BP17"/>
  <c r="E20" i="6"/>
  <c r="E21"/>
  <c r="F23" i="15"/>
  <c r="D24" s="1"/>
  <c r="E22" i="6"/>
  <c r="E23"/>
  <c r="E24"/>
  <c r="E25"/>
  <c r="E26"/>
  <c r="BB13" i="3"/>
  <c r="BC13"/>
  <c r="BD13"/>
  <c r="BD5" s="1"/>
  <c r="BE13"/>
  <c r="BF13"/>
  <c r="BG13"/>
  <c r="BH13"/>
  <c r="BH5" s="1"/>
  <c r="BI13"/>
  <c r="BJ13"/>
  <c r="BJ5" s="1"/>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F12" i="12"/>
  <c r="F13"/>
  <c r="F15"/>
  <c r="E14"/>
  <c r="BC11" i="3"/>
  <c r="BD11"/>
  <c r="BB11"/>
  <c r="E19" i="12"/>
  <c r="E20"/>
  <c r="E17"/>
  <c r="F22"/>
  <c r="F23"/>
  <c r="F24"/>
  <c r="C17" i="9"/>
  <c r="D17"/>
  <c r="I55"/>
  <c r="F55" s="1"/>
  <c r="O53" s="1"/>
  <c r="D89"/>
  <c r="C89" s="1"/>
  <c r="C87" s="1"/>
  <c r="G12" i="1"/>
  <c r="J55" i="9"/>
  <c r="B31" i="1"/>
  <c r="B52"/>
  <c r="T4"/>
  <c r="F15" i="15"/>
  <c r="F17"/>
  <c r="F18"/>
  <c r="F20"/>
  <c r="F21"/>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C33"/>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s="1"/>
  <c r="AZ548" s="1"/>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L550" s="1"/>
  <c r="BP550"/>
  <c r="BQ550"/>
  <c r="BR550"/>
  <c r="BS550"/>
  <c r="BT550"/>
  <c r="H551"/>
  <c r="G551" s="1"/>
  <c r="AC551"/>
  <c r="BB551"/>
  <c r="BC551"/>
  <c r="BD551"/>
  <c r="BA551" s="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111" i="21"/>
  <c r="B110" i="39"/>
  <c r="J35" s="1"/>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c r="W33" s="1"/>
  <c r="B103"/>
  <c r="J32"/>
  <c r="AC32" s="1"/>
  <c r="B101"/>
  <c r="J31"/>
  <c r="AC31" s="1"/>
  <c r="D100"/>
  <c r="E100" s="1"/>
  <c r="F100" s="1"/>
  <c r="G100" s="1"/>
  <c r="H100" s="1"/>
  <c r="I100" s="1"/>
  <c r="J100" s="1"/>
  <c r="K100" s="1"/>
  <c r="L100" s="1"/>
  <c r="M100" s="1"/>
  <c r="D98"/>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c r="M74"/>
  <c r="L74"/>
  <c r="K74"/>
  <c r="J74"/>
  <c r="I74"/>
  <c r="H74"/>
  <c r="G74"/>
  <c r="F74"/>
  <c r="E74"/>
  <c r="D74"/>
  <c r="C74"/>
  <c r="P43"/>
  <c r="P42"/>
  <c r="V41"/>
  <c r="T41"/>
  <c r="R41"/>
  <c r="P41"/>
  <c r="Q40"/>
  <c r="Z40" s="1"/>
  <c r="J40"/>
  <c r="W40" s="1"/>
  <c r="H40"/>
  <c r="AB40" s="1"/>
  <c r="F40"/>
  <c r="AA40" s="1"/>
  <c r="Q39"/>
  <c r="Z39"/>
  <c r="H39"/>
  <c r="U39" s="1"/>
  <c r="Q38"/>
  <c r="Z38" s="1"/>
  <c r="J38"/>
  <c r="AC38" s="1"/>
  <c r="H38"/>
  <c r="AB38" s="1"/>
  <c r="Q37"/>
  <c r="Z37" s="1"/>
  <c r="Q36"/>
  <c r="Z36" s="1"/>
  <c r="Q35"/>
  <c r="Z35" s="1"/>
  <c r="Q34"/>
  <c r="Z34"/>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c r="Q40"/>
  <c r="Z40"/>
  <c r="Q41"/>
  <c r="Z41"/>
  <c r="Q42"/>
  <c r="Z42"/>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s="1"/>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c r="AC24" s="1"/>
  <c r="B73"/>
  <c r="H23"/>
  <c r="U23" s="1"/>
  <c r="B57"/>
  <c r="B61"/>
  <c r="B59"/>
  <c r="B131" i="34"/>
  <c r="B129"/>
  <c r="B127"/>
  <c r="B99"/>
  <c r="B97"/>
  <c r="B95"/>
  <c r="B93"/>
  <c r="B75"/>
  <c r="B73"/>
  <c r="B7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c r="J23"/>
  <c r="AC23" s="1"/>
  <c r="Q22"/>
  <c r="Z22" s="1"/>
  <c r="Q20"/>
  <c r="Z20" s="1"/>
  <c r="Q16"/>
  <c r="Z16" s="1"/>
  <c r="Q14"/>
  <c r="Z14" s="1"/>
  <c r="Q13"/>
  <c r="Z13" s="1"/>
  <c r="Q12"/>
  <c r="Z12" s="1"/>
  <c r="J12"/>
  <c r="W12" s="1"/>
  <c r="H12"/>
  <c r="U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s="1"/>
  <c r="Q45"/>
  <c r="Z45" s="1"/>
  <c r="Q44"/>
  <c r="Z44" s="1"/>
  <c r="Q43"/>
  <c r="Z43" s="1"/>
  <c r="Q42"/>
  <c r="Z42" s="1"/>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BB12" i="3"/>
  <c r="D7" i="12"/>
  <c r="K5" i="3"/>
  <c r="I4" i="6" s="1"/>
  <c r="G3" i="43" s="1"/>
  <c r="J5" i="3"/>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L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F35"/>
  <c r="AA35" s="1"/>
  <c r="J36"/>
  <c r="AC36" s="1"/>
  <c r="U9"/>
  <c r="W40"/>
  <c r="W25" i="37"/>
  <c r="U30"/>
  <c r="W31"/>
  <c r="E103"/>
  <c r="F103" s="1"/>
  <c r="G103" s="1"/>
  <c r="H103" s="1"/>
  <c r="I103" s="1"/>
  <c r="J103" s="1"/>
  <c r="K103" s="1"/>
  <c r="L103" s="1"/>
  <c r="M103" s="1"/>
  <c r="F39"/>
  <c r="S39" s="1"/>
  <c r="U14"/>
  <c r="F29" i="36"/>
  <c r="AA29" s="1"/>
  <c r="W8"/>
  <c r="F16"/>
  <c r="AA16" s="1"/>
  <c r="U9"/>
  <c r="W28"/>
  <c r="S30"/>
  <c r="AA31"/>
  <c r="AC31"/>
  <c r="W31"/>
  <c r="U31"/>
  <c r="J33"/>
  <c r="W33" s="1"/>
  <c r="H22" i="35"/>
  <c r="AB22" s="1"/>
  <c r="AC27"/>
  <c r="W28"/>
  <c r="U31"/>
  <c r="S34"/>
  <c r="W34"/>
  <c r="W36"/>
  <c r="W22"/>
  <c r="S31"/>
  <c r="U34"/>
  <c r="F36" i="34"/>
  <c r="J35"/>
  <c r="W9"/>
  <c r="S34"/>
  <c r="U34"/>
  <c r="H39" i="33"/>
  <c r="AB39" s="1"/>
  <c r="F26"/>
  <c r="AA26" s="1"/>
  <c r="S9"/>
  <c r="U33"/>
  <c r="U35"/>
  <c r="S40"/>
  <c r="W33"/>
  <c r="W39"/>
  <c r="H39" i="37"/>
  <c r="AB39" s="1"/>
  <c r="S27" i="35"/>
  <c r="F11" i="40"/>
  <c r="AA11" s="1"/>
  <c r="W8"/>
  <c r="AB39"/>
  <c r="AC40"/>
  <c r="AA9"/>
  <c r="U38"/>
  <c r="S40"/>
  <c r="W31"/>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U34"/>
  <c r="S34"/>
  <c r="C25" i="39"/>
  <c r="C27"/>
  <c r="C21"/>
  <c r="H11"/>
  <c r="S40"/>
  <c r="C15"/>
  <c r="H32" i="33"/>
  <c r="AB32" s="1"/>
  <c r="H11" i="21"/>
  <c r="U11" s="1"/>
  <c r="J11"/>
  <c r="W11" s="1"/>
  <c r="H37" i="40"/>
  <c r="U37" s="1"/>
  <c r="F35"/>
  <c r="AA35" s="1"/>
  <c r="H23"/>
  <c r="AB23" s="1"/>
  <c r="H17"/>
  <c r="U17" s="1"/>
  <c r="J15"/>
  <c r="W15" s="1"/>
  <c r="AB8" i="39"/>
  <c r="AB12" i="33"/>
  <c r="AC12" i="34"/>
  <c r="AA12"/>
  <c r="AB12" i="35"/>
  <c r="AB12" i="36"/>
  <c r="W32" i="40"/>
  <c r="S44" i="39"/>
  <c r="J34" i="36"/>
  <c r="W34" s="1"/>
  <c r="U30"/>
  <c r="J30" i="35"/>
  <c r="W30" s="1"/>
  <c r="H30"/>
  <c r="AB30" s="1"/>
  <c r="F22"/>
  <c r="AA22" s="1"/>
  <c r="H10"/>
  <c r="U10" s="1"/>
  <c r="AC16" i="36"/>
  <c r="F33"/>
  <c r="AA33" s="1"/>
  <c r="W30"/>
  <c r="H16"/>
  <c r="AB16" s="1"/>
  <c r="E85"/>
  <c r="F85" s="1"/>
  <c r="G85" s="1"/>
  <c r="H85" s="1"/>
  <c r="I85" s="1"/>
  <c r="J85" s="1"/>
  <c r="K85" s="1"/>
  <c r="L85" s="1"/>
  <c r="M85" s="1"/>
  <c r="J29"/>
  <c r="AC29" s="1"/>
  <c r="F12"/>
  <c r="S12" s="1"/>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U40"/>
  <c r="W40"/>
  <c r="U8"/>
  <c r="S8"/>
  <c r="F37" i="40"/>
  <c r="AA37" s="1"/>
  <c r="F23"/>
  <c r="AA23" s="1"/>
  <c r="F17"/>
  <c r="AA17" s="1"/>
  <c r="J17"/>
  <c r="W17" s="1"/>
  <c r="F15"/>
  <c r="S15" s="1"/>
  <c r="H15"/>
  <c r="AB15" s="1"/>
  <c r="AA12" i="36"/>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A15"/>
  <c r="S15"/>
  <c r="S41" i="33"/>
  <c r="F113"/>
  <c r="G113" s="1"/>
  <c r="H113" s="1"/>
  <c r="I113" s="1"/>
  <c r="J113" s="1"/>
  <c r="K113" s="1"/>
  <c r="L113" s="1"/>
  <c r="M113" s="1"/>
  <c r="H37"/>
  <c r="AB37" s="1"/>
  <c r="H15"/>
  <c r="AB15" s="1"/>
  <c r="H11"/>
  <c r="AB11" s="1"/>
  <c r="AA29" i="35"/>
  <c r="AA42" i="34"/>
  <c r="S42"/>
  <c r="AC38"/>
  <c r="AA38"/>
  <c r="J37"/>
  <c r="AC37" s="1"/>
  <c r="J11" i="33"/>
  <c r="W11" s="1"/>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U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AA13" i="35"/>
  <c r="U31" i="34"/>
  <c r="U46" i="33"/>
  <c r="AA14"/>
  <c r="J36" i="37"/>
  <c r="AC36" s="1"/>
  <c r="G105"/>
  <c r="AB11" i="35"/>
  <c r="J10" i="36"/>
  <c r="AC10" s="1"/>
  <c r="AB26" i="33"/>
  <c r="AA14" i="37"/>
  <c r="W31" i="34"/>
  <c r="AC13" i="36"/>
  <c r="W13"/>
  <c r="S11"/>
  <c r="W11"/>
  <c r="W11" i="35"/>
  <c r="AC30" i="34"/>
  <c r="S45" i="33"/>
  <c r="AB31"/>
  <c r="W29"/>
  <c r="AC28" i="21"/>
  <c r="S44" i="34"/>
  <c r="BA586" i="3"/>
  <c r="BA585"/>
  <c r="F17" i="21"/>
  <c r="AA17" s="1"/>
  <c r="H17"/>
  <c r="AB17" s="1"/>
  <c r="F15"/>
  <c r="S15" s="1"/>
  <c r="AB11"/>
  <c r="J41" i="39"/>
  <c r="W41" s="1"/>
  <c r="AC45"/>
  <c r="W44"/>
  <c r="W36"/>
  <c r="U36"/>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c r="BA578"/>
  <c r="AZ578"/>
  <c r="BA576"/>
  <c r="AZ576"/>
  <c r="BA574"/>
  <c r="AZ574"/>
  <c r="BA572"/>
  <c r="AZ572"/>
  <c r="BA570"/>
  <c r="AZ570"/>
  <c r="BA568"/>
  <c r="AZ568"/>
  <c r="BA566"/>
  <c r="AZ566"/>
  <c r="BA564"/>
  <c r="AZ564"/>
  <c r="BA562"/>
  <c r="AZ562"/>
  <c r="BA560"/>
  <c r="BA558"/>
  <c r="AZ558" s="1"/>
  <c r="BA556"/>
  <c r="AZ556" s="1"/>
  <c r="BA554"/>
  <c r="AZ554" s="1"/>
  <c r="BA552"/>
  <c r="AZ552" s="1"/>
  <c r="BA548"/>
  <c r="BA546"/>
  <c r="BA544"/>
  <c r="AZ544" s="1"/>
  <c r="BA542"/>
  <c r="AZ542" s="1"/>
  <c r="BA540"/>
  <c r="AZ540" s="1"/>
  <c r="BA538"/>
  <c r="AZ538" s="1"/>
  <c r="BA536"/>
  <c r="AZ536" s="1"/>
  <c r="BA534"/>
  <c r="AZ534" s="1"/>
  <c r="BA532"/>
  <c r="AZ532" s="1"/>
  <c r="BA530"/>
  <c r="BA528"/>
  <c r="AZ528"/>
  <c r="BA526"/>
  <c r="AZ526"/>
  <c r="BA524"/>
  <c r="AZ524" s="1"/>
  <c r="BA522"/>
  <c r="BA520"/>
  <c r="BA518"/>
  <c r="AZ518" s="1"/>
  <c r="BA516"/>
  <c r="AZ516" s="1"/>
  <c r="BA514"/>
  <c r="BA512"/>
  <c r="AZ512"/>
  <c r="BA510"/>
  <c r="AZ510"/>
  <c r="BA508"/>
  <c r="BA506"/>
  <c r="BA504"/>
  <c r="AZ504"/>
  <c r="BA502"/>
  <c r="BA500"/>
  <c r="BA498"/>
  <c r="AZ498"/>
  <c r="BA496"/>
  <c r="BA494"/>
  <c r="BA587"/>
  <c r="AZ587"/>
  <c r="BA583"/>
  <c r="BA581"/>
  <c r="AZ581" s="1"/>
  <c r="BA579"/>
  <c r="AZ579" s="1"/>
  <c r="BA577"/>
  <c r="BA575"/>
  <c r="AZ575" s="1"/>
  <c r="BA573"/>
  <c r="BA571"/>
  <c r="AZ571" s="1"/>
  <c r="BA569"/>
  <c r="BA567"/>
  <c r="AZ567" s="1"/>
  <c r="BA565"/>
  <c r="BA563"/>
  <c r="BA561"/>
  <c r="BA559"/>
  <c r="BA555"/>
  <c r="BA553"/>
  <c r="BA549"/>
  <c r="BA547"/>
  <c r="BA545"/>
  <c r="BA543"/>
  <c r="BA541"/>
  <c r="BA539"/>
  <c r="BA537"/>
  <c r="BA535"/>
  <c r="BA533"/>
  <c r="BA531"/>
  <c r="BA529"/>
  <c r="BA527"/>
  <c r="BA525"/>
  <c r="BA523"/>
  <c r="BA519"/>
  <c r="BA517"/>
  <c r="BA515"/>
  <c r="BA513"/>
  <c r="BA511"/>
  <c r="BA507"/>
  <c r="AZ507" s="1"/>
  <c r="BA505"/>
  <c r="BA503"/>
  <c r="AZ503" s="1"/>
  <c r="BA501"/>
  <c r="BA499"/>
  <c r="BA497"/>
  <c r="BA495"/>
  <c r="BA493"/>
  <c r="AZ560"/>
  <c r="G583"/>
  <c r="G581"/>
  <c r="G579"/>
  <c r="G577"/>
  <c r="G575"/>
  <c r="G573"/>
  <c r="G571"/>
  <c r="G569"/>
  <c r="G567"/>
  <c r="G565"/>
  <c r="G563"/>
  <c r="G561"/>
  <c r="BL558"/>
  <c r="BA557"/>
  <c r="AZ557" s="1"/>
  <c r="AC557"/>
  <c r="G557"/>
  <c r="BQ557"/>
  <c r="BL557"/>
  <c r="BQ583"/>
  <c r="BL583" s="1"/>
  <c r="AZ583" s="1"/>
  <c r="BQ581"/>
  <c r="BL581"/>
  <c r="BQ579"/>
  <c r="BL579"/>
  <c r="BQ577"/>
  <c r="BL577" s="1"/>
  <c r="AZ577" s="1"/>
  <c r="BQ575"/>
  <c r="BL575"/>
  <c r="BQ573"/>
  <c r="BL573" s="1"/>
  <c r="AZ573" s="1"/>
  <c r="BQ571"/>
  <c r="BL571"/>
  <c r="BQ569"/>
  <c r="BL569" s="1"/>
  <c r="AZ569" s="1"/>
  <c r="BQ567"/>
  <c r="BL567"/>
  <c r="BQ565"/>
  <c r="BL565" s="1"/>
  <c r="AZ565" s="1"/>
  <c r="BQ563"/>
  <c r="BL563"/>
  <c r="BQ561"/>
  <c r="BL561"/>
  <c r="AZ561" s="1"/>
  <c r="BQ559"/>
  <c r="BL559" s="1"/>
  <c r="AZ559" s="1"/>
  <c r="G559"/>
  <c r="G555"/>
  <c r="G553"/>
  <c r="G549"/>
  <c r="G547"/>
  <c r="G545"/>
  <c r="G543"/>
  <c r="G541"/>
  <c r="G539"/>
  <c r="G537"/>
  <c r="BQ555"/>
  <c r="BL555"/>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Z521" s="1"/>
  <c r="AC521"/>
  <c r="G521"/>
  <c r="BQ521"/>
  <c r="BL521"/>
  <c r="BL520"/>
  <c r="AZ520" s="1"/>
  <c r="G519"/>
  <c r="G517"/>
  <c r="G515"/>
  <c r="G513"/>
  <c r="G511"/>
  <c r="BQ519"/>
  <c r="BL519"/>
  <c r="AZ519" s="1"/>
  <c r="BQ517"/>
  <c r="BL517" s="1"/>
  <c r="AZ517" s="1"/>
  <c r="BQ515"/>
  <c r="BL515"/>
  <c r="AZ515" s="1"/>
  <c r="BQ513"/>
  <c r="BL513" s="1"/>
  <c r="AZ513" s="1"/>
  <c r="BQ511"/>
  <c r="BL511"/>
  <c r="AZ511" s="1"/>
  <c r="BA509"/>
  <c r="AC509"/>
  <c r="BQ509"/>
  <c r="BL509" s="1"/>
  <c r="AZ509" s="1"/>
  <c r="BL508"/>
  <c r="AZ508" s="1"/>
  <c r="G507"/>
  <c r="G505"/>
  <c r="G503"/>
  <c r="G501"/>
  <c r="G499"/>
  <c r="G497"/>
  <c r="G495"/>
  <c r="BQ507"/>
  <c r="BL507"/>
  <c r="BQ505"/>
  <c r="BL505" s="1"/>
  <c r="AZ505" s="1"/>
  <c r="BQ503"/>
  <c r="BL503"/>
  <c r="BQ501"/>
  <c r="BL501" s="1"/>
  <c r="AZ501" s="1"/>
  <c r="BQ499"/>
  <c r="BL499" s="1"/>
  <c r="AZ499" s="1"/>
  <c r="BQ497"/>
  <c r="BL497" s="1"/>
  <c r="AZ497" s="1"/>
  <c r="BQ495"/>
  <c r="BL495" s="1"/>
  <c r="AZ495" s="1"/>
  <c r="BQ493"/>
  <c r="AZ584"/>
  <c r="S505" i="31"/>
  <c r="S503"/>
  <c r="S501"/>
  <c r="S499"/>
  <c r="O27"/>
  <c r="O28"/>
  <c r="O26"/>
  <c r="M27"/>
  <c r="M28"/>
  <c r="M26"/>
  <c r="I26"/>
  <c r="I25"/>
  <c r="S25"/>
  <c r="Q26"/>
  <c r="K26"/>
  <c r="I27"/>
  <c r="Q27"/>
  <c r="K27"/>
  <c r="I28"/>
  <c r="Q28"/>
  <c r="K28"/>
  <c r="AC28" i="34"/>
  <c r="AA12" i="21"/>
  <c r="H25"/>
  <c r="U25" s="1"/>
  <c r="F25"/>
  <c r="S25" s="1"/>
  <c r="J25"/>
  <c r="AC25" s="1"/>
  <c r="E125" i="33"/>
  <c r="F125" s="1"/>
  <c r="G125" s="1"/>
  <c r="H43"/>
  <c r="AB43" s="1"/>
  <c r="H17" i="37"/>
  <c r="U17" s="1"/>
  <c r="AB27"/>
  <c r="U32" i="33"/>
  <c r="AA36" i="39"/>
  <c r="F39" i="33"/>
  <c r="AA39" s="1"/>
  <c r="E123"/>
  <c r="F123" s="1"/>
  <c r="G123" s="1"/>
  <c r="H123" s="1"/>
  <c r="I123" s="1"/>
  <c r="J123" s="1"/>
  <c r="K123" s="1"/>
  <c r="L123" s="1"/>
  <c r="M123" s="1"/>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H42" i="33"/>
  <c r="AB42" s="1"/>
  <c r="J43"/>
  <c r="AC43" s="1"/>
  <c r="S28" i="31"/>
  <c r="S27"/>
  <c r="S26"/>
  <c r="U14" i="40"/>
  <c r="AC32" i="36"/>
  <c r="AC33"/>
  <c r="U35" i="35"/>
  <c r="AA12"/>
  <c r="W23"/>
  <c r="AB28" i="37"/>
  <c r="U33"/>
  <c r="U39"/>
  <c r="W26"/>
  <c r="AC8"/>
  <c r="U26"/>
  <c r="W47" i="34"/>
  <c r="AB13"/>
  <c r="W37"/>
  <c r="AB37"/>
  <c r="AC36"/>
  <c r="AA13" i="33"/>
  <c r="AC31"/>
  <c r="AC45"/>
  <c r="W44"/>
  <c r="U11"/>
  <c r="U19" i="21"/>
  <c r="W44"/>
  <c r="U26"/>
  <c r="AC4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c r="J15"/>
  <c r="W15" s="1"/>
  <c r="U12"/>
  <c r="AT6" i="3"/>
  <c r="C12" i="43"/>
  <c r="H19" i="40"/>
  <c r="U19" s="1"/>
  <c r="F19"/>
  <c r="S19" s="1"/>
  <c r="S14"/>
  <c r="AC13"/>
  <c r="G101" i="39"/>
  <c r="H37"/>
  <c r="AB37" s="1"/>
  <c r="H25"/>
  <c r="AB25" s="1"/>
  <c r="J25"/>
  <c r="F25"/>
  <c r="AA25" s="1"/>
  <c r="F15"/>
  <c r="AA15" s="1"/>
  <c r="H15"/>
  <c r="U15" s="1"/>
  <c r="J15"/>
  <c r="W15" s="1"/>
  <c r="H41"/>
  <c r="AB34"/>
  <c r="S42"/>
  <c r="W14"/>
  <c r="W9"/>
  <c r="W8"/>
  <c r="J19" i="40"/>
  <c r="AC19" s="1"/>
  <c r="J50"/>
  <c r="A8" i="52"/>
  <c r="B54" i="72" s="1"/>
  <c r="H103" i="9"/>
  <c r="D8" i="53" s="1"/>
  <c r="B16"/>
  <c r="B33" i="72" s="1"/>
  <c r="C7" i="37"/>
  <c r="C7" i="34"/>
  <c r="C7" i="36"/>
  <c r="W35" i="40"/>
  <c r="A118" i="9"/>
  <c r="A4" i="52"/>
  <c r="B41" i="72" s="1"/>
  <c r="J11" i="39"/>
  <c r="W11" s="1"/>
  <c r="F11"/>
  <c r="AA11" s="1"/>
  <c r="A126" i="9"/>
  <c r="A12" i="52" s="1"/>
  <c r="B56" i="72" s="1"/>
  <c r="G4" i="4"/>
  <c r="I4"/>
  <c r="K5"/>
  <c r="B47" i="48" s="1"/>
  <c r="A2" i="9"/>
  <c r="N2" i="43"/>
  <c r="F59" s="1"/>
  <c r="AZ28" i="3"/>
  <c r="BL549"/>
  <c r="AZ494"/>
  <c r="AZ502"/>
  <c r="AZ514"/>
  <c r="AZ522"/>
  <c r="AZ530"/>
  <c r="AZ546"/>
  <c r="G546"/>
  <c r="G524"/>
  <c r="G303"/>
  <c r="BL304"/>
  <c r="G305"/>
  <c r="BL306"/>
  <c r="BA308"/>
  <c r="AZ308"/>
  <c r="BA309"/>
  <c r="BL309"/>
  <c r="AZ309" s="1"/>
  <c r="G310"/>
  <c r="BA311"/>
  <c r="G319"/>
  <c r="BL320"/>
  <c r="G321"/>
  <c r="BL322"/>
  <c r="BA324"/>
  <c r="BA325"/>
  <c r="BL325"/>
  <c r="G326"/>
  <c r="BA327"/>
  <c r="G335"/>
  <c r="BL336"/>
  <c r="G337"/>
  <c r="BL338"/>
  <c r="BA340"/>
  <c r="AZ340" s="1"/>
  <c r="BA341"/>
  <c r="BL341"/>
  <c r="BA343"/>
  <c r="BA345"/>
  <c r="BL355"/>
  <c r="G356"/>
  <c r="BL357"/>
  <c r="BA359"/>
  <c r="AZ359" s="1"/>
  <c r="BA360"/>
  <c r="BL360"/>
  <c r="G361"/>
  <c r="BA362"/>
  <c r="AZ362"/>
  <c r="G370"/>
  <c r="BL371"/>
  <c r="G372"/>
  <c r="BL373"/>
  <c r="BA375"/>
  <c r="AZ375"/>
  <c r="BA376"/>
  <c r="BL376"/>
  <c r="G377"/>
  <c r="BA378"/>
  <c r="AZ378" s="1"/>
  <c r="BL378"/>
  <c r="G379"/>
  <c r="BA380"/>
  <c r="AZ380" s="1"/>
  <c r="G388"/>
  <c r="BL389"/>
  <c r="G390"/>
  <c r="BL391"/>
  <c r="BA393"/>
  <c r="AZ393" s="1"/>
  <c r="BA394"/>
  <c r="BL394"/>
  <c r="G113"/>
  <c r="BA115"/>
  <c r="BL116"/>
  <c r="G117"/>
  <c r="BA119"/>
  <c r="BL120"/>
  <c r="G121"/>
  <c r="BL124"/>
  <c r="G125"/>
  <c r="BL128"/>
  <c r="G129"/>
  <c r="BL132"/>
  <c r="G133"/>
  <c r="BA135"/>
  <c r="AZ135" s="1"/>
  <c r="BL136"/>
  <c r="BA139"/>
  <c r="BL140"/>
  <c r="AZ140" s="1"/>
  <c r="G141"/>
  <c r="BA143"/>
  <c r="BL144"/>
  <c r="G145"/>
  <c r="BA147"/>
  <c r="BL148"/>
  <c r="AZ148" s="1"/>
  <c r="G149"/>
  <c r="BA151"/>
  <c r="BL152"/>
  <c r="G153"/>
  <c r="BA155"/>
  <c r="BL156"/>
  <c r="AZ156" s="1"/>
  <c r="G157"/>
  <c r="BA159"/>
  <c r="BL160"/>
  <c r="G161"/>
  <c r="BA163"/>
  <c r="BL164"/>
  <c r="AZ164" s="1"/>
  <c r="G165"/>
  <c r="BA167"/>
  <c r="BL168"/>
  <c r="AZ168" s="1"/>
  <c r="G169"/>
  <c r="BA171"/>
  <c r="BL172"/>
  <c r="AZ172"/>
  <c r="G173"/>
  <c r="BA175"/>
  <c r="BL176"/>
  <c r="G177"/>
  <c r="BA179"/>
  <c r="BL180"/>
  <c r="AZ180" s="1"/>
  <c r="G181"/>
  <c r="BA183"/>
  <c r="BL184"/>
  <c r="G185"/>
  <c r="BA187"/>
  <c r="BL188"/>
  <c r="G189"/>
  <c r="BA191"/>
  <c r="BL192"/>
  <c r="G193"/>
  <c r="BA195"/>
  <c r="BL196"/>
  <c r="AZ196" s="1"/>
  <c r="G197"/>
  <c r="BA199"/>
  <c r="BL200"/>
  <c r="G201"/>
  <c r="BA203"/>
  <c r="BL204"/>
  <c r="AZ204" s="1"/>
  <c r="AZ83"/>
  <c r="AZ152"/>
  <c r="AZ184"/>
  <c r="AZ192"/>
  <c r="AZ93"/>
  <c r="AZ109"/>
  <c r="G534"/>
  <c r="G530"/>
  <c r="G522"/>
  <c r="G516"/>
  <c r="G512"/>
  <c r="G506"/>
  <c r="G498"/>
  <c r="G494"/>
  <c r="G16"/>
  <c r="G15"/>
  <c r="BA304"/>
  <c r="AZ304" s="1"/>
  <c r="BA305"/>
  <c r="BL305"/>
  <c r="G306"/>
  <c r="G309"/>
  <c r="BL310"/>
  <c r="BA312"/>
  <c r="BA313"/>
  <c r="BL313"/>
  <c r="G314"/>
  <c r="G317"/>
  <c r="BL318"/>
  <c r="BA320"/>
  <c r="AZ320"/>
  <c r="BA321"/>
  <c r="BL321"/>
  <c r="G322"/>
  <c r="G325"/>
  <c r="BL326"/>
  <c r="BA328"/>
  <c r="AZ328" s="1"/>
  <c r="BA329"/>
  <c r="BL329"/>
  <c r="G330"/>
  <c r="G333"/>
  <c r="BL334"/>
  <c r="BA336"/>
  <c r="AZ336" s="1"/>
  <c r="BA337"/>
  <c r="BL337"/>
  <c r="G338"/>
  <c r="G341"/>
  <c r="BA342"/>
  <c r="BL342"/>
  <c r="BA344"/>
  <c r="BL344"/>
  <c r="AZ344"/>
  <c r="BA346"/>
  <c r="AZ346"/>
  <c r="BA347"/>
  <c r="BL347"/>
  <c r="G350"/>
  <c r="BA351"/>
  <c r="AZ351" s="1"/>
  <c r="BL351"/>
  <c r="G352"/>
  <c r="G354"/>
  <c r="BA355"/>
  <c r="AZ355" s="1"/>
  <c r="BA356"/>
  <c r="BL356"/>
  <c r="G357"/>
  <c r="G360"/>
  <c r="BL361"/>
  <c r="BA363"/>
  <c r="AZ363" s="1"/>
  <c r="BA364"/>
  <c r="AZ364" s="1"/>
  <c r="BL364"/>
  <c r="G365"/>
  <c r="G368"/>
  <c r="BL369"/>
  <c r="BA371"/>
  <c r="AZ371"/>
  <c r="BA372"/>
  <c r="AZ372"/>
  <c r="BL372"/>
  <c r="G373"/>
  <c r="G376"/>
  <c r="BL377"/>
  <c r="BL379"/>
  <c r="BA381"/>
  <c r="AZ381" s="1"/>
  <c r="BA382"/>
  <c r="BL382"/>
  <c r="G383"/>
  <c r="G386"/>
  <c r="BL387"/>
  <c r="BA389"/>
  <c r="AZ389" s="1"/>
  <c r="BA390"/>
  <c r="BL390"/>
  <c r="G391"/>
  <c r="G394"/>
  <c r="AZ142"/>
  <c r="AZ166"/>
  <c r="AZ500"/>
  <c r="BA16"/>
  <c r="AZ16" s="1"/>
  <c r="BL303"/>
  <c r="G304"/>
  <c r="BA306"/>
  <c r="AZ306" s="1"/>
  <c r="BL307"/>
  <c r="G308"/>
  <c r="BA310"/>
  <c r="AZ310" s="1"/>
  <c r="BL311"/>
  <c r="G312"/>
  <c r="BA314"/>
  <c r="AZ314" s="1"/>
  <c r="BL315"/>
  <c r="AZ315" s="1"/>
  <c r="G316"/>
  <c r="BA318"/>
  <c r="AZ318" s="1"/>
  <c r="BL319"/>
  <c r="G320"/>
  <c r="BA322"/>
  <c r="AZ322" s="1"/>
  <c r="BL323"/>
  <c r="G324"/>
  <c r="BA326"/>
  <c r="AZ326" s="1"/>
  <c r="BL327"/>
  <c r="G328"/>
  <c r="BA330"/>
  <c r="AZ330"/>
  <c r="BL331"/>
  <c r="G332"/>
  <c r="BA334"/>
  <c r="AZ334" s="1"/>
  <c r="BL335"/>
  <c r="G336"/>
  <c r="BA338"/>
  <c r="AZ338" s="1"/>
  <c r="BL339"/>
  <c r="G340"/>
  <c r="BL343"/>
  <c r="G344"/>
  <c r="G348"/>
  <c r="G355"/>
  <c r="AZ214"/>
  <c r="AZ311"/>
  <c r="AZ327"/>
  <c r="G342"/>
  <c r="BL345"/>
  <c r="G346"/>
  <c r="AZ348"/>
  <c r="BL349"/>
  <c r="BL352"/>
  <c r="G353"/>
  <c r="BA357"/>
  <c r="AZ357" s="1"/>
  <c r="BL358"/>
  <c r="G359"/>
  <c r="BA361"/>
  <c r="AZ361" s="1"/>
  <c r="BL362"/>
  <c r="G363"/>
  <c r="BA365"/>
  <c r="AZ365" s="1"/>
  <c r="BL366"/>
  <c r="AZ366"/>
  <c r="G367"/>
  <c r="BA369"/>
  <c r="AZ369" s="1"/>
  <c r="BL370"/>
  <c r="AZ370" s="1"/>
  <c r="G371"/>
  <c r="BA373"/>
  <c r="AZ373" s="1"/>
  <c r="BL374"/>
  <c r="AZ374" s="1"/>
  <c r="G375"/>
  <c r="BA377"/>
  <c r="AZ377"/>
  <c r="AZ253"/>
  <c r="AZ261"/>
  <c r="BA379"/>
  <c r="AZ379" s="1"/>
  <c r="BL380"/>
  <c r="G381"/>
  <c r="BA383"/>
  <c r="AZ383" s="1"/>
  <c r="BL384"/>
  <c r="G385"/>
  <c r="BA387"/>
  <c r="AZ387" s="1"/>
  <c r="BL388"/>
  <c r="G389"/>
  <c r="BA391"/>
  <c r="AZ391" s="1"/>
  <c r="BL392"/>
  <c r="G393"/>
  <c r="AZ279"/>
  <c r="BO5"/>
  <c r="BF5"/>
  <c r="AZ305"/>
  <c r="AZ313"/>
  <c r="AZ321"/>
  <c r="AZ329"/>
  <c r="AZ337"/>
  <c r="AZ345"/>
  <c r="AC5"/>
  <c r="AZ549"/>
  <c r="AZ506"/>
  <c r="AZ496"/>
  <c r="G548"/>
  <c r="G538"/>
  <c r="G520"/>
  <c r="G502"/>
  <c r="BS5"/>
  <c r="BP5"/>
  <c r="AZ343"/>
  <c r="AZ347"/>
  <c r="BK5"/>
  <c r="BI5"/>
  <c r="BG5"/>
  <c r="BE5"/>
  <c r="BC5"/>
  <c r="G17"/>
  <c r="BA17"/>
  <c r="AZ360"/>
  <c r="AZ368"/>
  <c r="BA15"/>
  <c r="BR5"/>
  <c r="AZ394"/>
  <c r="G509"/>
  <c r="BL493"/>
  <c r="AZ479"/>
  <c r="AZ483"/>
  <c r="AZ487"/>
  <c r="AZ491"/>
  <c r="AZ475"/>
  <c r="AZ477"/>
  <c r="AZ481"/>
  <c r="AZ489"/>
  <c r="AZ376"/>
  <c r="AZ382"/>
  <c r="AZ493"/>
  <c r="N4" i="43"/>
  <c r="F36"/>
  <c r="F81"/>
  <c r="H83" s="1"/>
  <c r="H113"/>
  <c r="F48"/>
  <c r="H52" s="1"/>
  <c r="N7"/>
  <c r="F70"/>
  <c r="H73" s="1"/>
  <c r="M6"/>
  <c r="M11"/>
  <c r="E17"/>
  <c r="F39"/>
  <c r="I17"/>
  <c r="F35"/>
  <c r="J17"/>
  <c r="F6" i="1"/>
  <c r="U17" i="39"/>
  <c r="S14" i="35"/>
  <c r="U43" i="21"/>
  <c r="U35"/>
  <c r="AC35"/>
  <c r="U10"/>
  <c r="G10" i="1"/>
  <c r="AZ563" i="3"/>
  <c r="W37" i="37"/>
  <c r="W44" i="34"/>
  <c r="AC44"/>
  <c r="S15" i="37"/>
  <c r="U13"/>
  <c r="U12" i="40"/>
  <c r="AA12"/>
  <c r="J37" i="33"/>
  <c r="W37" s="1"/>
  <c r="AC17" i="34"/>
  <c r="F106" i="33"/>
  <c r="G106" s="1"/>
  <c r="H106" s="1"/>
  <c r="I106" s="1"/>
  <c r="J106" s="1"/>
  <c r="K106" s="1"/>
  <c r="L106" s="1"/>
  <c r="M106" s="1"/>
  <c r="J34"/>
  <c r="W34" s="1"/>
  <c r="F33" i="34"/>
  <c r="S33" s="1"/>
  <c r="W12" i="36"/>
  <c r="AC12"/>
  <c r="H20"/>
  <c r="U20" s="1"/>
  <c r="J20"/>
  <c r="W20" s="1"/>
  <c r="W24"/>
  <c r="J27"/>
  <c r="W27" s="1"/>
  <c r="AB25" i="37"/>
  <c r="AC33" i="40"/>
  <c r="H35"/>
  <c r="AB35" s="1"/>
  <c r="AC29" i="35"/>
  <c r="W29"/>
  <c r="H35" i="37"/>
  <c r="U35" s="1"/>
  <c r="AC14" i="35"/>
  <c r="H20"/>
  <c r="U20" s="1"/>
  <c r="F20"/>
  <c r="AA20" s="1"/>
  <c r="AB23"/>
  <c r="AB29" i="36"/>
  <c r="U29"/>
  <c r="H32" i="37"/>
  <c r="AB32" s="1"/>
  <c r="F96"/>
  <c r="H27" i="40"/>
  <c r="U27" s="1"/>
  <c r="J27"/>
  <c r="AC27" s="1"/>
  <c r="F27"/>
  <c r="S27" s="1"/>
  <c r="J30"/>
  <c r="AC30" s="1"/>
  <c r="F30"/>
  <c r="AA30" s="1"/>
  <c r="AC21"/>
  <c r="E98"/>
  <c r="F10" i="33"/>
  <c r="S10" s="1"/>
  <c r="F34"/>
  <c r="AA34" s="1"/>
  <c r="H34"/>
  <c r="U34" s="1"/>
  <c r="F35"/>
  <c r="S35" s="1"/>
  <c r="F39" i="34"/>
  <c r="S39" s="1"/>
  <c r="J39"/>
  <c r="W39" s="1"/>
  <c r="F40"/>
  <c r="S40" s="1"/>
  <c r="F43"/>
  <c r="AA43" s="1"/>
  <c r="H44"/>
  <c r="AB44" s="1"/>
  <c r="AC38" i="39"/>
  <c r="F39"/>
  <c r="S39" s="1"/>
  <c r="J39"/>
  <c r="AC39" s="1"/>
  <c r="E97"/>
  <c r="F97" s="1"/>
  <c r="G97" s="1"/>
  <c r="AZ485" i="3"/>
  <c r="AZ353"/>
  <c r="AZ354"/>
  <c r="AZ386"/>
  <c r="AZ280"/>
  <c r="AZ114"/>
  <c r="AZ37"/>
  <c r="AZ53"/>
  <c r="AZ69"/>
  <c r="AZ74"/>
  <c r="H74" i="43"/>
  <c r="H50"/>
  <c r="H49"/>
  <c r="H48"/>
  <c r="I20"/>
  <c r="F23" i="39"/>
  <c r="AA23" s="1"/>
  <c r="S34" i="33"/>
  <c r="H27" i="36"/>
  <c r="U27" s="1"/>
  <c r="F27"/>
  <c r="AA27" s="1"/>
  <c r="H33" i="34"/>
  <c r="U33" s="1"/>
  <c r="AC34" i="33"/>
  <c r="AA39" i="34"/>
  <c r="F32" i="37"/>
  <c r="AA32" s="1"/>
  <c r="G96"/>
  <c r="H96" s="1"/>
  <c r="I96" s="1"/>
  <c r="J96" s="1"/>
  <c r="K96" s="1"/>
  <c r="L96" s="1"/>
  <c r="M96" s="1"/>
  <c r="F20" i="36"/>
  <c r="AA20" s="1"/>
  <c r="J33" i="34"/>
  <c r="AC33" s="1"/>
  <c r="H23" i="39"/>
  <c r="U23" s="1"/>
  <c r="H86" i="43"/>
  <c r="H82"/>
  <c r="H87"/>
  <c r="F3" i="35"/>
  <c r="D93" i="9"/>
  <c r="J51" i="15"/>
  <c r="J51" i="80" l="1"/>
  <c r="J51" i="79"/>
  <c r="J51" i="77"/>
  <c r="G11" i="1"/>
  <c r="C40" i="11"/>
  <c r="BQ5" i="3"/>
  <c r="F28" i="6" s="1"/>
  <c r="J28" i="40"/>
  <c r="AC28" s="1"/>
  <c r="F98"/>
  <c r="AB33"/>
  <c r="M20" i="15"/>
  <c r="F34" i="80"/>
  <c r="F62" s="1"/>
  <c r="M20"/>
  <c r="F34" i="79"/>
  <c r="F62" s="1"/>
  <c r="M20"/>
  <c r="F34" i="77"/>
  <c r="F62" s="1"/>
  <c r="M20"/>
  <c r="G8" i="1"/>
  <c r="F9"/>
  <c r="G9" s="1"/>
  <c r="G1" i="77"/>
  <c r="G1" i="79"/>
  <c r="G1" i="80"/>
  <c r="G28" i="6"/>
  <c r="F29"/>
  <c r="BL208" i="3"/>
  <c r="G209"/>
  <c r="G211"/>
  <c r="G213"/>
  <c r="G215"/>
  <c r="G218"/>
  <c r="G220"/>
  <c r="G222"/>
  <c r="G224"/>
  <c r="BL224"/>
  <c r="G226"/>
  <c r="BL227"/>
  <c r="G228"/>
  <c r="G231"/>
  <c r="G233"/>
  <c r="BL234"/>
  <c r="G235"/>
  <c r="G237"/>
  <c r="G239"/>
  <c r="G241"/>
  <c r="BL242"/>
  <c r="G244"/>
  <c r="BL246"/>
  <c r="G247"/>
  <c r="G249"/>
  <c r="G251"/>
  <c r="G253"/>
  <c r="G255"/>
  <c r="BL159"/>
  <c r="AZ159" s="1"/>
  <c r="G160"/>
  <c r="BL161"/>
  <c r="G162"/>
  <c r="G164"/>
  <c r="G166"/>
  <c r="G168"/>
  <c r="BL169"/>
  <c r="G170"/>
  <c r="G172"/>
  <c r="G208"/>
  <c r="BL209"/>
  <c r="G210"/>
  <c r="BL211"/>
  <c r="G212"/>
  <c r="G214"/>
  <c r="G216"/>
  <c r="G246"/>
  <c r="G248"/>
  <c r="BL249"/>
  <c r="G250"/>
  <c r="G252"/>
  <c r="G254"/>
  <c r="BL255"/>
  <c r="G114"/>
  <c r="G116"/>
  <c r="G119"/>
  <c r="G123"/>
  <c r="G124"/>
  <c r="G126"/>
  <c r="BL126"/>
  <c r="G128"/>
  <c r="BL129"/>
  <c r="G130"/>
  <c r="G132"/>
  <c r="G134"/>
  <c r="G135"/>
  <c r="G137"/>
  <c r="G139"/>
  <c r="BL141"/>
  <c r="BL143"/>
  <c r="AZ143" s="1"/>
  <c r="G144"/>
  <c r="BL145"/>
  <c r="G146"/>
  <c r="G148"/>
  <c r="G150"/>
  <c r="BL150"/>
  <c r="AZ150" s="1"/>
  <c r="G152"/>
  <c r="BL153"/>
  <c r="G154"/>
  <c r="G156"/>
  <c r="G158"/>
  <c r="G159"/>
  <c r="BL162"/>
  <c r="G163"/>
  <c r="G167"/>
  <c r="BL175"/>
  <c r="AZ175" s="1"/>
  <c r="G176"/>
  <c r="BL177"/>
  <c r="G178"/>
  <c r="G180"/>
  <c r="G182"/>
  <c r="BL182"/>
  <c r="AZ182" s="1"/>
  <c r="G184"/>
  <c r="BL185"/>
  <c r="G186"/>
  <c r="G188"/>
  <c r="BL191"/>
  <c r="AZ191" s="1"/>
  <c r="G192"/>
  <c r="BL193"/>
  <c r="G194"/>
  <c r="G196"/>
  <c r="BL197"/>
  <c r="G199"/>
  <c r="BL202"/>
  <c r="G203"/>
  <c r="BL205"/>
  <c r="G206"/>
  <c r="G99"/>
  <c r="G100"/>
  <c r="BL102"/>
  <c r="G103"/>
  <c r="G104"/>
  <c r="BL105"/>
  <c r="BL106"/>
  <c r="G107"/>
  <c r="G109"/>
  <c r="G110"/>
  <c r="G111"/>
  <c r="G258"/>
  <c r="G260"/>
  <c r="BL260"/>
  <c r="G262"/>
  <c r="G264"/>
  <c r="G7" i="1"/>
  <c r="F36" i="40"/>
  <c r="AA36" s="1"/>
  <c r="H36"/>
  <c r="U23"/>
  <c r="S21"/>
  <c r="S11"/>
  <c r="J11"/>
  <c r="W11" s="1"/>
  <c r="H11"/>
  <c r="AB11" s="1"/>
  <c r="AC11"/>
  <c r="AC9"/>
  <c r="U9"/>
  <c r="U44" i="39"/>
  <c r="AB44"/>
  <c r="W43"/>
  <c r="AC43"/>
  <c r="AB45"/>
  <c r="U45"/>
  <c r="AZ388" i="3"/>
  <c r="AZ390"/>
  <c r="AZ356"/>
  <c r="AZ342"/>
  <c r="AZ341"/>
  <c r="AZ325"/>
  <c r="BA317"/>
  <c r="BA332"/>
  <c r="AZ332" s="1"/>
  <c r="BA335"/>
  <c r="AZ335" s="1"/>
  <c r="BA339"/>
  <c r="BA352"/>
  <c r="AZ352" s="1"/>
  <c r="BA358"/>
  <c r="BA384"/>
  <c r="AZ384" s="1"/>
  <c r="BA395"/>
  <c r="AZ395" s="1"/>
  <c r="BA396"/>
  <c r="AZ396" s="1"/>
  <c r="BA210"/>
  <c r="BA212"/>
  <c r="BA213"/>
  <c r="BA215"/>
  <c r="AZ215" s="1"/>
  <c r="BA218"/>
  <c r="AZ218" s="1"/>
  <c r="BA222"/>
  <c r="BA223"/>
  <c r="BA224"/>
  <c r="AZ358"/>
  <c r="AZ349"/>
  <c r="AZ339"/>
  <c r="AZ398"/>
  <c r="BA228"/>
  <c r="BA231"/>
  <c r="BA232"/>
  <c r="BA236"/>
  <c r="BA237"/>
  <c r="BA243"/>
  <c r="AZ243" s="1"/>
  <c r="BA248"/>
  <c r="BA250"/>
  <c r="BA251"/>
  <c r="BA266"/>
  <c r="BA270"/>
  <c r="BA127"/>
  <c r="BA132"/>
  <c r="BA141"/>
  <c r="BA144"/>
  <c r="AZ144" s="1"/>
  <c r="BA149"/>
  <c r="BA160"/>
  <c r="AZ160" s="1"/>
  <c r="BA165"/>
  <c r="BA176"/>
  <c r="AZ176" s="1"/>
  <c r="BA181"/>
  <c r="BA188"/>
  <c r="AZ188" s="1"/>
  <c r="BA198"/>
  <c r="AZ198" s="1"/>
  <c r="BA200"/>
  <c r="AZ200" s="1"/>
  <c r="BA205"/>
  <c r="AZ205" s="1"/>
  <c r="BA18"/>
  <c r="AZ18" s="1"/>
  <c r="BA25"/>
  <c r="AZ25" s="1"/>
  <c r="BA29"/>
  <c r="AZ29" s="1"/>
  <c r="BA36"/>
  <c r="BA39"/>
  <c r="BA40"/>
  <c r="BA45"/>
  <c r="AZ45" s="1"/>
  <c r="BA49"/>
  <c r="BA51"/>
  <c r="BA52"/>
  <c r="BA55"/>
  <c r="BA56"/>
  <c r="BA61"/>
  <c r="AZ61" s="1"/>
  <c r="BA65"/>
  <c r="BA67"/>
  <c r="BA68"/>
  <c r="BA71"/>
  <c r="BA73"/>
  <c r="BA75"/>
  <c r="AZ75" s="1"/>
  <c r="BA79"/>
  <c r="AZ79" s="1"/>
  <c r="BA82"/>
  <c r="AZ82" s="1"/>
  <c r="BA85"/>
  <c r="BA87"/>
  <c r="BA92"/>
  <c r="BA94"/>
  <c r="AZ94" s="1"/>
  <c r="BA101"/>
  <c r="BA108"/>
  <c r="BA259"/>
  <c r="BA260"/>
  <c r="BA262"/>
  <c r="BA263"/>
  <c r="BA273"/>
  <c r="AZ273" s="1"/>
  <c r="BA275"/>
  <c r="BA277"/>
  <c r="BA283"/>
  <c r="AZ283" s="1"/>
  <c r="BA287"/>
  <c r="C30" i="9"/>
  <c r="A15" i="62"/>
  <c r="B61" i="72" s="1"/>
  <c r="S31" i="39"/>
  <c r="W27"/>
  <c r="AA41"/>
  <c r="W37"/>
  <c r="AC37"/>
  <c r="AC35"/>
  <c r="W35"/>
  <c r="S35"/>
  <c r="F37"/>
  <c r="AA37" s="1"/>
  <c r="U40"/>
  <c r="W23"/>
  <c r="S11"/>
  <c r="G29" i="6"/>
  <c r="G30" s="1"/>
  <c r="G31" s="1"/>
  <c r="BL312" i="3"/>
  <c r="AZ312" s="1"/>
  <c r="BL317"/>
  <c r="AZ317" s="1"/>
  <c r="BL289"/>
  <c r="BA292"/>
  <c r="BA296"/>
  <c r="BA297"/>
  <c r="BL113"/>
  <c r="BA116"/>
  <c r="BL121"/>
  <c r="BA123"/>
  <c r="AZ123" s="1"/>
  <c r="BA124"/>
  <c r="AZ124" s="1"/>
  <c r="BL127"/>
  <c r="BA136"/>
  <c r="AZ136" s="1"/>
  <c r="BL138"/>
  <c r="BA316"/>
  <c r="AZ316" s="1"/>
  <c r="BA319"/>
  <c r="AZ319" s="1"/>
  <c r="BA323"/>
  <c r="AZ323" s="1"/>
  <c r="BL210"/>
  <c r="BL212"/>
  <c r="AZ212" s="1"/>
  <c r="BL216"/>
  <c r="BL219"/>
  <c r="BL221"/>
  <c r="BL222"/>
  <c r="AZ222" s="1"/>
  <c r="BL223"/>
  <c r="BL225"/>
  <c r="BL228"/>
  <c r="BL229"/>
  <c r="AZ229" s="1"/>
  <c r="BL231"/>
  <c r="BL232"/>
  <c r="BL233"/>
  <c r="AZ233" s="1"/>
  <c r="BL236"/>
  <c r="AZ236" s="1"/>
  <c r="BL237"/>
  <c r="BL239"/>
  <c r="BL240"/>
  <c r="AZ240" s="1"/>
  <c r="BL241"/>
  <c r="AZ241" s="1"/>
  <c r="BL244"/>
  <c r="BL245"/>
  <c r="BL247"/>
  <c r="BL248"/>
  <c r="AZ248" s="1"/>
  <c r="BL250"/>
  <c r="AZ250" s="1"/>
  <c r="BL251"/>
  <c r="BL254"/>
  <c r="BL258"/>
  <c r="BL259"/>
  <c r="BL262"/>
  <c r="BL263"/>
  <c r="AZ263" s="1"/>
  <c r="BL266"/>
  <c r="BL270"/>
  <c r="AZ270" s="1"/>
  <c r="BL271"/>
  <c r="BL274"/>
  <c r="BL275"/>
  <c r="BL277"/>
  <c r="AZ277" s="1"/>
  <c r="BL281"/>
  <c r="BL284"/>
  <c r="BL286"/>
  <c r="BL287"/>
  <c r="AZ287" s="1"/>
  <c r="BL288"/>
  <c r="BA291"/>
  <c r="AZ291" s="1"/>
  <c r="BL302"/>
  <c r="BL117"/>
  <c r="BL119"/>
  <c r="AZ119" s="1"/>
  <c r="BA128"/>
  <c r="AZ128" s="1"/>
  <c r="BL130"/>
  <c r="BA134"/>
  <c r="AZ134" s="1"/>
  <c r="BL137"/>
  <c r="BA303"/>
  <c r="AZ303" s="1"/>
  <c r="BA307"/>
  <c r="AZ307" s="1"/>
  <c r="BL324"/>
  <c r="AZ324" s="1"/>
  <c r="BA208"/>
  <c r="AZ208" s="1"/>
  <c r="BA209"/>
  <c r="AZ209" s="1"/>
  <c r="BA211"/>
  <c r="AZ211" s="1"/>
  <c r="BA220"/>
  <c r="AZ220" s="1"/>
  <c r="BA226"/>
  <c r="AZ226" s="1"/>
  <c r="BA227"/>
  <c r="AZ227" s="1"/>
  <c r="BA234"/>
  <c r="AZ234" s="1"/>
  <c r="BA235"/>
  <c r="AZ235" s="1"/>
  <c r="BA246"/>
  <c r="AZ246" s="1"/>
  <c r="BA249"/>
  <c r="AZ249" s="1"/>
  <c r="BA255"/>
  <c r="AZ255" s="1"/>
  <c r="BA256"/>
  <c r="AZ256" s="1"/>
  <c r="BA257"/>
  <c r="AZ257" s="1"/>
  <c r="BA264"/>
  <c r="AZ264" s="1"/>
  <c r="BA265"/>
  <c r="AZ265" s="1"/>
  <c r="BA267"/>
  <c r="AZ267" s="1"/>
  <c r="BA268"/>
  <c r="AZ268" s="1"/>
  <c r="BA269"/>
  <c r="AZ269" s="1"/>
  <c r="BA276"/>
  <c r="AZ276" s="1"/>
  <c r="BA285"/>
  <c r="AZ285" s="1"/>
  <c r="BA289"/>
  <c r="BA290"/>
  <c r="AZ290" s="1"/>
  <c r="BL297"/>
  <c r="BA300"/>
  <c r="AZ300" s="1"/>
  <c r="BA113"/>
  <c r="AZ113" s="1"/>
  <c r="AZ126"/>
  <c r="AZ127"/>
  <c r="AZ108"/>
  <c r="BL15"/>
  <c r="AZ213"/>
  <c r="AZ217"/>
  <c r="AZ219"/>
  <c r="AZ223"/>
  <c r="AZ224"/>
  <c r="AZ225"/>
  <c r="AZ230"/>
  <c r="AZ232"/>
  <c r="AZ237"/>
  <c r="AZ238"/>
  <c r="AZ239"/>
  <c r="AZ242"/>
  <c r="AZ245"/>
  <c r="AZ251"/>
  <c r="AZ252"/>
  <c r="AZ254"/>
  <c r="AZ260"/>
  <c r="AZ271"/>
  <c r="AZ272"/>
  <c r="AZ274"/>
  <c r="AZ278"/>
  <c r="AZ282"/>
  <c r="AZ284"/>
  <c r="AZ288"/>
  <c r="AZ293"/>
  <c r="AZ298"/>
  <c r="AZ302"/>
  <c r="AZ117"/>
  <c r="AZ118"/>
  <c r="AZ120"/>
  <c r="BL292"/>
  <c r="BL294"/>
  <c r="BL295"/>
  <c r="AZ295" s="1"/>
  <c r="BL296"/>
  <c r="BL298"/>
  <c r="BL299"/>
  <c r="AZ299" s="1"/>
  <c r="BL301"/>
  <c r="AZ301" s="1"/>
  <c r="BL115"/>
  <c r="AZ115" s="1"/>
  <c r="BA121"/>
  <c r="AZ121" s="1"/>
  <c r="BA122"/>
  <c r="BL125"/>
  <c r="BA129"/>
  <c r="AZ129" s="1"/>
  <c r="BA130"/>
  <c r="BA131"/>
  <c r="BL139"/>
  <c r="AZ139" s="1"/>
  <c r="BA145"/>
  <c r="AZ145" s="1"/>
  <c r="BA146"/>
  <c r="AZ146" s="1"/>
  <c r="BL155"/>
  <c r="AZ155" s="1"/>
  <c r="BA161"/>
  <c r="AZ161" s="1"/>
  <c r="BA162"/>
  <c r="AZ162" s="1"/>
  <c r="BL171"/>
  <c r="AZ171" s="1"/>
  <c r="BA177"/>
  <c r="AZ177" s="1"/>
  <c r="BA178"/>
  <c r="AZ178" s="1"/>
  <c r="BL187"/>
  <c r="AZ187" s="1"/>
  <c r="BA193"/>
  <c r="AZ193" s="1"/>
  <c r="BA194"/>
  <c r="AZ194" s="1"/>
  <c r="BL203"/>
  <c r="AZ203" s="1"/>
  <c r="BL206"/>
  <c r="BL22"/>
  <c r="BL27"/>
  <c r="BL31"/>
  <c r="AZ31" s="1"/>
  <c r="BL33"/>
  <c r="AZ33" s="1"/>
  <c r="BL35"/>
  <c r="BL38"/>
  <c r="BL41"/>
  <c r="BL43"/>
  <c r="AZ43" s="1"/>
  <c r="BL47"/>
  <c r="AZ47" s="1"/>
  <c r="BL50"/>
  <c r="AZ50" s="1"/>
  <c r="BL54"/>
  <c r="AZ54" s="1"/>
  <c r="BL57"/>
  <c r="BL59"/>
  <c r="AZ59" s="1"/>
  <c r="BL63"/>
  <c r="AZ63" s="1"/>
  <c r="BL66"/>
  <c r="AZ66" s="1"/>
  <c r="BL70"/>
  <c r="BL72"/>
  <c r="AZ72" s="1"/>
  <c r="BL77"/>
  <c r="AZ77" s="1"/>
  <c r="BL80"/>
  <c r="BL84"/>
  <c r="BL86"/>
  <c r="AZ86" s="1"/>
  <c r="BL88"/>
  <c r="BL91"/>
  <c r="AZ91" s="1"/>
  <c r="BL98"/>
  <c r="AZ98" s="1"/>
  <c r="BL101"/>
  <c r="AZ101" s="1"/>
  <c r="BL104"/>
  <c r="AZ104" s="1"/>
  <c r="BL107"/>
  <c r="BA112"/>
  <c r="AZ112" s="1"/>
  <c r="AZ141"/>
  <c r="BL151"/>
  <c r="AZ151" s="1"/>
  <c r="BA158"/>
  <c r="AZ158" s="1"/>
  <c r="BL167"/>
  <c r="AZ167" s="1"/>
  <c r="BA174"/>
  <c r="AZ174" s="1"/>
  <c r="BL183"/>
  <c r="AZ183" s="1"/>
  <c r="BA189"/>
  <c r="AZ189" s="1"/>
  <c r="BA190"/>
  <c r="AZ190" s="1"/>
  <c r="BL199"/>
  <c r="AZ199" s="1"/>
  <c r="AZ34"/>
  <c r="AZ36"/>
  <c r="AZ38"/>
  <c r="AZ40"/>
  <c r="AZ41"/>
  <c r="AZ44"/>
  <c r="AZ48"/>
  <c r="AZ52"/>
  <c r="AZ56"/>
  <c r="AZ57"/>
  <c r="AZ60"/>
  <c r="AZ64"/>
  <c r="AZ68"/>
  <c r="AZ70"/>
  <c r="AZ73"/>
  <c r="AZ78"/>
  <c r="AZ81"/>
  <c r="AZ87"/>
  <c r="AZ90"/>
  <c r="AZ92"/>
  <c r="BA95"/>
  <c r="AZ95" s="1"/>
  <c r="BA96"/>
  <c r="AZ96" s="1"/>
  <c r="BA97"/>
  <c r="AZ97" s="1"/>
  <c r="BA99"/>
  <c r="AZ99" s="1"/>
  <c r="BA100"/>
  <c r="AZ100" s="1"/>
  <c r="BA102"/>
  <c r="AZ102" s="1"/>
  <c r="BA103"/>
  <c r="AZ103" s="1"/>
  <c r="BA105"/>
  <c r="AZ105" s="1"/>
  <c r="BL122"/>
  <c r="BA125"/>
  <c r="AZ125" s="1"/>
  <c r="BL131"/>
  <c r="BL133"/>
  <c r="AZ133" s="1"/>
  <c r="BA137"/>
  <c r="AZ137" s="1"/>
  <c r="BA138"/>
  <c r="AZ138" s="1"/>
  <c r="BL147"/>
  <c r="AZ147" s="1"/>
  <c r="BA153"/>
  <c r="AZ153" s="1"/>
  <c r="BA154"/>
  <c r="AZ154" s="1"/>
  <c r="BL163"/>
  <c r="AZ163" s="1"/>
  <c r="BA169"/>
  <c r="AZ169" s="1"/>
  <c r="BA170"/>
  <c r="AZ170" s="1"/>
  <c r="BL179"/>
  <c r="AZ179" s="1"/>
  <c r="BA185"/>
  <c r="AZ185" s="1"/>
  <c r="BA186"/>
  <c r="AZ186" s="1"/>
  <c r="BL195"/>
  <c r="AZ195" s="1"/>
  <c r="BA201"/>
  <c r="AZ201" s="1"/>
  <c r="BA202"/>
  <c r="AZ202" s="1"/>
  <c r="BA206"/>
  <c r="AZ206" s="1"/>
  <c r="BA207"/>
  <c r="AZ207" s="1"/>
  <c r="BA19"/>
  <c r="AZ19" s="1"/>
  <c r="BA20"/>
  <c r="AZ20" s="1"/>
  <c r="BA21"/>
  <c r="AZ21" s="1"/>
  <c r="BA22"/>
  <c r="BA23"/>
  <c r="AZ23" s="1"/>
  <c r="BA24"/>
  <c r="AZ24" s="1"/>
  <c r="BA26"/>
  <c r="AZ26" s="1"/>
  <c r="BA27"/>
  <c r="BA106"/>
  <c r="AZ106" s="1"/>
  <c r="BA107"/>
  <c r="AZ149"/>
  <c r="AZ165"/>
  <c r="AZ181"/>
  <c r="AZ197"/>
  <c r="BL30"/>
  <c r="BL32"/>
  <c r="AZ32" s="1"/>
  <c r="BL39"/>
  <c r="AZ39" s="1"/>
  <c r="BL42"/>
  <c r="AZ42" s="1"/>
  <c r="BL46"/>
  <c r="BL49"/>
  <c r="BL51"/>
  <c r="AZ51" s="1"/>
  <c r="BL55"/>
  <c r="AZ55" s="1"/>
  <c r="BL58"/>
  <c r="AZ58" s="1"/>
  <c r="BL62"/>
  <c r="BL65"/>
  <c r="BL67"/>
  <c r="AZ67" s="1"/>
  <c r="BL71"/>
  <c r="AZ71" s="1"/>
  <c r="BL76"/>
  <c r="AZ76" s="1"/>
  <c r="BL85"/>
  <c r="AZ85" s="1"/>
  <c r="BL89"/>
  <c r="AZ89" s="1"/>
  <c r="BA110"/>
  <c r="AZ110" s="1"/>
  <c r="BA111"/>
  <c r="AZ116"/>
  <c r="AZ132"/>
  <c r="H5"/>
  <c r="G14"/>
  <c r="AZ15"/>
  <c r="BB5"/>
  <c r="E12" i="6" s="1"/>
  <c r="C5" i="11"/>
  <c r="AZ586" i="3"/>
  <c r="F22" i="43"/>
  <c r="E22"/>
  <c r="G101"/>
  <c r="G105" s="1"/>
  <c r="C101"/>
  <c r="C104" s="1"/>
  <c r="J101"/>
  <c r="J104" s="1"/>
  <c r="N104" i="46"/>
  <c r="B113" i="43"/>
  <c r="I115" s="1"/>
  <c r="J115" s="1"/>
  <c r="K115" s="1"/>
  <c r="L115" s="1"/>
  <c r="M115" s="1"/>
  <c r="K101"/>
  <c r="K103" s="1"/>
  <c r="F101"/>
  <c r="F104" s="1"/>
  <c r="N101"/>
  <c r="N102" s="1"/>
  <c r="W12" i="33"/>
  <c r="AC12"/>
  <c r="AA32" i="36"/>
  <c r="S32"/>
  <c r="AZ551" i="3"/>
  <c r="AZ550"/>
  <c r="AZ400"/>
  <c r="AZ407"/>
  <c r="AZ413"/>
  <c r="AZ416"/>
  <c r="AZ423"/>
  <c r="AZ428"/>
  <c r="AZ433"/>
  <c r="AZ445"/>
  <c r="AZ449"/>
  <c r="AZ461"/>
  <c r="AZ465"/>
  <c r="AC26" i="33"/>
  <c r="W26"/>
  <c r="AC27" i="34"/>
  <c r="W27"/>
  <c r="AB34" i="36"/>
  <c r="U34"/>
  <c r="U33"/>
  <c r="AB33"/>
  <c r="AC12" i="39"/>
  <c r="W12"/>
  <c r="AC39" i="40"/>
  <c r="W39"/>
  <c r="H75" i="43"/>
  <c r="AC11" i="39"/>
  <c r="AA25" i="21"/>
  <c r="W14" i="37"/>
  <c r="U43" i="33"/>
  <c r="AA41" i="34"/>
  <c r="U13" i="33"/>
  <c r="AB45"/>
  <c r="AA14" i="34"/>
  <c r="AB46"/>
  <c r="AB30" i="21"/>
  <c r="AB11" i="36"/>
  <c r="U30" i="33"/>
  <c r="AC13" i="34"/>
  <c r="AA47"/>
  <c r="W28" i="37"/>
  <c r="S28" i="34"/>
  <c r="AB17"/>
  <c r="S19" i="39"/>
  <c r="F12" i="33"/>
  <c r="H12" i="39"/>
  <c r="AB12" s="1"/>
  <c r="F39" i="40"/>
  <c r="BA14" i="3"/>
  <c r="AZ385"/>
  <c r="AZ210"/>
  <c r="AZ216"/>
  <c r="AZ221"/>
  <c r="AZ228"/>
  <c r="AZ231"/>
  <c r="AZ244"/>
  <c r="AZ247"/>
  <c r="AZ258"/>
  <c r="AZ262"/>
  <c r="AZ266"/>
  <c r="AZ281"/>
  <c r="AZ286"/>
  <c r="BL14"/>
  <c r="AZ473"/>
  <c r="AZ484"/>
  <c r="AZ289"/>
  <c r="AZ294"/>
  <c r="AZ22"/>
  <c r="AZ27"/>
  <c r="AZ30"/>
  <c r="AZ46"/>
  <c r="AZ49"/>
  <c r="AZ62"/>
  <c r="AZ65"/>
  <c r="AZ35"/>
  <c r="B12" i="1"/>
  <c r="E12" s="1"/>
  <c r="B10"/>
  <c r="E10" s="1"/>
  <c r="D1" i="66"/>
  <c r="E10" s="1"/>
  <c r="AZ80" i="3"/>
  <c r="AZ84"/>
  <c r="AZ88"/>
  <c r="AZ107"/>
  <c r="AZ111"/>
  <c r="J51" i="67"/>
  <c r="C42" i="1"/>
  <c r="H100" i="43"/>
  <c r="E26" i="66"/>
  <c r="C30"/>
  <c r="B41" i="1"/>
  <c r="S22" i="31"/>
  <c r="J100" i="43"/>
  <c r="AB37" i="40"/>
  <c r="S35"/>
  <c r="U35"/>
  <c r="AC36"/>
  <c r="W38"/>
  <c r="AA32"/>
  <c r="S17"/>
  <c r="S23"/>
  <c r="AC17"/>
  <c r="AC15"/>
  <c r="AB27"/>
  <c r="S30"/>
  <c r="AA19"/>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A5" i="3"/>
  <c r="E11" i="6"/>
  <c r="E61" i="39" s="1"/>
  <c r="BL17" i="3"/>
  <c r="AZ17" s="1"/>
  <c r="BL13"/>
  <c r="J56" i="9"/>
  <c r="J57" s="1"/>
  <c r="A24" i="51"/>
  <c r="B18" i="72" s="1"/>
  <c r="U29" i="34"/>
  <c r="E14" i="6"/>
  <c r="E64" i="39" s="1"/>
  <c r="E5" i="6"/>
  <c r="D9" i="11" s="1"/>
  <c r="C9" s="1"/>
  <c r="J105" i="43"/>
  <c r="G102"/>
  <c r="H22"/>
  <c r="L101"/>
  <c r="L109" s="1"/>
  <c r="H101"/>
  <c r="D101"/>
  <c r="D109" s="1"/>
  <c r="M101"/>
  <c r="M109" s="1"/>
  <c r="I101"/>
  <c r="I109" s="1"/>
  <c r="E101"/>
  <c r="G22"/>
  <c r="E32" i="6"/>
  <c r="L19" s="1"/>
  <c r="G1" i="68"/>
  <c r="K1" i="12"/>
  <c r="J103" i="43"/>
  <c r="F107"/>
  <c r="F106"/>
  <c r="G107"/>
  <c r="G104"/>
  <c r="D116"/>
  <c r="E116" s="1"/>
  <c r="F116" s="1"/>
  <c r="G116" s="1"/>
  <c r="H116" s="1"/>
  <c r="G118"/>
  <c r="H118" s="1"/>
  <c r="B118"/>
  <c r="C118" s="1"/>
  <c r="B117"/>
  <c r="C117" s="1"/>
  <c r="D115"/>
  <c r="E115" s="1"/>
  <c r="F115" s="1"/>
  <c r="G115" s="1"/>
  <c r="H115" s="1"/>
  <c r="F103"/>
  <c r="J106"/>
  <c r="E19" i="69"/>
  <c r="E19" i="68"/>
  <c r="E19" i="11"/>
  <c r="F52" i="9"/>
  <c r="E1" i="73"/>
  <c r="K1" s="1"/>
  <c r="G41" i="69"/>
  <c r="G22"/>
  <c r="G41" i="68"/>
  <c r="G22"/>
  <c r="G27" i="12"/>
  <c r="G26"/>
  <c r="G41" i="11"/>
  <c r="G22"/>
  <c r="G25" i="12"/>
  <c r="C100" i="43"/>
  <c r="E11"/>
  <c r="E10"/>
  <c r="E9"/>
  <c r="E8"/>
  <c r="E81"/>
  <c r="B79" s="1"/>
  <c r="AJ11"/>
  <c r="AJ13" s="1"/>
  <c r="AH11"/>
  <c r="AH13" s="1"/>
  <c r="AF11"/>
  <c r="AF13" s="1"/>
  <c r="AD11"/>
  <c r="AD13" s="1"/>
  <c r="AB11"/>
  <c r="AB13" s="1"/>
  <c r="Z11"/>
  <c r="Z13" s="1"/>
  <c r="Z7"/>
  <c r="AI11"/>
  <c r="AI13" s="1"/>
  <c r="AG11"/>
  <c r="AG13" s="1"/>
  <c r="AE11"/>
  <c r="AE13" s="1"/>
  <c r="AC11"/>
  <c r="AC13" s="1"/>
  <c r="AA11"/>
  <c r="AA13" s="1"/>
  <c r="Y11"/>
  <c r="Y13"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58" s="1"/>
  <c r="D58" s="1"/>
  <c r="E58" s="1"/>
  <c r="F58" s="1"/>
  <c r="G58" s="1"/>
  <c r="H58" s="1"/>
  <c r="I58" s="1"/>
  <c r="J58" s="1"/>
  <c r="K58" s="1"/>
  <c r="L58" s="1"/>
  <c r="M58" s="1"/>
  <c r="N58" s="1"/>
  <c r="O58" s="1"/>
  <c r="C7" i="21"/>
  <c r="C7" i="40"/>
  <c r="C63" s="1"/>
  <c r="M47" i="9"/>
  <c r="G19" i="43"/>
  <c r="P23" s="1"/>
  <c r="T35" i="4"/>
  <c r="A19" i="51" s="1"/>
  <c r="B14" i="72" s="1"/>
  <c r="C46" i="36"/>
  <c r="D46" s="1"/>
  <c r="E46" s="1"/>
  <c r="C59" i="34"/>
  <c r="D59" s="1"/>
  <c r="C52" i="37"/>
  <c r="D52" s="1"/>
  <c r="P24" i="43"/>
  <c r="B66" i="40" s="1"/>
  <c r="A4" i="51"/>
  <c r="B6" i="72" s="1"/>
  <c r="C48" i="35"/>
  <c r="D48" s="1"/>
  <c r="C58" i="21"/>
  <c r="D58" s="1"/>
  <c r="H62" i="43"/>
  <c r="H66"/>
  <c r="H61"/>
  <c r="H65"/>
  <c r="H60"/>
  <c r="H64"/>
  <c r="H59"/>
  <c r="H63"/>
  <c r="H67"/>
  <c r="H55"/>
  <c r="H51"/>
  <c r="H56"/>
  <c r="H76"/>
  <c r="H72"/>
  <c r="H77"/>
  <c r="L20" i="6"/>
  <c r="B6" i="1"/>
  <c r="E6" s="1"/>
  <c r="AP6"/>
  <c r="B9"/>
  <c r="E9" s="1"/>
  <c r="G1" i="15"/>
  <c r="G1" i="69"/>
  <c r="G1" i="67"/>
  <c r="W23" i="40"/>
  <c r="U32"/>
  <c r="AB31"/>
  <c r="S37"/>
  <c r="W28"/>
  <c r="W19"/>
  <c r="W27"/>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E4" i="4" s="1"/>
  <c r="B9" i="49"/>
  <c r="B17"/>
  <c r="B19"/>
  <c r="B13"/>
  <c r="E16"/>
  <c r="B11"/>
  <c r="E8"/>
  <c r="E21"/>
  <c r="E10"/>
  <c r="B18"/>
  <c r="E9"/>
  <c r="E5"/>
  <c r="B6"/>
  <c r="B4"/>
  <c r="C4" i="4" s="1"/>
  <c r="B20" i="49"/>
  <c r="B8"/>
  <c r="E18"/>
  <c r="E4"/>
  <c r="E11"/>
  <c r="J15" i="15"/>
  <c r="F40" i="77"/>
  <c r="F38"/>
  <c r="L47" i="80"/>
  <c r="M23" i="79"/>
  <c r="F31" i="80"/>
  <c r="F37" i="67"/>
  <c r="F36" i="79"/>
  <c r="F38" i="80"/>
  <c r="F6" i="77"/>
  <c r="F40" i="67"/>
  <c r="F13" i="79"/>
  <c r="M8" i="80"/>
  <c r="F13" i="67"/>
  <c r="F42" i="77"/>
  <c r="M26" i="67"/>
  <c r="M24" i="79"/>
  <c r="F7"/>
  <c r="M23" i="77"/>
  <c r="M9"/>
  <c r="M27" i="80"/>
  <c r="F9" i="79"/>
  <c r="F26" i="80"/>
  <c r="F13" i="15"/>
  <c r="M24"/>
  <c r="F8" i="79"/>
  <c r="F9" i="77"/>
  <c r="F7"/>
  <c r="F16" i="15"/>
  <c r="F9" i="67"/>
  <c r="F37" i="79"/>
  <c r="G1" i="73"/>
  <c r="M22" i="77"/>
  <c r="M9" i="80"/>
  <c r="L48" i="15"/>
  <c r="J15" i="79"/>
  <c r="C76"/>
  <c r="M28" i="77"/>
  <c r="M23" i="15"/>
  <c r="F6" i="67"/>
  <c r="M22" i="79"/>
  <c r="F16" i="80"/>
  <c r="F37" i="15"/>
  <c r="C76" i="67"/>
  <c r="M26" i="79"/>
  <c r="F37" i="77"/>
  <c r="F40" i="80"/>
  <c r="F31" i="79"/>
  <c r="M22" i="15"/>
  <c r="F38" i="67"/>
  <c r="M26" i="80"/>
  <c r="J15"/>
  <c r="L48" i="67"/>
  <c r="J15"/>
  <c r="L48" i="79"/>
  <c r="F26" i="77"/>
  <c r="M9" i="15"/>
  <c r="F8" i="67"/>
  <c r="F37" i="80"/>
  <c r="M22"/>
  <c r="F26" i="67"/>
  <c r="F42" i="15"/>
  <c r="L48" i="80"/>
  <c r="M24"/>
  <c r="F16" i="79"/>
  <c r="L48" i="77"/>
  <c r="F16"/>
  <c r="F31"/>
  <c r="F8" i="80"/>
  <c r="F13" i="77"/>
  <c r="M6" i="67"/>
  <c r="M9"/>
  <c r="C76" i="80"/>
  <c r="C76" i="15"/>
  <c r="M22" i="67"/>
  <c r="F38" i="15"/>
  <c r="F6" i="79"/>
  <c r="M27"/>
  <c r="M26" i="15"/>
  <c r="M6" i="77"/>
  <c r="M8" i="79"/>
  <c r="M6"/>
  <c r="M28"/>
  <c r="M8" i="77"/>
  <c r="M28" i="15"/>
  <c r="F26"/>
  <c r="F9" i="80"/>
  <c r="M26" i="77"/>
  <c r="F8" i="15"/>
  <c r="M24" i="67"/>
  <c r="F42" i="79"/>
  <c r="F8" i="77"/>
  <c r="M27"/>
  <c r="F26" i="79"/>
  <c r="L47" i="15"/>
  <c r="M28" i="67"/>
  <c r="M23"/>
  <c r="F36" i="77"/>
  <c r="F13" i="80"/>
  <c r="F40" i="79"/>
  <c r="L47"/>
  <c r="F42" i="80"/>
  <c r="M24" i="77"/>
  <c r="M8" i="15"/>
  <c r="F38" i="79"/>
  <c r="C76" i="77"/>
  <c r="L47"/>
  <c r="F16" i="67"/>
  <c r="M6" i="15"/>
  <c r="F36"/>
  <c r="M28" i="80"/>
  <c r="F36"/>
  <c r="F40" i="15"/>
  <c r="F36" i="67"/>
  <c r="F9" i="15"/>
  <c r="M6" i="80"/>
  <c r="J15" i="77"/>
  <c r="L47" i="67"/>
  <c r="M9" i="79"/>
  <c r="F6" i="80"/>
  <c r="F6" i="15"/>
  <c r="M8" i="67"/>
  <c r="F42"/>
  <c r="M23" i="80"/>
  <c r="F7"/>
  <c r="D68" i="39" l="1"/>
  <c r="D70" s="1"/>
  <c r="C77" i="9"/>
  <c r="C28" i="79"/>
  <c r="C28" i="80"/>
  <c r="E28" i="6"/>
  <c r="G98" i="40"/>
  <c r="H28"/>
  <c r="S36"/>
  <c r="C106" i="43"/>
  <c r="Q71" i="79"/>
  <c r="F66"/>
  <c r="F68"/>
  <c r="F65"/>
  <c r="L58"/>
  <c r="L59"/>
  <c r="M7"/>
  <c r="J10" s="1"/>
  <c r="F50"/>
  <c r="F64"/>
  <c r="C27"/>
  <c r="F51"/>
  <c r="L57"/>
  <c r="L60"/>
  <c r="L56"/>
  <c r="J53"/>
  <c r="K53"/>
  <c r="J57"/>
  <c r="J55" s="1"/>
  <c r="J58" s="1"/>
  <c r="Q50" s="1"/>
  <c r="C6"/>
  <c r="C10"/>
  <c r="Q71" i="80"/>
  <c r="L58"/>
  <c r="L59"/>
  <c r="M7"/>
  <c r="J10" s="1"/>
  <c r="F50"/>
  <c r="F51"/>
  <c r="F64"/>
  <c r="F65"/>
  <c r="C6"/>
  <c r="C10"/>
  <c r="L56"/>
  <c r="J53"/>
  <c r="J57"/>
  <c r="J55" s="1"/>
  <c r="J58" s="1"/>
  <c r="Q50" s="1"/>
  <c r="L57"/>
  <c r="L60"/>
  <c r="K53"/>
  <c r="F68"/>
  <c r="J6"/>
  <c r="C27"/>
  <c r="F66"/>
  <c r="F64" i="77"/>
  <c r="F66"/>
  <c r="L59"/>
  <c r="Q61" s="1"/>
  <c r="L58"/>
  <c r="Q73" s="1"/>
  <c r="Q71"/>
  <c r="C27"/>
  <c r="F65"/>
  <c r="F50"/>
  <c r="M7"/>
  <c r="J6" s="1"/>
  <c r="F68"/>
  <c r="F51"/>
  <c r="C6"/>
  <c r="C10"/>
  <c r="K53"/>
  <c r="L56"/>
  <c r="J57"/>
  <c r="J55" s="1"/>
  <c r="J58" s="1"/>
  <c r="Q50" s="1"/>
  <c r="L57"/>
  <c r="L60"/>
  <c r="Q66" s="1"/>
  <c r="J53"/>
  <c r="Q52" s="1"/>
  <c r="K109" i="43"/>
  <c r="K102"/>
  <c r="E29" i="6"/>
  <c r="K15" i="1" s="1"/>
  <c r="G109" i="43"/>
  <c r="F109"/>
  <c r="J109"/>
  <c r="F105"/>
  <c r="G106"/>
  <c r="I116"/>
  <c r="J116" s="1"/>
  <c r="K116" s="1"/>
  <c r="L116" s="1"/>
  <c r="M116" s="1"/>
  <c r="I117"/>
  <c r="J117" s="1"/>
  <c r="K117" s="1"/>
  <c r="L117" s="1"/>
  <c r="M117" s="1"/>
  <c r="B116"/>
  <c r="C116" s="1"/>
  <c r="D118"/>
  <c r="E118" s="1"/>
  <c r="F118" s="1"/>
  <c r="I118"/>
  <c r="J118" s="1"/>
  <c r="K118" s="1"/>
  <c r="L118" s="1"/>
  <c r="M118" s="1"/>
  <c r="G103"/>
  <c r="F102"/>
  <c r="J102"/>
  <c r="J107"/>
  <c r="C105"/>
  <c r="F30" i="6"/>
  <c r="C109" i="43"/>
  <c r="C102"/>
  <c r="C103"/>
  <c r="C107"/>
  <c r="AZ130" i="3"/>
  <c r="AZ259"/>
  <c r="K106" i="43"/>
  <c r="AB36" i="40"/>
  <c r="U36"/>
  <c r="F32" i="77"/>
  <c r="F28"/>
  <c r="C28" s="1"/>
  <c r="M18"/>
  <c r="F32" i="67"/>
  <c r="F60" s="1"/>
  <c r="C16" i="43"/>
  <c r="F53" i="9"/>
  <c r="F48"/>
  <c r="O52" s="1"/>
  <c r="F30" i="11"/>
  <c r="E175" i="3"/>
  <c r="E53"/>
  <c r="E319"/>
  <c r="E501"/>
  <c r="E125"/>
  <c r="E366"/>
  <c r="E553"/>
  <c r="AZ275"/>
  <c r="K105" i="43"/>
  <c r="K104"/>
  <c r="K107"/>
  <c r="AZ297" i="3"/>
  <c r="AZ296"/>
  <c r="AZ131"/>
  <c r="AZ122"/>
  <c r="AZ292"/>
  <c r="E62" i="39"/>
  <c r="E57" i="40"/>
  <c r="E13" i="6"/>
  <c r="E58" i="40" s="1"/>
  <c r="N107" i="43"/>
  <c r="N109"/>
  <c r="N106"/>
  <c r="D22"/>
  <c r="N105"/>
  <c r="E526" i="3"/>
  <c r="E217"/>
  <c r="E343"/>
  <c r="E530"/>
  <c r="N104" i="43"/>
  <c r="N103"/>
  <c r="E8" i="6"/>
  <c r="E15"/>
  <c r="E69" i="3"/>
  <c r="F30" i="68"/>
  <c r="C48" s="1"/>
  <c r="F31" i="12"/>
  <c r="F28" i="67"/>
  <c r="C28" s="1"/>
  <c r="F32" i="15"/>
  <c r="F60" s="1"/>
  <c r="F28"/>
  <c r="C28" s="1"/>
  <c r="M18" i="67"/>
  <c r="F30" i="69"/>
  <c r="C30" s="1"/>
  <c r="M18" i="15"/>
  <c r="E56" i="40"/>
  <c r="AZ13" i="3"/>
  <c r="E395"/>
  <c r="E565"/>
  <c r="E563"/>
  <c r="E528"/>
  <c r="E415"/>
  <c r="E304"/>
  <c r="E278"/>
  <c r="E261"/>
  <c r="E114"/>
  <c r="E237"/>
  <c r="E59" i="40"/>
  <c r="D9" i="68"/>
  <c r="C9" s="1"/>
  <c r="D9" i="69"/>
  <c r="C9" s="1"/>
  <c r="C7" i="43"/>
  <c r="C30" i="68"/>
  <c r="E302" i="3"/>
  <c r="E328"/>
  <c r="E535"/>
  <c r="AJ6"/>
  <c r="E503"/>
  <c r="E508"/>
  <c r="E550"/>
  <c r="N6"/>
  <c r="E17"/>
  <c r="E426"/>
  <c r="E445"/>
  <c r="E322"/>
  <c r="E361"/>
  <c r="E305"/>
  <c r="E260"/>
  <c r="E282"/>
  <c r="E213"/>
  <c r="E153"/>
  <c r="E172"/>
  <c r="E268"/>
  <c r="E183"/>
  <c r="AZ14"/>
  <c r="E63" i="39"/>
  <c r="B115" i="43"/>
  <c r="C115" s="1"/>
  <c r="D117"/>
  <c r="E117" s="1"/>
  <c r="F117" s="1"/>
  <c r="G117" s="1"/>
  <c r="H117" s="1"/>
  <c r="C48" i="69"/>
  <c r="C74" i="9"/>
  <c r="C24" i="12"/>
  <c r="AA39" i="40"/>
  <c r="S39"/>
  <c r="S12" i="33"/>
  <c r="AA12"/>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18" i="62" s="1"/>
  <c r="B64" i="72" s="1"/>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K14" i="1"/>
  <c r="M14" s="1"/>
  <c r="O14" s="1"/>
  <c r="P14" s="1"/>
  <c r="BL5" i="3"/>
  <c r="P21" i="43"/>
  <c r="B71" i="39" s="1"/>
  <c r="M20" i="43"/>
  <c r="C19" s="1"/>
  <c r="J59" i="9"/>
  <c r="J6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E102" i="43"/>
  <c r="E104"/>
  <c r="E106"/>
  <c r="E107"/>
  <c r="E103"/>
  <c r="E105"/>
  <c r="M102"/>
  <c r="M104"/>
  <c r="M106"/>
  <c r="M107"/>
  <c r="M103"/>
  <c r="M105"/>
  <c r="H102"/>
  <c r="H107"/>
  <c r="H103"/>
  <c r="H106"/>
  <c r="H104"/>
  <c r="H105"/>
  <c r="E109"/>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C48" i="11"/>
  <c r="C30"/>
  <c r="B20" i="31"/>
  <c r="R22"/>
  <c r="B21" s="1"/>
  <c r="B40" i="1"/>
  <c r="F24" i="80" s="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K4" i="4"/>
  <c r="B46" i="48" s="1"/>
  <c r="B4" i="72" s="1"/>
  <c r="B5" i="62"/>
  <c r="B73" i="72" s="1"/>
  <c r="B4" i="62"/>
  <c r="B71" i="72" s="1"/>
  <c r="L27" i="6"/>
  <c r="C27" i="67"/>
  <c r="L56"/>
  <c r="J57"/>
  <c r="J55" s="1"/>
  <c r="J58" s="1"/>
  <c r="Q50" s="1"/>
  <c r="J53"/>
  <c r="K53"/>
  <c r="F70"/>
  <c r="F51"/>
  <c r="F68"/>
  <c r="L59"/>
  <c r="L58"/>
  <c r="F66"/>
  <c r="Q71"/>
  <c r="F64"/>
  <c r="F65"/>
  <c r="L59" i="15"/>
  <c r="Q74" s="1"/>
  <c r="L58"/>
  <c r="Q73" s="1"/>
  <c r="C27"/>
  <c r="Q71"/>
  <c r="F64"/>
  <c r="F51"/>
  <c r="F65"/>
  <c r="J57"/>
  <c r="J55" s="1"/>
  <c r="J58" s="1"/>
  <c r="Q50" s="1"/>
  <c r="L56"/>
  <c r="F68"/>
  <c r="F66"/>
  <c r="C10" i="67"/>
  <c r="AP7" i="1"/>
  <c r="C36" i="69" s="1"/>
  <c r="AB45" i="21"/>
  <c r="AC33"/>
  <c r="W33"/>
  <c r="S33"/>
  <c r="AA33"/>
  <c r="W32"/>
  <c r="AC32"/>
  <c r="AB9"/>
  <c r="U9"/>
  <c r="AA32"/>
  <c r="S32"/>
  <c r="W9"/>
  <c r="AC9"/>
  <c r="AB32"/>
  <c r="U32"/>
  <c r="AA10"/>
  <c r="S10"/>
  <c r="D19" i="12"/>
  <c r="F59" i="80"/>
  <c r="M17" i="79"/>
  <c r="F59" i="77"/>
  <c r="M17"/>
  <c r="F59" i="79"/>
  <c r="M17" i="80"/>
  <c r="E30" i="6" l="1"/>
  <c r="U28" i="40"/>
  <c r="AB28"/>
  <c r="H98"/>
  <c r="I98" s="1"/>
  <c r="J98" s="1"/>
  <c r="K98" s="1"/>
  <c r="L98" s="1"/>
  <c r="M98" s="1"/>
  <c r="F28"/>
  <c r="J10" i="77"/>
  <c r="Q74"/>
  <c r="F1"/>
  <c r="Q60"/>
  <c r="C5"/>
  <c r="C38" s="1"/>
  <c r="Q57"/>
  <c r="C49"/>
  <c r="C48" s="1"/>
  <c r="C66" s="1"/>
  <c r="C5" i="80"/>
  <c r="C38" s="1"/>
  <c r="C49"/>
  <c r="C48" s="1"/>
  <c r="C66" s="1"/>
  <c r="C5" i="79"/>
  <c r="C38" s="1"/>
  <c r="C49"/>
  <c r="C48" s="1"/>
  <c r="C66" s="1"/>
  <c r="Q52" i="80"/>
  <c r="F1"/>
  <c r="Q73"/>
  <c r="Q60"/>
  <c r="F1" i="79"/>
  <c r="Q52"/>
  <c r="Q66"/>
  <c r="Q57"/>
  <c r="Q74"/>
  <c r="Q61"/>
  <c r="J5" i="80"/>
  <c r="Q57"/>
  <c r="Q66"/>
  <c r="Q61"/>
  <c r="Q74"/>
  <c r="J6" i="79"/>
  <c r="J5" s="1"/>
  <c r="Q60"/>
  <c r="Q73"/>
  <c r="C24" i="80"/>
  <c r="F24" i="77"/>
  <c r="C24" s="1"/>
  <c r="F24" i="79"/>
  <c r="J5" i="77"/>
  <c r="J18" s="1"/>
  <c r="F60"/>
  <c r="S6" i="43"/>
  <c r="S7"/>
  <c r="T7" s="1"/>
  <c r="V7" s="1"/>
  <c r="S4"/>
  <c r="S5"/>
  <c r="T5" s="1"/>
  <c r="V5" s="1"/>
  <c r="S3"/>
  <c r="C23"/>
  <c r="C21" s="1"/>
  <c r="C29" s="1"/>
  <c r="S2"/>
  <c r="T2" s="1"/>
  <c r="V2" s="1"/>
  <c r="E19" i="6"/>
  <c r="E16"/>
  <c r="AZ5" i="3"/>
  <c r="E3" i="6" s="1"/>
  <c r="D14" i="12" s="1"/>
  <c r="E60" i="40"/>
  <c r="E65" i="39"/>
  <c r="F27" i="6"/>
  <c r="E56" i="39"/>
  <c r="E51" i="40"/>
  <c r="C19" i="12"/>
  <c r="D113" i="43"/>
  <c r="J22" s="1"/>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F7" i="36"/>
  <c r="S7" s="1"/>
  <c r="H7" i="37"/>
  <c r="U7" s="1"/>
  <c r="H6" i="3"/>
  <c r="AC6"/>
  <c r="C38" i="43"/>
  <c r="G38" s="1"/>
  <c r="I38" s="1"/>
  <c r="F24" i="15"/>
  <c r="C24" s="1"/>
  <c r="F22" i="11"/>
  <c r="F25" i="12"/>
  <c r="F22" i="69"/>
  <c r="F24" i="67"/>
  <c r="C24" s="1"/>
  <c r="F22" i="68"/>
  <c r="C35" i="43"/>
  <c r="T11"/>
  <c r="V11" s="1"/>
  <c r="T16"/>
  <c r="V16" s="1"/>
  <c r="T14"/>
  <c r="V14" s="1"/>
  <c r="T12"/>
  <c r="V12" s="1"/>
  <c r="T9"/>
  <c r="V9" s="1"/>
  <c r="T3"/>
  <c r="V3" s="1"/>
  <c r="T8"/>
  <c r="V8" s="1"/>
  <c r="T15"/>
  <c r="V15" s="1"/>
  <c r="T13"/>
  <c r="V13" s="1"/>
  <c r="T10"/>
  <c r="V10" s="1"/>
  <c r="T6"/>
  <c r="V6" s="1"/>
  <c r="T4"/>
  <c r="V4" s="1"/>
  <c r="F1" i="15"/>
  <c r="Q52"/>
  <c r="C39" i="43"/>
  <c r="E39" s="1"/>
  <c r="C33"/>
  <c r="G33" s="1"/>
  <c r="I33" s="1"/>
  <c r="C36"/>
  <c r="E36" s="1"/>
  <c r="C34"/>
  <c r="C37"/>
  <c r="G37" s="1"/>
  <c r="I37" s="1"/>
  <c r="H7" i="35"/>
  <c r="F7" i="37"/>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C53" i="15"/>
  <c r="J10" i="67"/>
  <c r="C53"/>
  <c r="Q61" i="15"/>
  <c r="Q60"/>
  <c r="Q60" i="67"/>
  <c r="Q73"/>
  <c r="Q61"/>
  <c r="Q74"/>
  <c r="F1"/>
  <c r="Q52"/>
  <c r="AE9" i="1"/>
  <c r="F41" i="80"/>
  <c r="F7" i="15"/>
  <c r="AA28" i="40" l="1"/>
  <c r="S28"/>
  <c r="C32" i="80"/>
  <c r="C32" i="79"/>
  <c r="C60" i="77"/>
  <c r="C60" i="80"/>
  <c r="C32" i="77"/>
  <c r="C60" i="79"/>
  <c r="F69" i="80"/>
  <c r="J26" i="79"/>
  <c r="J18"/>
  <c r="J24"/>
  <c r="J18" i="80"/>
  <c r="J26"/>
  <c r="J29" s="1"/>
  <c r="J24"/>
  <c r="C24" i="79"/>
  <c r="J24" i="77"/>
  <c r="J26"/>
  <c r="D3" i="36"/>
  <c r="H7" i="12"/>
  <c r="J7"/>
  <c r="F7"/>
  <c r="E7"/>
  <c r="K10" i="1"/>
  <c r="K13"/>
  <c r="M13" s="1"/>
  <c r="O13" s="1"/>
  <c r="P13" s="1"/>
  <c r="D3" i="35"/>
  <c r="I7" i="12"/>
  <c r="K7"/>
  <c r="G7"/>
  <c r="K9" i="1"/>
  <c r="K8"/>
  <c r="K12"/>
  <c r="M12" s="1"/>
  <c r="O12" s="1"/>
  <c r="P12" s="1"/>
  <c r="K7"/>
  <c r="K11"/>
  <c r="M11" s="1"/>
  <c r="O11" s="1"/>
  <c r="P11" s="1"/>
  <c r="C10" i="15"/>
  <c r="M7"/>
  <c r="F50"/>
  <c r="C6"/>
  <c r="M18" i="9"/>
  <c r="B118" s="1"/>
  <c r="K23"/>
  <c r="K6" i="1"/>
  <c r="C7" i="12"/>
  <c r="C17" i="4"/>
  <c r="B4" i="52" s="1"/>
  <c r="B43" i="72" s="1"/>
  <c r="D3" i="21"/>
  <c r="D3" i="37"/>
  <c r="D3" i="33"/>
  <c r="AY6" i="3"/>
  <c r="AY196" s="1"/>
  <c r="F31" i="6"/>
  <c r="E27"/>
  <c r="D19" i="11"/>
  <c r="C19" s="1"/>
  <c r="C20" s="1"/>
  <c r="C25" s="1"/>
  <c r="AY152" i="3"/>
  <c r="B14" i="74"/>
  <c r="B1" s="1"/>
  <c r="D37" i="11"/>
  <c r="D3" i="34"/>
  <c r="E6" i="6"/>
  <c r="D10" i="11" s="1"/>
  <c r="C10" s="1"/>
  <c r="L18" i="9"/>
  <c r="D17" i="12"/>
  <c r="C17" s="1"/>
  <c r="E37" i="43"/>
  <c r="AA7" i="36"/>
  <c r="R36" s="1"/>
  <c r="E36" s="1"/>
  <c r="E40" s="1"/>
  <c r="F40" s="1"/>
  <c r="AC11" i="37"/>
  <c r="W11"/>
  <c r="AB7"/>
  <c r="T42" s="1"/>
  <c r="G42" s="1"/>
  <c r="G46" s="1"/>
  <c r="H46" s="1"/>
  <c r="W11" i="34"/>
  <c r="AC11"/>
  <c r="AB7" i="36"/>
  <c r="T36" s="1"/>
  <c r="E38" i="43"/>
  <c r="E6" i="3"/>
  <c r="C26" i="12"/>
  <c r="D25" s="1"/>
  <c r="C26" i="68"/>
  <c r="D22" s="1"/>
  <c r="C44"/>
  <c r="D41" s="1"/>
  <c r="C26" i="69"/>
  <c r="D22" s="1"/>
  <c r="C44"/>
  <c r="D41" s="1"/>
  <c r="C26" i="11"/>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C13" i="12"/>
  <c r="M29" i="67"/>
  <c r="F43"/>
  <c r="M29" i="77"/>
  <c r="F59" i="15"/>
  <c r="M29"/>
  <c r="M29" i="80"/>
  <c r="M29" i="79"/>
  <c r="M17" i="15"/>
  <c r="F31"/>
  <c r="F43"/>
  <c r="F43" i="79"/>
  <c r="F43" i="80"/>
  <c r="F7" i="67"/>
  <c r="F43" i="77"/>
  <c r="D20" i="12" l="1"/>
  <c r="F71" i="80"/>
  <c r="F71" i="77"/>
  <c r="F71" i="79"/>
  <c r="M9" i="1"/>
  <c r="M7"/>
  <c r="M8"/>
  <c r="F50" i="67"/>
  <c r="C6"/>
  <c r="C5" s="1"/>
  <c r="M7"/>
  <c r="M10" i="1"/>
  <c r="O10" s="1"/>
  <c r="P10" s="1"/>
  <c r="F71" i="67"/>
  <c r="AY472" i="3"/>
  <c r="AY571"/>
  <c r="AY33"/>
  <c r="BH6"/>
  <c r="AY217"/>
  <c r="AY259"/>
  <c r="AY278"/>
  <c r="AY544"/>
  <c r="AY303"/>
  <c r="AY411"/>
  <c r="AY333"/>
  <c r="AY202"/>
  <c r="AY219"/>
  <c r="AY165"/>
  <c r="AY92"/>
  <c r="AY463"/>
  <c r="AY529"/>
  <c r="AY253"/>
  <c r="AY144"/>
  <c r="AY87"/>
  <c r="AY580"/>
  <c r="AY438"/>
  <c r="AY324"/>
  <c r="AY215"/>
  <c r="AY181"/>
  <c r="AY384"/>
  <c r="AY193"/>
  <c r="AY417"/>
  <c r="AY103"/>
  <c r="AY585"/>
  <c r="AY430"/>
  <c r="AY316"/>
  <c r="AY388"/>
  <c r="AY145"/>
  <c r="AY73"/>
  <c r="AY374"/>
  <c r="AY262"/>
  <c r="AY125"/>
  <c r="AY185"/>
  <c r="AY76"/>
  <c r="BE6"/>
  <c r="AY401"/>
  <c r="AY327"/>
  <c r="AY300"/>
  <c r="AY460"/>
  <c r="AY382"/>
  <c r="AY111"/>
  <c r="AY95"/>
  <c r="AY34"/>
  <c r="AY536"/>
  <c r="AY419"/>
  <c r="AY480"/>
  <c r="AY341"/>
  <c r="AY275"/>
  <c r="BB6"/>
  <c r="AY286"/>
  <c r="AY69"/>
  <c r="AY43"/>
  <c r="F71" i="15"/>
  <c r="D10" i="68"/>
  <c r="D19" s="1"/>
  <c r="AY534" i="3"/>
  <c r="BQ6"/>
  <c r="AY398"/>
  <c r="AY462"/>
  <c r="AY475"/>
  <c r="AY348"/>
  <c r="AY353"/>
  <c r="AY242"/>
  <c r="AY295"/>
  <c r="AY166"/>
  <c r="AY56"/>
  <c r="AY109"/>
  <c r="AY360"/>
  <c r="AY397"/>
  <c r="AY230"/>
  <c r="AY247"/>
  <c r="AY283"/>
  <c r="AY133"/>
  <c r="AY154"/>
  <c r="AY190"/>
  <c r="AY44"/>
  <c r="AY61"/>
  <c r="AY97"/>
  <c r="AY533"/>
  <c r="AY549"/>
  <c r="AY420"/>
  <c r="AY310"/>
  <c r="AY372"/>
  <c r="AY260"/>
  <c r="AY26"/>
  <c r="AY441"/>
  <c r="AY473"/>
  <c r="AY366"/>
  <c r="AY236"/>
  <c r="AY168"/>
  <c r="AY281"/>
  <c r="AY42"/>
  <c r="AY124"/>
  <c r="AY207"/>
  <c r="AY51"/>
  <c r="AY520"/>
  <c r="AY572"/>
  <c r="AY503"/>
  <c r="AY406"/>
  <c r="AY449"/>
  <c r="AY483"/>
  <c r="AY309"/>
  <c r="AY370"/>
  <c r="AY258"/>
  <c r="AY121"/>
  <c r="AY72"/>
  <c r="AY368"/>
  <c r="AY270"/>
  <c r="AY141"/>
  <c r="AY20"/>
  <c r="AY540"/>
  <c r="AY343"/>
  <c r="AY261"/>
  <c r="C5" i="15"/>
  <c r="J10"/>
  <c r="J6"/>
  <c r="M6" i="1"/>
  <c r="O6" s="1"/>
  <c r="H16"/>
  <c r="G16"/>
  <c r="Q16"/>
  <c r="F28" i="12" s="1"/>
  <c r="K16" i="1"/>
  <c r="C49" i="15"/>
  <c r="AY161" i="3"/>
  <c r="AY29"/>
  <c r="AY88"/>
  <c r="AY507"/>
  <c r="AY373"/>
  <c r="AY227"/>
  <c r="AY255"/>
  <c r="AY134"/>
  <c r="AY173"/>
  <c r="AY198"/>
  <c r="AY84"/>
  <c r="AY100"/>
  <c r="AY573"/>
  <c r="AY478"/>
  <c r="AY379"/>
  <c r="AY319"/>
  <c r="AY139"/>
  <c r="AY497"/>
  <c r="AY209"/>
  <c r="AY123"/>
  <c r="AY160"/>
  <c r="AY539"/>
  <c r="AY436"/>
  <c r="AY212"/>
  <c r="AY455"/>
  <c r="AY252"/>
  <c r="AY183"/>
  <c r="AY50"/>
  <c r="AY116"/>
  <c r="AY489"/>
  <c r="AY284"/>
  <c r="AY289"/>
  <c r="AY67"/>
  <c r="AY238"/>
  <c r="AY291"/>
  <c r="AY162"/>
  <c r="AY52"/>
  <c r="AY105"/>
  <c r="AY557"/>
  <c r="AY326"/>
  <c r="AY229"/>
  <c r="AY412"/>
  <c r="AY363"/>
  <c r="AY204"/>
  <c r="AY74"/>
  <c r="AY98"/>
  <c r="AY18"/>
  <c r="AY171"/>
  <c r="AY90"/>
  <c r="AY163"/>
  <c r="AY75"/>
  <c r="AY237"/>
  <c r="AY387"/>
  <c r="AY334"/>
  <c r="AY444"/>
  <c r="AY526"/>
  <c r="AY269"/>
  <c r="AY390"/>
  <c r="AY311"/>
  <c r="AY447"/>
  <c r="AY535"/>
  <c r="AY574"/>
  <c r="AY555"/>
  <c r="AY85"/>
  <c r="AY68"/>
  <c r="AY25"/>
  <c r="AY178"/>
  <c r="AY157"/>
  <c r="AY117"/>
  <c r="AY271"/>
  <c r="AY254"/>
  <c r="AY211"/>
  <c r="AY365"/>
  <c r="BI6"/>
  <c r="AY57"/>
  <c r="AY186"/>
  <c r="AY130"/>
  <c r="AY243"/>
  <c r="AY393"/>
  <c r="AY325"/>
  <c r="AY308"/>
  <c r="AY464"/>
  <c r="AY422"/>
  <c r="AY403"/>
  <c r="AY516"/>
  <c r="AY527"/>
  <c r="AY510"/>
  <c r="AY16"/>
  <c r="AY584"/>
  <c r="AY514"/>
  <c r="AY519"/>
  <c r="AY96"/>
  <c r="AY80"/>
  <c r="AY37"/>
  <c r="AY189"/>
  <c r="AY169"/>
  <c r="AY129"/>
  <c r="AY282"/>
  <c r="AY266"/>
  <c r="AY223"/>
  <c r="AY369"/>
  <c r="AY345"/>
  <c r="AY313"/>
  <c r="AY328"/>
  <c r="AY487"/>
  <c r="AY484"/>
  <c r="AY453"/>
  <c r="AY442"/>
  <c r="AY410"/>
  <c r="AY423"/>
  <c r="AY579"/>
  <c r="AY499"/>
  <c r="D3" i="6"/>
  <c r="AY502" i="3"/>
  <c r="AY509"/>
  <c r="BR6"/>
  <c r="AY531"/>
  <c r="BA6"/>
  <c r="AY94"/>
  <c r="AY78"/>
  <c r="AY35"/>
  <c r="AY187"/>
  <c r="AY167"/>
  <c r="AY127"/>
  <c r="AY280"/>
  <c r="AY264"/>
  <c r="AY221"/>
  <c r="AY376"/>
  <c r="AY331"/>
  <c r="AY23"/>
  <c r="AY132"/>
  <c r="AY188"/>
  <c r="AY58"/>
  <c r="AY220"/>
  <c r="AY335"/>
  <c r="AY428"/>
  <c r="AY199"/>
  <c r="AY228"/>
  <c r="AY342"/>
  <c r="AY404"/>
  <c r="BK6"/>
  <c r="AY553"/>
  <c r="AY53"/>
  <c r="AY28"/>
  <c r="AY170"/>
  <c r="AY126"/>
  <c r="AY294"/>
  <c r="AY246"/>
  <c r="AY389"/>
  <c r="AY554"/>
  <c r="AY41"/>
  <c r="AY150"/>
  <c r="AY290"/>
  <c r="AY377"/>
  <c r="AY340"/>
  <c r="AY488"/>
  <c r="AY414"/>
  <c r="AY525"/>
  <c r="BF6"/>
  <c r="AY552"/>
  <c r="AY501"/>
  <c r="AY556"/>
  <c r="AY523"/>
  <c r="AY65"/>
  <c r="AY32"/>
  <c r="AY174"/>
  <c r="AY137"/>
  <c r="AY298"/>
  <c r="AY250"/>
  <c r="AY380"/>
  <c r="AY352"/>
  <c r="AY305"/>
  <c r="AY312"/>
  <c r="AY492"/>
  <c r="AY445"/>
  <c r="AY426"/>
  <c r="AY431"/>
  <c r="AY505"/>
  <c r="AY14"/>
  <c r="AY575"/>
  <c r="AY551"/>
  <c r="AY570"/>
  <c r="AY563"/>
  <c r="AY79"/>
  <c r="AY46"/>
  <c r="AY203"/>
  <c r="AY151"/>
  <c r="AY285"/>
  <c r="AY233"/>
  <c r="AY394"/>
  <c r="AY362"/>
  <c r="AY330"/>
  <c r="AY482"/>
  <c r="AY440"/>
  <c r="AY421"/>
  <c r="AY13"/>
  <c r="AY528"/>
  <c r="AY576"/>
  <c r="AY102"/>
  <c r="AY39"/>
  <c r="AY22"/>
  <c r="AY195"/>
  <c r="AY175"/>
  <c r="AY136"/>
  <c r="AY288"/>
  <c r="AY272"/>
  <c r="AY208"/>
  <c r="AY375"/>
  <c r="AY339"/>
  <c r="AY322"/>
  <c r="AY474"/>
  <c r="AY432"/>
  <c r="AY413"/>
  <c r="AY15"/>
  <c r="AY83"/>
  <c r="AY191"/>
  <c r="AY115"/>
  <c r="AY131"/>
  <c r="AY147"/>
  <c r="AY225"/>
  <c r="AY318"/>
  <c r="AY425"/>
  <c r="AY180"/>
  <c r="AY395"/>
  <c r="AY481"/>
  <c r="AY433"/>
  <c r="AY569"/>
  <c r="AY89"/>
  <c r="AY45"/>
  <c r="AY206"/>
  <c r="AY146"/>
  <c r="AY118"/>
  <c r="AY263"/>
  <c r="AY222"/>
  <c r="AY381"/>
  <c r="BJ6"/>
  <c r="AY40"/>
  <c r="AY177"/>
  <c r="AY274"/>
  <c r="AY356"/>
  <c r="AY332"/>
  <c r="AY457"/>
  <c r="AY435"/>
  <c r="BM6"/>
  <c r="AY546"/>
  <c r="BG6"/>
  <c r="AY508"/>
  <c r="AY496"/>
  <c r="AY101"/>
  <c r="AY49"/>
  <c r="AY21"/>
  <c r="AY158"/>
  <c r="AY122"/>
  <c r="AY267"/>
  <c r="AY234"/>
  <c r="AY385"/>
  <c r="AY337"/>
  <c r="AY344"/>
  <c r="AY304"/>
  <c r="AY476"/>
  <c r="AY458"/>
  <c r="AY418"/>
  <c r="AY415"/>
  <c r="AY506"/>
  <c r="AY564"/>
  <c r="AY515"/>
  <c r="AY542"/>
  <c r="AY548"/>
  <c r="AY493"/>
  <c r="AY63"/>
  <c r="AY30"/>
  <c r="AY172"/>
  <c r="AY135"/>
  <c r="AY296"/>
  <c r="AY248"/>
  <c r="AY378"/>
  <c r="AY347"/>
  <c r="AY314"/>
  <c r="AY466"/>
  <c r="AY424"/>
  <c r="AY405"/>
  <c r="AY517"/>
  <c r="AY512"/>
  <c r="AY587"/>
  <c r="AY86"/>
  <c r="AY70"/>
  <c r="AY27"/>
  <c r="AY179"/>
  <c r="AY159"/>
  <c r="AY119"/>
  <c r="AY273"/>
  <c r="AY256"/>
  <c r="AY213"/>
  <c r="AY367"/>
  <c r="AY323"/>
  <c r="AY306"/>
  <c r="AY459"/>
  <c r="AY416"/>
  <c r="AY550"/>
  <c r="AY82"/>
  <c r="AY176"/>
  <c r="AY59"/>
  <c r="AY292"/>
  <c r="AY297"/>
  <c r="AY371"/>
  <c r="AY486"/>
  <c r="AY409"/>
  <c r="AY245"/>
  <c r="AY355"/>
  <c r="AY465"/>
  <c r="AY513"/>
  <c r="BO6"/>
  <c r="AY108"/>
  <c r="AY60"/>
  <c r="AY182"/>
  <c r="AY138"/>
  <c r="AY299"/>
  <c r="AY239"/>
  <c r="AY214"/>
  <c r="AY357"/>
  <c r="AY93"/>
  <c r="AY24"/>
  <c r="AY114"/>
  <c r="AY226"/>
  <c r="AY349"/>
  <c r="AY491"/>
  <c r="AY454"/>
  <c r="AY427"/>
  <c r="AY561"/>
  <c r="AY495"/>
  <c r="AY559"/>
  <c r="AY532"/>
  <c r="AY582"/>
  <c r="AY112"/>
  <c r="AY64"/>
  <c r="AY194"/>
  <c r="AY142"/>
  <c r="AY113"/>
  <c r="AY251"/>
  <c r="AY218"/>
  <c r="AY361"/>
  <c r="AY329"/>
  <c r="AY336"/>
  <c r="AY479"/>
  <c r="AY468"/>
  <c r="AY450"/>
  <c r="AY402"/>
  <c r="AY407"/>
  <c r="AY17"/>
  <c r="AY522"/>
  <c r="AY565"/>
  <c r="AY530"/>
  <c r="BP6"/>
  <c r="AY99"/>
  <c r="AY47"/>
  <c r="AY19"/>
  <c r="AY156"/>
  <c r="AY120"/>
  <c r="AY265"/>
  <c r="AY232"/>
  <c r="AY383"/>
  <c r="AY315"/>
  <c r="AY485"/>
  <c r="AY451"/>
  <c r="AY408"/>
  <c r="AY500"/>
  <c r="AY547"/>
  <c r="AY568"/>
  <c r="AY107"/>
  <c r="AY71"/>
  <c r="AY54"/>
  <c r="AY200"/>
  <c r="AY164"/>
  <c r="AY143"/>
  <c r="AY293"/>
  <c r="AY257"/>
  <c r="AY240"/>
  <c r="AY386"/>
  <c r="AY66"/>
  <c r="AY155"/>
  <c r="AY31"/>
  <c r="AY276"/>
  <c r="AY268"/>
  <c r="AY350"/>
  <c r="AY470"/>
  <c r="AY106"/>
  <c r="AY244"/>
  <c r="AY358"/>
  <c r="AY452"/>
  <c r="AY562"/>
  <c r="AY541"/>
  <c r="AY77"/>
  <c r="AY36"/>
  <c r="AY201"/>
  <c r="AY149"/>
  <c r="AY302"/>
  <c r="AY231"/>
  <c r="AY392"/>
  <c r="BS6"/>
  <c r="AY104"/>
  <c r="AY197"/>
  <c r="AY279"/>
  <c r="AY210"/>
  <c r="AY317"/>
  <c r="AY467"/>
  <c r="AY446"/>
  <c r="AY581"/>
  <c r="BN6"/>
  <c r="AY518"/>
  <c r="AY543"/>
  <c r="AY494"/>
  <c r="AY577"/>
  <c r="AY81"/>
  <c r="AY48"/>
  <c r="AY205"/>
  <c r="AY153"/>
  <c r="AY287"/>
  <c r="AY235"/>
  <c r="AY396"/>
  <c r="AY364"/>
  <c r="AY321"/>
  <c r="AY320"/>
  <c r="AY471"/>
  <c r="AY461"/>
  <c r="AY434"/>
  <c r="AY439"/>
  <c r="AY399"/>
  <c r="AY538"/>
  <c r="AY524"/>
  <c r="AY537"/>
  <c r="AY545"/>
  <c r="AY578"/>
  <c r="AY110"/>
  <c r="AY62"/>
  <c r="AY192"/>
  <c r="AY140"/>
  <c r="AY301"/>
  <c r="AY249"/>
  <c r="AY216"/>
  <c r="AY359"/>
  <c r="AY346"/>
  <c r="AY469"/>
  <c r="AY456"/>
  <c r="AY437"/>
  <c r="AY558"/>
  <c r="AY560"/>
  <c r="BL6"/>
  <c r="AY91"/>
  <c r="AY55"/>
  <c r="AY38"/>
  <c r="AY184"/>
  <c r="AY148"/>
  <c r="AY128"/>
  <c r="AY277"/>
  <c r="AY241"/>
  <c r="AY224"/>
  <c r="AY391"/>
  <c r="AY354"/>
  <c r="AY338"/>
  <c r="AY490"/>
  <c r="AY448"/>
  <c r="AY567"/>
  <c r="AY351"/>
  <c r="AY400"/>
  <c r="BC6"/>
  <c r="AY504"/>
  <c r="AY498"/>
  <c r="AY429"/>
  <c r="AY566"/>
  <c r="BT6"/>
  <c r="AY307"/>
  <c r="AY477"/>
  <c r="AY521"/>
  <c r="AY511"/>
  <c r="AY586"/>
  <c r="AY443"/>
  <c r="BD6"/>
  <c r="AY583"/>
  <c r="K21" i="6"/>
  <c r="M21" s="1"/>
  <c r="I21" s="1"/>
  <c r="K22"/>
  <c r="M22" s="1"/>
  <c r="I22" s="1"/>
  <c r="K25"/>
  <c r="M25" s="1"/>
  <c r="I25" s="1"/>
  <c r="K20"/>
  <c r="E31"/>
  <c r="K23"/>
  <c r="M23" s="1"/>
  <c r="I23" s="1"/>
  <c r="K24"/>
  <c r="M24" s="1"/>
  <c r="I24" s="1"/>
  <c r="K26"/>
  <c r="M26" s="1"/>
  <c r="I26" s="1"/>
  <c r="K19"/>
  <c r="C20" i="12"/>
  <c r="C18" s="1"/>
  <c r="G36" i="36"/>
  <c r="R37"/>
  <c r="AB7" i="34"/>
  <c r="T49" s="1"/>
  <c r="G49" s="1"/>
  <c r="G53" s="1"/>
  <c r="H53" s="1"/>
  <c r="W7" i="21"/>
  <c r="AA7"/>
  <c r="R48" s="1"/>
  <c r="E48" s="1"/>
  <c r="E52" s="1"/>
  <c r="F52" s="1"/>
  <c r="U7"/>
  <c r="C22" i="11"/>
  <c r="C26" i="43"/>
  <c r="B2" s="1"/>
  <c r="B3" s="1"/>
  <c r="C27"/>
  <c r="I52" i="21"/>
  <c r="J52" s="1"/>
  <c r="I40" i="36"/>
  <c r="J40" s="1"/>
  <c r="R43" i="37"/>
  <c r="E42"/>
  <c r="I47" s="1"/>
  <c r="J47" s="1"/>
  <c r="G43" i="35"/>
  <c r="H43" s="1"/>
  <c r="I42"/>
  <c r="J42" s="1"/>
  <c r="R39"/>
  <c r="E38"/>
  <c r="I43" s="1"/>
  <c r="J43" s="1"/>
  <c r="G47" i="37"/>
  <c r="H47" s="1"/>
  <c r="I46"/>
  <c r="J46" s="1"/>
  <c r="G63" i="40"/>
  <c r="F65"/>
  <c r="G48" i="21"/>
  <c r="R50" i="34"/>
  <c r="E49"/>
  <c r="G70" i="39"/>
  <c r="C16" i="67"/>
  <c r="C16" i="15"/>
  <c r="C16" i="80"/>
  <c r="M17" i="67"/>
  <c r="F59"/>
  <c r="C16" i="79"/>
  <c r="F31" i="67"/>
  <c r="C16" i="77"/>
  <c r="O7" i="1" l="1"/>
  <c r="P7" s="1"/>
  <c r="O9"/>
  <c r="P9" s="1"/>
  <c r="O8"/>
  <c r="P8" s="1"/>
  <c r="C32" i="67"/>
  <c r="C38"/>
  <c r="J6"/>
  <c r="J5" s="1"/>
  <c r="C49"/>
  <c r="S12" i="1"/>
  <c r="S10"/>
  <c r="S11"/>
  <c r="S8"/>
  <c r="S13"/>
  <c r="S9"/>
  <c r="C34" i="40"/>
  <c r="E66" i="39"/>
  <c r="C29" i="12"/>
  <c r="D28" s="1"/>
  <c r="P6" i="1"/>
  <c r="P16" s="1"/>
  <c r="C11" i="12" s="1"/>
  <c r="M20" i="6"/>
  <c r="I20" s="1"/>
  <c r="S20" s="1"/>
  <c r="S7" i="1"/>
  <c r="C10" i="68"/>
  <c r="J5" i="15"/>
  <c r="F27" i="69"/>
  <c r="F27" i="68"/>
  <c r="F27" i="11"/>
  <c r="M16" i="1"/>
  <c r="H10" i="40"/>
  <c r="J10"/>
  <c r="F10" i="39"/>
  <c r="F10" i="40"/>
  <c r="J10" i="39"/>
  <c r="H10"/>
  <c r="C32" i="15"/>
  <c r="C38"/>
  <c r="D25" i="6"/>
  <c r="D24"/>
  <c r="D29"/>
  <c r="D15"/>
  <c r="D26"/>
  <c r="D8"/>
  <c r="D14"/>
  <c r="D12"/>
  <c r="D13"/>
  <c r="E61" i="40"/>
  <c r="D21" i="6"/>
  <c r="L19" i="9"/>
  <c r="M19"/>
  <c r="C118" s="1"/>
  <c r="D9" i="6"/>
  <c r="D19"/>
  <c r="C18" i="4"/>
  <c r="D23" i="6"/>
  <c r="D5"/>
  <c r="D11"/>
  <c r="D28"/>
  <c r="C14" i="74"/>
  <c r="B2" s="1"/>
  <c r="D22" i="6"/>
  <c r="D6"/>
  <c r="D10"/>
  <c r="D20"/>
  <c r="S26"/>
  <c r="H26"/>
  <c r="R26" s="1"/>
  <c r="S24"/>
  <c r="H24"/>
  <c r="S25"/>
  <c r="H25"/>
  <c r="S23"/>
  <c r="H23"/>
  <c r="S22"/>
  <c r="H22"/>
  <c r="S6" i="1"/>
  <c r="M19" i="6"/>
  <c r="K27"/>
  <c r="S21"/>
  <c r="H21"/>
  <c r="R49" i="21"/>
  <c r="C48" s="1"/>
  <c r="G54" i="34"/>
  <c r="H54" s="1"/>
  <c r="I53" i="21"/>
  <c r="J53" s="1"/>
  <c r="C37" i="36"/>
  <c r="C36"/>
  <c r="G40"/>
  <c r="H40" s="1"/>
  <c r="E41"/>
  <c r="F41" s="1"/>
  <c r="G41"/>
  <c r="H41" s="1"/>
  <c r="C19" i="68"/>
  <c r="D37"/>
  <c r="E47" i="37"/>
  <c r="F47" s="1"/>
  <c r="E46"/>
  <c r="F46" s="1"/>
  <c r="C43"/>
  <c r="C42"/>
  <c r="C39" i="35"/>
  <c r="C38"/>
  <c r="E43"/>
  <c r="F43" s="1"/>
  <c r="E42"/>
  <c r="F42" s="1"/>
  <c r="E54" i="34"/>
  <c r="F54" s="1"/>
  <c r="I54"/>
  <c r="J54" s="1"/>
  <c r="E53"/>
  <c r="F53" s="1"/>
  <c r="G52" i="21"/>
  <c r="H52" s="1"/>
  <c r="G53"/>
  <c r="H53" s="1"/>
  <c r="E53"/>
  <c r="F53" s="1"/>
  <c r="C49" i="34"/>
  <c r="C50"/>
  <c r="H63" i="40"/>
  <c r="G65"/>
  <c r="H70" i="39"/>
  <c r="C17" i="15"/>
  <c r="C17" i="79"/>
  <c r="C17" i="77"/>
  <c r="C17" i="80"/>
  <c r="O16" i="1" l="1"/>
  <c r="E9" i="70"/>
  <c r="J18" i="67"/>
  <c r="J24"/>
  <c r="R23" i="6"/>
  <c r="R25"/>
  <c r="H20"/>
  <c r="R20" s="1"/>
  <c r="AQ9" i="1"/>
  <c r="AR9"/>
  <c r="T9"/>
  <c r="AQ8"/>
  <c r="AR8"/>
  <c r="T8"/>
  <c r="AR10"/>
  <c r="AQ10"/>
  <c r="T10"/>
  <c r="AQ13"/>
  <c r="AR13"/>
  <c r="T13"/>
  <c r="AR11"/>
  <c r="T11"/>
  <c r="AQ11"/>
  <c r="AQ12"/>
  <c r="AR12"/>
  <c r="T12"/>
  <c r="E7" i="70"/>
  <c r="H34" i="40"/>
  <c r="J34"/>
  <c r="F34"/>
  <c r="C15" i="12"/>
  <c r="C12"/>
  <c r="AQ7" i="1"/>
  <c r="AR7"/>
  <c r="T7"/>
  <c r="R22" i="6"/>
  <c r="R24"/>
  <c r="J24" i="15"/>
  <c r="J18"/>
  <c r="W10" i="39"/>
  <c r="AC10"/>
  <c r="S10"/>
  <c r="AA10"/>
  <c r="U10" i="40"/>
  <c r="AB10"/>
  <c r="C47" i="11"/>
  <c r="D45" s="1"/>
  <c r="C28"/>
  <c r="C27" s="1"/>
  <c r="C29"/>
  <c r="D27" s="1"/>
  <c r="C47" i="69"/>
  <c r="D45" s="1"/>
  <c r="C29"/>
  <c r="D27" s="1"/>
  <c r="AB10" i="39"/>
  <c r="U10"/>
  <c r="AA10" i="40"/>
  <c r="S10"/>
  <c r="W10"/>
  <c r="AC10"/>
  <c r="N16" i="1"/>
  <c r="L16"/>
  <c r="C29" i="68"/>
  <c r="D27" s="1"/>
  <c r="C47"/>
  <c r="D45" s="1"/>
  <c r="R21" i="6"/>
  <c r="D30"/>
  <c r="A7" i="51"/>
  <c r="B7" i="72" s="1"/>
  <c r="C4" i="52"/>
  <c r="B45" i="72" s="1"/>
  <c r="A10" i="51"/>
  <c r="B9" i="72" s="1"/>
  <c r="D27" i="6"/>
  <c r="D31" s="1"/>
  <c r="I6" s="1"/>
  <c r="D16"/>
  <c r="I19"/>
  <c r="M27"/>
  <c r="AQ6" i="1"/>
  <c r="E6" i="70"/>
  <c r="T6" i="1"/>
  <c r="AR6"/>
  <c r="I5" i="6"/>
  <c r="C49" i="21"/>
  <c r="C24" i="68"/>
  <c r="I63" i="40"/>
  <c r="H65"/>
  <c r="I70" i="39"/>
  <c r="C14" i="79"/>
  <c r="C14" i="77"/>
  <c r="C14" i="80"/>
  <c r="F34" i="11" l="1"/>
  <c r="F11" i="12"/>
  <c r="C14" s="1"/>
  <c r="C16" s="1"/>
  <c r="C21" s="1"/>
  <c r="C22" s="1"/>
  <c r="F34" i="68"/>
  <c r="C18" i="80"/>
  <c r="C15"/>
  <c r="C18" i="79"/>
  <c r="C15"/>
  <c r="AC34" i="40"/>
  <c r="W34"/>
  <c r="AA34"/>
  <c r="S34"/>
  <c r="AB34"/>
  <c r="U34"/>
  <c r="C15" i="77"/>
  <c r="C18"/>
  <c r="F50" i="68"/>
  <c r="F50" i="69"/>
  <c r="F50" i="11"/>
  <c r="C31"/>
  <c r="I27" i="6"/>
  <c r="S19"/>
  <c r="S27" s="1"/>
  <c r="H19"/>
  <c r="J63" i="40"/>
  <c r="I65"/>
  <c r="J70" i="39"/>
  <c r="C36" i="68" l="1"/>
  <c r="C37"/>
  <c r="C34"/>
  <c r="C37" i="11"/>
  <c r="C36"/>
  <c r="C34"/>
  <c r="C19" i="80"/>
  <c r="C20" s="1"/>
  <c r="C26" s="1"/>
  <c r="C19" i="79"/>
  <c r="C20" s="1"/>
  <c r="C26" s="1"/>
  <c r="C19" i="77"/>
  <c r="C20" s="1"/>
  <c r="C26" s="1"/>
  <c r="R19" i="6"/>
  <c r="R7" i="1" s="1"/>
  <c r="H27" i="6"/>
  <c r="K63" i="40"/>
  <c r="J65"/>
  <c r="K70" i="39"/>
  <c r="C38" i="11" l="1"/>
  <c r="C35"/>
  <c r="C35" i="68"/>
  <c r="C38"/>
  <c r="C23" i="80"/>
  <c r="C29" s="1"/>
  <c r="C57" s="1"/>
  <c r="C23" i="79"/>
  <c r="C29" s="1"/>
  <c r="R12" i="1"/>
  <c r="R10"/>
  <c r="R13"/>
  <c r="R11"/>
  <c r="R9"/>
  <c r="R8"/>
  <c r="C23" i="77"/>
  <c r="C29" s="1"/>
  <c r="C57" s="1"/>
  <c r="R27" i="6"/>
  <c r="R6" i="1"/>
  <c r="L63" i="40"/>
  <c r="K65"/>
  <c r="L70" i="39"/>
  <c r="E8" i="70"/>
  <c r="E2" s="1"/>
  <c r="C34" i="69"/>
  <c r="M21" i="67"/>
  <c r="M21" i="79"/>
  <c r="M21" i="80"/>
  <c r="M21" i="15"/>
  <c r="M21" i="77"/>
  <c r="F35" i="79"/>
  <c r="F35" i="80"/>
  <c r="C17" i="67"/>
  <c r="F35" i="77"/>
  <c r="F35" i="67"/>
  <c r="F35" i="15"/>
  <c r="C33" i="68" l="1"/>
  <c r="I91" i="9" s="1"/>
  <c r="C33" i="11"/>
  <c r="J59" i="80"/>
  <c r="J60" s="1"/>
  <c r="Q48" s="1"/>
  <c r="C33"/>
  <c r="J14"/>
  <c r="J13" s="1"/>
  <c r="J23" s="1"/>
  <c r="J19"/>
  <c r="Q49"/>
  <c r="C36"/>
  <c r="C13"/>
  <c r="C75" s="1"/>
  <c r="Q49" i="79"/>
  <c r="J19"/>
  <c r="C57"/>
  <c r="J14"/>
  <c r="J59"/>
  <c r="J60" s="1"/>
  <c r="C13"/>
  <c r="C33"/>
  <c r="C36"/>
  <c r="C64" i="80"/>
  <c r="C61"/>
  <c r="J20"/>
  <c r="C34"/>
  <c r="F63"/>
  <c r="C62" s="1"/>
  <c r="J20" i="79"/>
  <c r="F63"/>
  <c r="C62" s="1"/>
  <c r="C34"/>
  <c r="J20" i="77"/>
  <c r="F63"/>
  <c r="C62" s="1"/>
  <c r="C34"/>
  <c r="J20" i="67"/>
  <c r="F63"/>
  <c r="C62" s="1"/>
  <c r="C34"/>
  <c r="J19" i="77"/>
  <c r="J17" s="1"/>
  <c r="C13"/>
  <c r="C75" s="1"/>
  <c r="Q49"/>
  <c r="J14"/>
  <c r="J13" s="1"/>
  <c r="J23" s="1"/>
  <c r="C33"/>
  <c r="C31" s="1"/>
  <c r="J59"/>
  <c r="J60" s="1"/>
  <c r="L46" s="1"/>
  <c r="C36"/>
  <c r="C37"/>
  <c r="C64"/>
  <c r="C61"/>
  <c r="C59" s="1"/>
  <c r="J20" i="15"/>
  <c r="F63"/>
  <c r="C62" s="1"/>
  <c r="C34"/>
  <c r="R16" i="1"/>
  <c r="M63" i="40"/>
  <c r="L65"/>
  <c r="M70" i="39"/>
  <c r="C35" i="69"/>
  <c r="C38"/>
  <c r="D10"/>
  <c r="C42" i="68" l="1"/>
  <c r="C91" i="9"/>
  <c r="C39" i="68"/>
  <c r="C39" i="11"/>
  <c r="C42"/>
  <c r="C31" i="80"/>
  <c r="J17" i="79"/>
  <c r="Q70" i="80"/>
  <c r="L46"/>
  <c r="C37"/>
  <c r="J22"/>
  <c r="J17"/>
  <c r="C56"/>
  <c r="C65" s="1"/>
  <c r="C59"/>
  <c r="C31" i="79"/>
  <c r="C75"/>
  <c r="C56"/>
  <c r="C65" s="1"/>
  <c r="C37"/>
  <c r="Q70"/>
  <c r="J13"/>
  <c r="J23" s="1"/>
  <c r="J22"/>
  <c r="Q48"/>
  <c r="L46"/>
  <c r="C64"/>
  <c r="C61"/>
  <c r="C59" s="1"/>
  <c r="J22" i="77"/>
  <c r="J16" s="1"/>
  <c r="J25" s="1"/>
  <c r="Q70"/>
  <c r="Q48"/>
  <c r="C56"/>
  <c r="C65" s="1"/>
  <c r="C58" s="1"/>
  <c r="C67" s="1"/>
  <c r="C30"/>
  <c r="C39" s="1"/>
  <c r="C80" s="1"/>
  <c r="C79" s="1"/>
  <c r="N63" i="40"/>
  <c r="M65"/>
  <c r="O70" i="39"/>
  <c r="N70"/>
  <c r="D19" i="69"/>
  <c r="C10"/>
  <c r="C8" s="1"/>
  <c r="C5" s="1"/>
  <c r="C43" i="68" l="1"/>
  <c r="C41" s="1"/>
  <c r="C46"/>
  <c r="C45" s="1"/>
  <c r="C94" i="9"/>
  <c r="C92"/>
  <c r="C43" i="11"/>
  <c r="C41" s="1"/>
  <c r="C46"/>
  <c r="C45" s="1"/>
  <c r="C30" i="80"/>
  <c r="C39" s="1"/>
  <c r="C40" s="1"/>
  <c r="C58"/>
  <c r="C67" s="1"/>
  <c r="C68" s="1"/>
  <c r="C71" s="1"/>
  <c r="J16"/>
  <c r="J25" s="1"/>
  <c r="C58" i="79"/>
  <c r="C67" s="1"/>
  <c r="J16"/>
  <c r="J25" s="1"/>
  <c r="C30"/>
  <c r="C39" s="1"/>
  <c r="C80" s="1"/>
  <c r="C79" s="1"/>
  <c r="Q69" i="77"/>
  <c r="Q68" s="1"/>
  <c r="O63" i="40"/>
  <c r="O65" s="1"/>
  <c r="N65"/>
  <c r="C23" i="69"/>
  <c r="C19"/>
  <c r="C24" s="1"/>
  <c r="D37"/>
  <c r="C37" s="1"/>
  <c r="C33" s="1"/>
  <c r="C14" i="67"/>
  <c r="L51" i="77"/>
  <c r="C49" i="11" l="1"/>
  <c r="C51" s="1"/>
  <c r="C52" s="1"/>
  <c r="B2" s="1"/>
  <c r="B3" s="1"/>
  <c r="C49" i="68"/>
  <c r="C51" s="1"/>
  <c r="Q56" i="80"/>
  <c r="Q62" s="1"/>
  <c r="Q65"/>
  <c r="Q75" s="1"/>
  <c r="C80"/>
  <c r="C79" s="1"/>
  <c r="Q69"/>
  <c r="Q68" s="1"/>
  <c r="C83"/>
  <c r="C82" s="1"/>
  <c r="Q47"/>
  <c r="Q53" s="1"/>
  <c r="B2"/>
  <c r="B3" s="1"/>
  <c r="C43"/>
  <c r="C46"/>
  <c r="Q69" i="79"/>
  <c r="Q68" s="1"/>
  <c r="Q67" i="77"/>
  <c r="F7" i="40"/>
  <c r="H7"/>
  <c r="J7"/>
  <c r="C15" i="67"/>
  <c r="C18"/>
  <c r="C42" i="69"/>
  <c r="C39"/>
  <c r="C43" s="1"/>
  <c r="C20"/>
  <c r="C25" s="1"/>
  <c r="C22" s="1"/>
  <c r="L51" i="79"/>
  <c r="L51" i="80"/>
  <c r="Q67" i="79" l="1"/>
  <c r="Q67" i="80"/>
  <c r="C56" i="11"/>
  <c r="C57" s="1"/>
  <c r="W7" i="40"/>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57"/>
  <c r="F57" s="1"/>
  <c r="B58"/>
  <c r="F58" s="1"/>
  <c r="B59"/>
  <c r="F59" s="1"/>
  <c r="B52"/>
  <c r="F52" s="1"/>
  <c r="B56"/>
  <c r="F56" s="1"/>
  <c r="B51"/>
  <c r="F51" s="1"/>
  <c r="B54"/>
  <c r="F54" s="1"/>
  <c r="C57" i="69"/>
  <c r="C56" s="1"/>
  <c r="S16" i="1"/>
  <c r="B2" i="40" l="1"/>
  <c r="B3" s="1"/>
  <c r="C6" i="68"/>
  <c r="C64" i="67"/>
  <c r="C56"/>
  <c r="C65" s="1"/>
  <c r="J22"/>
  <c r="J16" s="1"/>
  <c r="J25" s="1"/>
  <c r="C75"/>
  <c r="C37"/>
  <c r="C30" s="1"/>
  <c r="C39" s="1"/>
  <c r="C48"/>
  <c r="C60" s="1"/>
  <c r="C14" i="15"/>
  <c r="L51" i="67"/>
  <c r="AE7" i="1"/>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F41" i="77"/>
  <c r="J29" l="1"/>
  <c r="F69"/>
  <c r="C68" s="1"/>
  <c r="C40"/>
  <c r="C66" i="15"/>
  <c r="C60"/>
  <c r="C59" s="1"/>
  <c r="AG6" i="1"/>
  <c r="C80" i="15"/>
  <c r="C79" s="1"/>
  <c r="C65"/>
  <c r="Q68"/>
  <c r="L57"/>
  <c r="L60" s="1"/>
  <c r="F41" i="79"/>
  <c r="F41" i="15"/>
  <c r="M27"/>
  <c r="M27" i="67"/>
  <c r="L51" i="15"/>
  <c r="F41" i="67"/>
  <c r="J29" i="79" l="1"/>
  <c r="F69"/>
  <c r="C68" s="1"/>
  <c r="C71" s="1"/>
  <c r="C40"/>
  <c r="Q65" s="1"/>
  <c r="Q75" s="1"/>
  <c r="C71" i="77"/>
  <c r="C46"/>
  <c r="B2"/>
  <c r="C83"/>
  <c r="C82" s="1"/>
  <c r="Q56"/>
  <c r="Q62" s="1"/>
  <c r="Q47"/>
  <c r="Q53" s="1"/>
  <c r="Q65"/>
  <c r="Q75" s="1"/>
  <c r="C43"/>
  <c r="Q67" i="15"/>
  <c r="J26"/>
  <c r="J29" s="1"/>
  <c r="J26" i="67"/>
  <c r="J29" s="1"/>
  <c r="C58" i="15"/>
  <c r="C67" s="1"/>
  <c r="F69"/>
  <c r="C40"/>
  <c r="L46"/>
  <c r="Q57"/>
  <c r="Q66"/>
  <c r="F69" i="67"/>
  <c r="C68" s="1"/>
  <c r="C71" s="1"/>
  <c r="C40"/>
  <c r="C83" s="1"/>
  <c r="C82" s="1"/>
  <c r="AO9" i="1"/>
  <c r="C43" i="15" l="1"/>
  <c r="C6" i="12" s="1"/>
  <c r="C8"/>
  <c r="Q56" i="79"/>
  <c r="Q62" s="1"/>
  <c r="C46"/>
  <c r="C83"/>
  <c r="C82" s="1"/>
  <c r="Q47"/>
  <c r="Q53" s="1"/>
  <c r="B2"/>
  <c r="B3" s="1"/>
  <c r="C43"/>
  <c r="B9" i="70"/>
  <c r="B3" i="77"/>
  <c r="C68" i="15"/>
  <c r="C71" s="1"/>
  <c r="C83"/>
  <c r="C82" s="1"/>
  <c r="Q65"/>
  <c r="Q75" s="1"/>
  <c r="Q47"/>
  <c r="Q53" s="1"/>
  <c r="Q56"/>
  <c r="Q62" s="1"/>
  <c r="B2"/>
  <c r="C43" i="67"/>
  <c r="C45"/>
  <c r="C46" s="1"/>
  <c r="Q65"/>
  <c r="Q75" s="1"/>
  <c r="Q56"/>
  <c r="Q62" s="1"/>
  <c r="Q47"/>
  <c r="Q53" s="1"/>
  <c r="D2"/>
  <c r="B2" s="1"/>
  <c r="AO7" i="1"/>
  <c r="AO8"/>
  <c r="E2" i="69"/>
  <c r="AO6" i="1"/>
  <c r="B3" i="15" l="1"/>
  <c r="C4" i="12"/>
  <c r="C46" i="15"/>
  <c r="B2" i="69"/>
  <c r="B3" s="1"/>
  <c r="B8" i="70"/>
  <c r="B6"/>
  <c r="B3" i="67"/>
  <c r="B7" i="70"/>
  <c r="D2" i="33"/>
  <c r="E2" i="68"/>
  <c r="D2" i="21"/>
  <c r="D2" i="36"/>
  <c r="D2" i="37"/>
  <c r="D2" i="34"/>
  <c r="D2" i="35"/>
  <c r="C31" i="12" l="1"/>
  <c r="C23"/>
  <c r="B2" i="36"/>
  <c r="B3" s="1"/>
  <c r="B2" i="35"/>
  <c r="B3" s="1"/>
  <c r="B2" i="37"/>
  <c r="B3" s="1"/>
  <c r="B2" i="34"/>
  <c r="B3" s="1"/>
  <c r="B2" i="21"/>
  <c r="B3" s="1"/>
  <c r="B2" i="70"/>
  <c r="B3" s="1"/>
  <c r="C27" i="12" l="1"/>
  <c r="C25" s="1"/>
  <c r="C30"/>
  <c r="C28" s="1"/>
  <c r="C32" l="1"/>
  <c r="B2" s="1"/>
  <c r="D19" i="9"/>
  <c r="D21" l="1"/>
  <c r="D102"/>
  <c r="B3" i="12"/>
  <c r="H109" i="9"/>
  <c r="D20"/>
  <c r="D103" l="1"/>
  <c r="H110"/>
  <c r="D18" i="53" s="1"/>
  <c r="B35" i="72" s="1"/>
  <c r="D124" i="9"/>
  <c r="D16" i="53"/>
  <c r="B34" i="72" s="1"/>
  <c r="D10" i="52" l="1"/>
  <c r="H14" i="74"/>
  <c r="D17" i="53"/>
  <c r="B36" i="72" s="1"/>
  <c r="D125" i="9"/>
  <c r="D11" i="52" s="1"/>
  <c r="B7" i="74" l="1"/>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B3" l="1"/>
  <c r="C7" i="68" l="1"/>
  <c r="C5" s="1"/>
  <c r="C23" l="1"/>
  <c r="C20"/>
  <c r="D59" i="9"/>
  <c r="M55" s="1"/>
  <c r="C28" i="68" l="1"/>
  <c r="C27" s="1"/>
  <c r="C25"/>
  <c r="C22" s="1"/>
  <c r="C31" l="1"/>
  <c r="C52" s="1"/>
  <c r="C57" l="1"/>
  <c r="C56" s="1"/>
  <c r="B2"/>
  <c r="C19" i="9"/>
  <c r="C102" l="1"/>
  <c r="C21"/>
  <c r="G19"/>
  <c r="D22"/>
  <c r="B3" i="68"/>
  <c r="C20" i="9"/>
  <c r="C103" l="1"/>
  <c r="G20"/>
  <c r="G21"/>
  <c r="C32"/>
  <c r="H118" l="1"/>
  <c r="H101" s="1"/>
  <c r="D34"/>
  <c r="H119" l="1"/>
  <c r="H5" i="52" s="1"/>
  <c r="I118" i="9"/>
  <c r="C104"/>
  <c r="H4" i="52"/>
  <c r="D14" i="74"/>
  <c r="B5" s="1"/>
  <c r="D5" s="1"/>
  <c r="D45" i="9"/>
  <c r="C93" s="1"/>
  <c r="C86" s="1"/>
  <c r="M48"/>
  <c r="C105"/>
  <c r="J111"/>
  <c r="D5" i="53"/>
  <c r="H107" i="9"/>
  <c r="M49" s="1"/>
  <c r="D53"/>
  <c r="D48" s="1"/>
  <c r="M52" s="1"/>
  <c r="D55" l="1"/>
  <c r="M53" s="1"/>
  <c r="F14" i="74"/>
  <c r="C5"/>
  <c r="H102" i="9"/>
  <c r="D7" i="53" s="1"/>
  <c r="B21" i="72" s="1"/>
  <c r="C78" i="9"/>
  <c r="C73" s="1"/>
  <c r="C72"/>
  <c r="I4" i="52"/>
  <c r="E14" i="74"/>
  <c r="C64" i="9"/>
  <c r="C63" s="1"/>
  <c r="C67" s="1"/>
  <c r="C68" s="1"/>
  <c r="D54" s="1"/>
  <c r="C85"/>
  <c r="C95" s="1"/>
  <c r="D52"/>
  <c r="L65"/>
  <c r="M65" s="1"/>
  <c r="L68"/>
  <c r="M68" s="1"/>
  <c r="L64"/>
  <c r="M64" s="1"/>
  <c r="L66"/>
  <c r="M66" s="1"/>
  <c r="L67"/>
  <c r="M67" s="1"/>
  <c r="L63"/>
  <c r="M63" s="1"/>
  <c r="B20" i="72"/>
  <c r="D6" i="53"/>
  <c r="B22" i="72" s="1"/>
  <c r="D122" i="9"/>
  <c r="H108"/>
  <c r="D15" i="53" s="1"/>
  <c r="B31" i="72" s="1"/>
  <c r="D13" i="53"/>
  <c r="C96" i="9" l="1"/>
  <c r="E96" s="1"/>
  <c r="E97" s="1"/>
  <c r="C79"/>
  <c r="C80" s="1"/>
  <c r="E80" s="1"/>
  <c r="E81" s="1"/>
  <c r="M69"/>
  <c r="N69" s="1"/>
  <c r="D14" i="53"/>
  <c r="B32" i="72" s="1"/>
  <c r="B30"/>
  <c r="D8" i="52"/>
  <c r="D123" i="9"/>
  <c r="D9" i="52" s="1"/>
  <c r="G14" i="74"/>
  <c r="B6" s="1"/>
  <c r="C97" i="9" l="1"/>
  <c r="D58" s="1"/>
  <c r="D56" s="1"/>
  <c r="M54" s="1"/>
  <c r="N57" s="1"/>
  <c r="N58" s="1"/>
  <c r="C81"/>
  <c r="C6" i="74"/>
  <c r="D6"/>
  <c r="N59" i="9" l="1"/>
  <c r="P57"/>
  <c r="H111" l="1"/>
  <c r="N61"/>
  <c r="H112" s="1"/>
  <c r="D21" i="53" s="1"/>
  <c r="B39" i="72" s="1"/>
  <c r="N60" i="9"/>
  <c r="D126" l="1"/>
  <c r="D19" i="53"/>
  <c r="D127" i="9" l="1"/>
  <c r="D13" i="52" s="1"/>
  <c r="I14" i="74"/>
  <c r="B8" s="1"/>
  <c r="D12" i="52"/>
  <c r="B38" i="72"/>
  <c r="D20" i="53"/>
  <c r="B40" i="72" s="1"/>
  <c r="D8" i="74" l="1"/>
  <c r="C8"/>
  <c r="F130" i="9" l="1"/>
  <c r="D35"/>
  <c r="C35" l="1"/>
  <c r="F118" l="1"/>
  <c r="C34"/>
  <c r="D118" s="1"/>
  <c r="D4" i="52" l="1"/>
  <c r="B47" i="72" s="1"/>
  <c r="D119" i="9"/>
  <c r="D5" i="52" s="1"/>
  <c r="B49" i="72" s="1"/>
  <c r="F119" i="9"/>
  <c r="F5" i="52" s="1"/>
  <c r="B53" i="72" s="1"/>
  <c r="G118" i="9"/>
  <c r="F4" i="52"/>
  <c r="B51" i="72" s="1"/>
  <c r="E118" i="9" l="1"/>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<sst xmlns="http://schemas.openxmlformats.org/spreadsheetml/2006/main" count="9231" uniqueCount="3279">
  <si>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</si>
  <si>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</si>
  <si>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</si>
  <si>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</si>
  <si>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</si>
  <si>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</si>
  <si>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</si>
  <si>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</si>
  <si>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</si>
  <si>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</si>
  <si>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</si>
  <si>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</si>
  <si>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</si>
  <si>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</si>
  <si>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</si>
  <si>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</si>
  <si>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</si>
  <si>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</si>
  <si>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</si>
  <si>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</si>
  <si>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</si>
  <si>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</si>
  <si>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</si>
  <si>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</si>
  <si>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</si>
  <si>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</si>
  <si>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</si>
  <si>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</si>
  <si>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</si>
  <si>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</si>
  <si>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</si>
  <si>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</si>
  <si>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</si>
  <si>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</si>
  <si>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</si>
  <si>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</si>
  <si>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</si>
  <si>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</si>
  <si>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</si>
  <si>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</si>
  <si>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</si>
  <si>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</si>
  <si>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</si>
  <si>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</si>
  <si>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</si>
  <si>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</si>
  <si>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</si>
  <si>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</si>
  <si>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</si>
  <si>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</si>
  <si>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</si>
  <si>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</si>
  <si>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</si>
  <si>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</si>
  <si>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</si>
  <si>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</si>
  <si>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</si>
  <si>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</si>
  <si>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</si>
  <si>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</si>
  <si>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</si>
  <si>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</si>
  <si>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</si>
  <si>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</si>
  <si>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</si>
  <si>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</si>
  <si>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</si>
  <si>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</si>
  <si>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</si>
  <si>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</si>
  <si>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</si>
  <si>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</si>
  <si>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</si>
  <si>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</si>
  <si>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</si>
  <si>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</si>
  <si>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</si>
  <si>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</si>
  <si>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</si>
  <si>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</si>
  <si>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</si>
  <si>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</si>
  <si>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</si>
  <si>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</si>
  <si>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</si>
  <si>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</si>
  <si>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</si>
  <si>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</si>
  <si>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</si>
  <si>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</si>
  <si>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</si>
  <si>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</si>
  <si>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</si>
  <si>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</si>
  <si>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</si>
  <si>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</si>
  <si>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</si>
  <si>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</si>
  <si>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</si>
  <si>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</si>
  <si>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</si>
  <si>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</si>
  <si>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</si>
  <si>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</si>
  <si>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</si>
  <si>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</si>
  <si>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</si>
  <si>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</si>
  <si>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</si>
  <si>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</si>
  <si>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</si>
  <si>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</si>
  <si>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</si>
  <si>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</si>
  <si>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</si>
  <si>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</si>
  <si>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</si>
  <si>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</si>
  <si>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</si>
  <si>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</si>
  <si>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</si>
  <si>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</si>
  <si>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</si>
  <si>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</si>
  <si>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</si>
  <si>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</si>
  <si>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</si>
  <si>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</si>
  <si>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</si>
  <si>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</si>
  <si>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</si>
  <si>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</si>
  <si>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</si>
  <si>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</si>
  <si>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</si>
  <si>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</si>
  <si>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</si>
  <si>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</si>
  <si>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</si>
  <si>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</si>
  <si>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</si>
  <si>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</si>
  <si>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</si>
  <si>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</si>
  <si>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</si>
  <si>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</si>
  <si>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</si>
  <si>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</si>
  <si>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</si>
  <si>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</si>
  <si>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</si>
  <si>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</si>
  <si>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</si>
  <si>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</si>
  <si>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</si>
  <si>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</si>
  <si>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</si>
  <si>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</si>
  <si>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</si>
  <si>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</si>
  <si>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</si>
  <si>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</si>
  <si>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</si>
  <si>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</si>
  <si>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</si>
  <si>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</si>
  <si>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</si>
  <si>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</si>
  <si>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</si>
  <si>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</si>
  <si>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</si>
  <si>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</si>
  <si>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</si>
  <si>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</si>
  <si>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</si>
  <si>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</si>
  <si>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</si>
  <si>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</si>
  <si>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</si>
  <si>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</si>
  <si>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</si>
  <si>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</si>
  <si>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</si>
  <si>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</si>
  <si>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</si>
  <si>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</si>
  <si>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</si>
  <si>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</si>
  <si>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</si>
  <si>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</si>
  <si>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</si>
  <si>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</si>
  <si>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</si>
  <si>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</si>
  <si>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</si>
  <si>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</si>
  <si>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</si>
  <si>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</si>
  <si>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</si>
  <si>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</si>
  <si>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</si>
  <si>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</si>
  <si>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</si>
  <si>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</si>
  <si>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</si>
  <si>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</si>
  <si>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</si>
  <si>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</si>
  <si>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</si>
  <si>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</si>
  <si>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</si>
  <si>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</si>
  <si>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</si>
  <si>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</si>
  <si>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</si>
  <si>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</si>
  <si>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</si>
  <si>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</si>
  <si>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</si>
  <si>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</si>
  <si>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</si>
  <si>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</si>
  <si>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</si>
  <si>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</si>
  <si>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</si>
  <si>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</si>
  <si>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</si>
  <si>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</si>
  <si>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</si>
  <si>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</si>
  <si>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</si>
  <si>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</si>
  <si>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</si>
  <si>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</si>
  <si>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</si>
  <si>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</si>
  <si>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</si>
  <si>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</si>
  <si>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</si>
  <si>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</si>
  <si>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</si>
  <si>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</si>
  <si>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</si>
  <si>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</si>
  <si>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</si>
  <si>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</si>
  <si>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</si>
  <si>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</si>
  <si>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</si>
  <si>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</si>
  <si>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</si>
  <si>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</si>
  <si>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</si>
  <si>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</si>
  <si>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</si>
  <si>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</si>
  <si>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</si>
  <si>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</si>
  <si>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</si>
  <si>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</si>
  <si>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</si>
  <si>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</si>
  <si>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</si>
  <si>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</si>
  <si>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</si>
  <si>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</si>
  <si>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</si>
  <si>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</si>
  <si>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</si>
  <si>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</si>
  <si>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</si>
  <si>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</si>
  <si>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</si>
  <si>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</si>
  <si>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</si>
  <si>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</si>
  <si>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</si>
  <si>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</si>
  <si>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</si>
  <si>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</si>
  <si>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</si>
  <si>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</si>
  <si>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</si>
  <si>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</si>
  <si>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</si>
  <si>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</si>
  <si>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</si>
  <si>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</si>
  <si>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</si>
  <si>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</si>
  <si>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</si>
  <si>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</si>
  <si>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</si>
  <si>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</si>
  <si>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</si>
  <si>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</si>
  <si>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</si>
  <si>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</si>
  <si>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</si>
  <si>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</si>
  <si>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</si>
  <si>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</si>
  <si>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</si>
  <si>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</si>
  <si>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</si>
  <si>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</si>
  <si>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</si>
  <si>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</si>
  <si>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</si>
  <si>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</si>
  <si>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</si>
  <si>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</si>
  <si>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</si>
  <si>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</si>
  <si>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</si>
  <si>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</si>
  <si>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</si>
  <si>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</si>
  <si>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</si>
  <si>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</si>
  <si>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</si>
  <si>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</si>
  <si>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</si>
  <si>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</si>
  <si>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</si>
  <si>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</si>
  <si>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</si>
  <si>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</si>
  <si>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</si>
  <si>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</si>
  <si>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</si>
  <si>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</si>
  <si>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</si>
  <si>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</si>
  <si>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</si>
  <si>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</si>
  <si>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</si>
  <si>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</si>
  <si>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</si>
  <si>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</si>
  <si>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</si>
  <si>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</si>
  <si>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</si>
  <si>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</si>
  <si>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</si>
  <si>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</si>
  <si>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</si>
  <si>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</si>
  <si>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</si>
  <si>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</si>
  <si>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</si>
  <si>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</si>
  <si>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</si>
  <si>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</si>
  <si>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</si>
  <si>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</si>
  <si>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</si>
  <si>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</si>
  <si>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</si>
  <si>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</si>
  <si>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</si>
  <si>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</si>
  <si>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</si>
  <si>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</si>
  <si>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</si>
  <si>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</si>
  <si>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</si>
  <si>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</si>
  <si>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</si>
  <si>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</si>
  <si>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</si>
  <si>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</si>
  <si>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</si>
  <si>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</si>
  <si>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</si>
  <si>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</si>
  <si>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</si>
  <si>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</si>
  <si>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</si>
  <si>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</si>
  <si>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</si>
  <si>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</si>
  <si>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</si>
  <si>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</si>
  <si>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</si>
  <si>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</si>
  <si>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</si>
  <si>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</si>
  <si>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</si>
  <si>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</si>
  <si>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</si>
  <si>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</si>
  <si>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</si>
  <si>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</si>
  <si>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</si>
  <si>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</si>
  <si>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</si>
  <si>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</si>
  <si>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</si>
  <si>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</si>
  <si>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</si>
  <si>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</si>
  <si>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</si>
  <si>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</si>
  <si>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</si>
  <si>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</si>
  <si>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</si>
  <si>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</si>
  <si>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</si>
  <si>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</si>
  <si>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</si>
  <si>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</si>
  <si>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</si>
  <si>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</si>
  <si>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</si>
  <si>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</si>
  <si>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</si>
  <si>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</si>
  <si>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</si>
  <si>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</si>
  <si>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</si>
  <si>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</si>
  <si>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</si>
  <si>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</si>
  <si>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</si>
  <si>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</si>
  <si>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</si>
  <si>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</si>
  <si>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</si>
  <si>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</si>
  <si>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</si>
  <si>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</si>
  <si>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</si>
  <si>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</si>
  <si>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</si>
  <si>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</si>
  <si>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</si>
  <si>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</si>
  <si>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</si>
  <si>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</si>
  <si>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</si>
  <si>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</si>
  <si>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</si>
  <si>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</si>
  <si>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</si>
  <si>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</si>
  <si>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</si>
  <si>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</si>
  <si>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</si>
  <si>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</si>
  <si>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</si>
  <si>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</si>
  <si>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</si>
  <si>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</si>
  <si>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</si>
  <si>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</si>
  <si>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</si>
  <si>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</si>
  <si>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</si>
  <si>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</si>
  <si>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</si>
  <si>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</si>
  <si>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</si>
  <si>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</si>
  <si>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</si>
  <si>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</si>
  <si>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</si>
  <si>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</si>
  <si>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</si>
  <si>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</si>
  <si>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</si>
  <si>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</si>
  <si>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</si>
  <si>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</si>
  <si>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</si>
  <si>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</si>
  <si>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</si>
  <si>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</si>
  <si>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</si>
  <si>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</si>
  <si>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</si>
  <si>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</si>
  <si>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</si>
  <si>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</si>
  <si>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</si>
  <si>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</si>
  <si>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</si>
  <si>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</si>
  <si>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</si>
  <si>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</si>
  <si>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</si>
  <si>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</si>
  <si>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</si>
  <si>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</si>
  <si>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</si>
  <si>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</si>
  <si>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</si>
  <si>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</si>
  <si>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</si>
  <si>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</si>
  <si>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</si>
  <si>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</si>
  <si>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</si>
  <si>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</si>
  <si>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</si>
  <si>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</si>
  <si>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</si>
  <si>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</si>
  <si>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</si>
  <si>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</si>
  <si>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</si>
  <si>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</si>
  <si>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</si>
  <si>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</si>
  <si>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</si>
  <si>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</si>
  <si>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</si>
  <si>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</si>
  <si>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</si>
  <si>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</si>
  <si>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</si>
  <si>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</si>
  <si>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</si>
  <si>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</si>
  <si>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</si>
  <si>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</si>
  <si>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</si>
  <si>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</si>
  <si>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</si>
  <si>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</si>
  <si>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</si>
  <si>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</si>
  <si>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</si>
  <si>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</si>
  <si>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</si>
  <si>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</si>
  <si>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</si>
  <si>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</si>
  <si>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</si>
  <si>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</si>
  <si>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</si>
  <si>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</si>
  <si>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</si>
  <si>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</si>
  <si>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</si>
  <si>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</si>
  <si>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</si>
  <si>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</si>
  <si>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</si>
  <si>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</si>
  <si>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</si>
  <si>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</si>
  <si>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</si>
  <si>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</si>
  <si>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</si>
  <si>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</si>
  <si>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</si>
  <si>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</si>
  <si>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</si>
  <si>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</si>
  <si>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</si>
  <si>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</si>
  <si>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</si>
  <si>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</si>
  <si>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</si>
  <si>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</si>
  <si>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</si>
  <si>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</si>
  <si>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</si>
  <si>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</si>
  <si>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</si>
  <si>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</si>
  <si>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</si>
  <si>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</si>
  <si>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</si>
  <si>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</si>
  <si>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</si>
  <si>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</si>
  <si>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</si>
  <si>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</si>
  <si>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</si>
  <si>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</si>
  <si>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</si>
  <si>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</si>
  <si>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</si>
  <si>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</si>
  <si>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</si>
  <si>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</si>
  <si>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</si>
  <si>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</si>
  <si>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</si>
  <si>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</si>
  <si>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</si>
  <si>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</si>
  <si>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</si>
  <si>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</si>
  <si>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</si>
  <si>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</si>
  <si>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</si>
  <si>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</si>
  <si>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</si>
  <si>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</si>
  <si>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</si>
  <si>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</si>
  <si>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</si>
  <si>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</si>
  <si>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</si>
  <si>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</si>
  <si>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</si>
  <si>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</si>
  <si>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</si>
  <si>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</si>
  <si>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</si>
  <si>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</si>
  <si>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</si>
  <si>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</si>
  <si>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</si>
  <si>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</si>
  <si>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</si>
  <si>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</si>
  <si>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</si>
  <si>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</si>
  <si>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</si>
  <si>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</si>
  <si>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</si>
  <si>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</si>
  <si>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</si>
  <si>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</si>
  <si>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</si>
  <si>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</si>
  <si>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</si>
  <si>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</si>
  <si>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</si>
  <si>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</si>
  <si>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</si>
  <si>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</si>
  <si>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</si>
  <si>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</si>
  <si>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</si>
  <si>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</si>
  <si>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</si>
  <si>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</si>
  <si>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</si>
  <si>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</si>
  <si>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</si>
  <si>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</si>
  <si>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</si>
  <si>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</si>
  <si>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</si>
  <si>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</si>
  <si>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</si>
  <si>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</si>
  <si>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</si>
  <si>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</si>
  <si>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</si>
  <si>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</si>
  <si>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</si>
  <si>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</si>
  <si>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</si>
  <si>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</si>
  <si>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</si>
  <si>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</si>
  <si>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</si>
  <si>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</si>
  <si>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</si>
  <si>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</si>
  <si>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</si>
  <si>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</si>
  <si>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</si>
  <si>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</si>
  <si>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</si>
  <si>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</si>
  <si>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</si>
  <si>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</si>
  <si>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</si>
  <si>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</si>
  <si>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</si>
  <si>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</si>
  <si>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</si>
  <si>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</si>
  <si>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</si>
  <si>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</si>
  <si>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</si>
  <si>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</si>
  <si>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</si>
  <si>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</si>
  <si>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</si>
  <si>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</si>
  <si>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</si>
  <si>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</si>
  <si>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</si>
  <si>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</si>
  <si>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</si>
  <si>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</si>
  <si>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</si>
  <si>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</si>
  <si>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</si>
  <si>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</si>
  <si>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</si>
  <si>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</si>
  <si>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</si>
  <si>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</si>
  <si>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</si>
  <si>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</si>
  <si>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</si>
  <si>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</si>
  <si>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</si>
  <si>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</si>
  <si>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</si>
  <si>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</si>
  <si>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</si>
  <si>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</si>
  <si>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</si>
  <si>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</si>
  <si>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</si>
  <si>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</si>
  <si>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</si>
  <si>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</si>
  <si>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</si>
  <si>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</si>
  <si>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</si>
  <si>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</si>
  <si>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</si>
  <si>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</si>
  <si>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</si>
  <si>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</si>
  <si>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</si>
  <si>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</si>
  <si>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</si>
  <si>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</si>
  <si>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</si>
  <si>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</si>
  <si>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</si>
  <si>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</si>
  <si>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</si>
  <si>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</si>
  <si>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</si>
  <si>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</si>
  <si>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</si>
  <si>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</si>
  <si>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</si>
  <si>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</si>
  <si>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</si>
  <si>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</si>
  <si>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</si>
  <si>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</si>
  <si>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</si>
  <si>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</si>
  <si>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</si>
  <si>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</si>
  <si>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</si>
  <si>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</si>
  <si>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</si>
  <si>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</si>
  <si>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</si>
  <si>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</si>
  <si>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</si>
  <si>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</si>
  <si>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</si>
  <si>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</si>
  <si>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</si>
  <si>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</si>
  <si>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</si>
  <si>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</si>
  <si>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</si>
  <si>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</si>
  <si>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</si>
  <si>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</si>
  <si>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</si>
  <si>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</si>
  <si>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</si>
  <si>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</si>
  <si>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</si>
  <si>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</si>
  <si>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</si>
  <si>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</si>
  <si>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</si>
  <si>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</si>
  <si>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</si>
  <si>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</si>
  <si>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</si>
  <si>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</si>
  <si>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</si>
  <si>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</si>
  <si>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</si>
  <si>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</si>
  <si>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</si>
  <si>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</si>
  <si>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</si>
  <si>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</si>
  <si>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</si>
  <si>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</si>
  <si>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</si>
  <si>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</si>
  <si>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</si>
  <si>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</si>
  <si>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</si>
  <si>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</si>
  <si>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</si>
  <si>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</si>
  <si>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</si>
  <si>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</si>
  <si>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</si>
  <si>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</si>
  <si>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</si>
  <si>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</si>
  <si>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</si>
  <si>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</si>
  <si>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</si>
  <si>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</si>
  <si>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</si>
  <si>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</si>
  <si>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</si>
  <si>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</si>
  <si>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</si>
  <si>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</si>
  <si>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</si>
  <si>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</si>
  <si>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</si>
  <si>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</si>
  <si>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</si>
  <si>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</si>
  <si>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</si>
  <si>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</si>
  <si>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</si>
  <si>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</si>
  <si>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</si>
  <si>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</si>
  <si>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</si>
  <si>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</si>
  <si>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</si>
  <si>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</si>
  <si>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</si>
  <si>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</si>
  <si>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</si>
  <si>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</si>
  <si>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</si>
  <si>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</si>
  <si>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</si>
  <si>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</si>
  <si>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</si>
  <si>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</si>
  <si>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</si>
  <si>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</si>
  <si>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</si>
  <si>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</si>
  <si>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</si>
  <si>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</si>
  <si>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</si>
  <si>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</si>
  <si>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</si>
  <si>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</si>
  <si>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</si>
  <si>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</si>
  <si>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</si>
  <si>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</si>
  <si>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</si>
  <si>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</si>
  <si>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</si>
  <si>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</si>
  <si>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</si>
  <si>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</si>
  <si>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</si>
  <si>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</si>
  <si>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</si>
  <si>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</si>
  <si>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</si>
  <si>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</si>
  <si>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</si>
  <si>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</si>
  <si>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</si>
  <si>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</si>
  <si>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</si>
  <si>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</si>
  <si>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</si>
  <si>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</si>
  <si>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</si>
  <si>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</si>
  <si>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</si>
  <si>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</si>
  <si>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</si>
  <si>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</si>
  <si>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</si>
  <si>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</si>
  <si>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</si>
  <si>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</si>
  <si>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</si>
  <si>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</si>
  <si>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</si>
  <si>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</si>
  <si>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</si>
  <si>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</si>
  <si>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</si>
  <si>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</si>
  <si>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</si>
  <si>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</si>
  <si>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</si>
  <si>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</si>
  <si>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</si>
  <si>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</si>
  <si>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</si>
  <si>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</si>
  <si>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</si>
  <si>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</si>
  <si>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</si>
  <si>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</si>
  <si>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</si>
  <si>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</si>
  <si>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</si>
  <si>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</si>
  <si>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</si>
  <si>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</si>
  <si>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</si>
  <si>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</si>
  <si>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</si>
  <si>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</si>
  <si>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</si>
  <si>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</si>
  <si>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</si>
  <si>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</si>
  <si>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</si>
  <si>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</si>
  <si>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</si>
  <si>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</si>
  <si>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</si>
  <si>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</si>
  <si>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</si>
  <si>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</si>
  <si>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</si>
  <si>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</si>
  <si>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</si>
  <si>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</si>
  <si>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</si>
  <si>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</si>
  <si>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</si>
  <si>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</si>
  <si>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</si>
  <si>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</si>
  <si>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</si>
  <si>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</si>
  <si>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</si>
  <si>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</si>
  <si>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</si>
  <si>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</si>
  <si>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</si>
  <si>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</si>
  <si>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</si>
  <si>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</si>
  <si>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</si>
  <si>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</si>
  <si>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</si>
  <si>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</si>
  <si>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</si>
  <si>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</si>
  <si>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</si>
  <si>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</si>
  <si>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</si>
  <si>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</si>
  <si>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</si>
  <si>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</si>
  <si>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</si>
  <si>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</si>
  <si>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</si>
  <si>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</si>
  <si>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</si>
  <si>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</si>
  <si>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</si>
  <si>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</si>
  <si>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</si>
  <si>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</si>
  <si>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</si>
  <si>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</si>
  <si>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</si>
  <si>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</si>
  <si>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</si>
  <si>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</si>
  <si>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</si>
  <si>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</si>
  <si>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</si>
  <si>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</si>
  <si>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</si>
  <si>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</si>
  <si>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</si>
  <si>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</si>
  <si>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</si>
  <si>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</si>
  <si>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</si>
  <si>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</si>
  <si>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</si>
  <si>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</si>
  <si>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</si>
  <si>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</si>
  <si>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</si>
  <si>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</si>
  <si>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</si>
  <si>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</si>
  <si>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</si>
  <si>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</si>
  <si>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</si>
  <si>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</si>
  <si>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</si>
  <si>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</si>
  <si>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</si>
  <si>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</si>
  <si>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</si>
  <si>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</si>
  <si>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</si>
  <si>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</si>
  <si>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</si>
  <si>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</si>
  <si>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</si>
  <si>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</si>
  <si>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</si>
  <si>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</si>
  <si>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</si>
  <si>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</si>
  <si>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</si>
  <si>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</si>
  <si>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</si>
  <si>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</si>
  <si>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</si>
  <si>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</si>
  <si>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</si>
  <si>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</si>
  <si>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</si>
  <si>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</si>
  <si>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</si>
  <si>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</si>
  <si>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</si>
  <si>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</si>
  <si>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</si>
  <si>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</si>
  <si>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</si>
  <si>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</si>
  <si>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</si>
  <si>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</si>
  <si>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</si>
  <si>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</si>
  <si>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</si>
  <si>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</si>
  <si>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</si>
  <si>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</si>
  <si>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</si>
  <si>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</si>
  <si>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</si>
  <si>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</si>
  <si>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</si>
  <si>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</si>
  <si>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</si>
  <si>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</si>
  <si>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</si>
  <si>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</si>
  <si>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</si>
  <si>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</si>
  <si>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</si>
  <si>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</si>
  <si>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</si>
  <si>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</si>
  <si>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</si>
  <si>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</si>
  <si>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</si>
  <si>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</si>
  <si>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</si>
  <si>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</si>
  <si>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</si>
  <si>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</si>
  <si>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</si>
  <si>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</si>
  <si>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</si>
  <si>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</si>
  <si>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</si>
  <si>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</si>
  <si>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</si>
  <si>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</si>
  <si>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</si>
  <si>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</si>
  <si>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</si>
  <si>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</si>
  <si>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</si>
  <si>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</si>
  <si>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</si>
  <si>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</si>
  <si>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</si>
  <si>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</si>
  <si>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</si>
  <si>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</si>
  <si>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</si>
  <si>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</si>
  <si>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</si>
  <si>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</si>
  <si>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</si>
  <si>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</si>
  <si>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</si>
  <si>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</si>
  <si>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</si>
  <si>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</si>
  <si>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</si>
  <si>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</si>
  <si>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</si>
  <si>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</si>
  <si>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</si>
  <si>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</si>
  <si>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</si>
  <si>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</si>
  <si>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</si>
  <si>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</si>
  <si>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</si>
  <si>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</si>
  <si>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</si>
  <si>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</si>
  <si>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</si>
  <si>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</si>
  <si>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</si>
  <si>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</si>
  <si>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</si>
  <si>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</si>
  <si>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</si>
  <si>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</si>
  <si>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</si>
  <si>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</si>
  <si>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</si>
  <si>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</si>
  <si>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</si>
  <si>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</si>
  <si>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</si>
  <si>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</si>
  <si>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</si>
  <si>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</si>
  <si>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</si>
  <si>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</si>
  <si>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</si>
  <si>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</si>
  <si>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</si>
  <si>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</si>
  <si>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</si>
  <si>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</si>
  <si>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</si>
  <si>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</si>
  <si>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</si>
  <si>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</si>
  <si>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</si>
  <si>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</si>
  <si>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</si>
  <si>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</si>
  <si>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</si>
  <si>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</si>
  <si>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</si>
  <si>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</si>
  <si>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</si>
  <si>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</si>
  <si>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</si>
  <si>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</si>
  <si>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</si>
  <si>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</si>
  <si>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</si>
  <si>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</si>
  <si>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</si>
  <si>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</si>
  <si>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</si>
  <si>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</si>
  <si>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</si>
  <si>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</si>
  <si>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</si>
  <si>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</si>
  <si>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</si>
  <si>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</si>
  <si>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</si>
  <si>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</si>
  <si>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</si>
  <si>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</si>
  <si>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</si>
  <si>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</si>
  <si>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</si>
  <si>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</si>
  <si>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</si>
  <si>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</si>
  <si>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</si>
  <si>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</si>
  <si>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</si>
  <si>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</si>
  <si>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</si>
  <si>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</si>
  <si>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</si>
  <si>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</si>
  <si>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</si>
  <si>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</si>
  <si>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</si>
  <si>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</si>
  <si>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</si>
  <si>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</si>
  <si>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</si>
  <si>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</si>
  <si>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</si>
  <si>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</si>
  <si>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</si>
  <si>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</si>
  <si>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</si>
  <si>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</si>
  <si>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</si>
  <si>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</si>
  <si>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</si>
  <si>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</si>
  <si>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</si>
  <si>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</si>
  <si>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</si>
  <si>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</si>
  <si>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</si>
  <si>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</si>
  <si>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</si>
  <si>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</si>
  <si>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</si>
  <si>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</si>
  <si>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</si>
  <si>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</si>
  <si>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</si>
  <si>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</si>
  <si>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</si>
  <si>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</si>
  <si>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</si>
  <si>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</si>
  <si>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</si>
  <si>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</si>
  <si>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</si>
  <si>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</si>
  <si>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</si>
  <si>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</si>
  <si>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</si>
  <si>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</si>
  <si>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</si>
  <si>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</si>
  <si>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</si>
  <si>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</si>
  <si>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</si>
  <si>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</si>
  <si>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</si>
  <si>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</si>
  <si>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</si>
  <si>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</si>
  <si>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</si>
  <si>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</si>
  <si>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</si>
  <si>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</si>
  <si>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</si>
  <si>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</si>
  <si>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</si>
  <si>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</si>
  <si>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</si>
  <si>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</si>
  <si>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</si>
  <si>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</si>
  <si>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</si>
  <si>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</si>
  <si>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</si>
  <si>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</si>
  <si>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</si>
  <si>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</si>
  <si>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</si>
  <si>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</si>
  <si>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</si>
  <si>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</si>
  <si>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</si>
  <si>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</si>
  <si>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</si>
  <si>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</si>
  <si>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</si>
  <si>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</si>
  <si>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</si>
  <si>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</si>
  <si>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</si>
  <si>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</si>
  <si>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</si>
  <si>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</si>
  <si>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</si>
  <si>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</si>
  <si>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</si>
  <si>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</si>
  <si>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</si>
  <si>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</si>
  <si>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</si>
  <si>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</si>
  <si>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</si>
  <si>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</si>
  <si>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</si>
  <si>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</si>
  <si>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</si>
  <si>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</si>
  <si>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</si>
  <si>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</si>
  <si>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</si>
  <si>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</si>
  <si>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</si>
  <si>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</si>
  <si>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</si>
  <si>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</si>
  <si>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</si>
  <si>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</si>
  <si>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</si>
  <si>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</si>
  <si>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</si>
  <si>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</si>
  <si>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</si>
  <si>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</si>
  <si>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</si>
  <si>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</si>
  <si>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</si>
  <si>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</si>
  <si>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</si>
  <si>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</si>
  <si>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</si>
  <si>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</si>
  <si>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</si>
  <si>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</si>
  <si>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</si>
  <si>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</si>
  <si>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</si>
  <si>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</si>
  <si>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</si>
  <si>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</si>
  <si>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</si>
  <si>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</si>
  <si>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</si>
  <si>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</si>
  <si>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</si>
  <si>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</si>
  <si>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</si>
  <si>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</si>
  <si>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</si>
  <si>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</si>
  <si>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</si>
  <si>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</si>
  <si>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</si>
  <si>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</si>
  <si>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</si>
  <si>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</si>
  <si>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</si>
  <si>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</si>
  <si>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</si>
  <si>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</si>
  <si>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</si>
  <si>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</si>
  <si>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</si>
  <si>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</si>
  <si>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</si>
  <si>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</si>
  <si>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</si>
  <si>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</si>
  <si>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</si>
  <si>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</si>
  <si>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</si>
  <si>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</si>
  <si>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</si>
  <si>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</si>
  <si>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</si>
  <si>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</si>
  <si>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</si>
  <si>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</si>
  <si>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</si>
  <si>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</si>
  <si>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</si>
  <si>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</si>
  <si>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</si>
  <si>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</si>
  <si>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</si>
  <si>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</si>
  <si>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</si>
  <si>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</si>
  <si>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</si>
  <si>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</si>
  <si>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</si>
  <si>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</si>
  <si>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</si>
  <si>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</si>
  <si>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</si>
  <si>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</si>
  <si>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</si>
  <si>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</si>
  <si>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</si>
  <si>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</si>
  <si>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</si>
  <si>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</si>
  <si>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</si>
  <si>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</si>
  <si>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</si>
  <si>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</si>
  <si>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</si>
  <si>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</si>
  <si>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</si>
  <si>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</si>
  <si>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</si>
  <si>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</si>
  <si>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</si>
  <si>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</si>
  <si>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</si>
  <si>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</si>
  <si>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</si>
  <si>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</si>
  <si>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</si>
  <si>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</si>
  <si>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</si>
  <si>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</si>
  <si>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</si>
  <si>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</si>
  <si>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</si>
  <si>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</si>
  <si>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</si>
  <si>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</si>
  <si>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</si>
  <si>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</si>
  <si>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</si>
  <si>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</si>
  <si>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</si>
  <si>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</si>
  <si>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</si>
  <si>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</si>
  <si>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</si>
  <si>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</si>
  <si>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</si>
  <si>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</si>
  <si>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</si>
  <si>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</si>
  <si>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</si>
  <si>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</si>
  <si>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</si>
  <si>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</si>
  <si>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</si>
  <si>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</si>
  <si>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</si>
  <si>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</si>
  <si>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</si>
  <si>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</si>
  <si>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</si>
  <si>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</si>
  <si>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</si>
  <si>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</si>
  <si>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</si>
  <si>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</si>
  <si>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</si>
  <si>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</si>
  <si>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</si>
  <si>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</si>
  <si>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</si>
  <si>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</si>
  <si>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</si>
  <si>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</si>
  <si>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</si>
  <si>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</si>
  <si>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</si>
  <si>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</si>
  <si>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</si>
  <si>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</si>
  <si>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</si>
  <si>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</si>
  <si>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</si>
  <si>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</si>
  <si>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</si>
  <si>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</si>
  <si>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</si>
  <si>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</si>
  <si>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</si>
  <si>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</si>
  <si>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</si>
  <si>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</si>
  <si>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</si>
  <si>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</si>
  <si>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</si>
  <si>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</si>
  <si>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</si>
  <si>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</si>
  <si>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</si>
  <si>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</si>
  <si>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</si>
  <si>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</si>
  <si>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</si>
  <si>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</si>
  <si>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</si>
  <si>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</si>
  <si>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</si>
  <si>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</si>
  <si>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</si>
  <si>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</si>
  <si>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</si>
  <si>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</si>
  <si>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</si>
  <si>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</si>
  <si>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</si>
  <si>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</si>
  <si>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</si>
  <si>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</si>
  <si>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</si>
  <si>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</si>
  <si>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</si>
  <si>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</si>
  <si>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</si>
  <si>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</si>
  <si>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</si>
  <si>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</si>
  <si>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</si>
  <si>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</si>
  <si>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</si>
  <si>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</si>
  <si>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</si>
  <si>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</si>
  <si>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</si>
  <si>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</si>
  <si>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</si>
  <si>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</si>
  <si>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</si>
  <si>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</si>
  <si>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</si>
  <si>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</si>
  <si>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</si>
  <si>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</si>
  <si>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</si>
  <si>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</si>
  <si>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</si>
  <si>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</si>
  <si>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</si>
  <si>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</si>
  <si>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</si>
  <si>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</si>
  <si>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</si>
  <si>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</si>
  <si>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</si>
  <si>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</si>
  <si>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</si>
  <si>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</si>
  <si>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</si>
  <si>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</si>
  <si>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</si>
  <si>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</si>
  <si>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</si>
  <si>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</si>
  <si>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</si>
  <si>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</si>
  <si>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</si>
  <si>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</si>
  <si>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</si>
  <si>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</si>
  <si>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</si>
  <si>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</si>
  <si>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</si>
  <si>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</si>
  <si>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</si>
  <si>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</si>
  <si>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</si>
  <si>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</si>
  <si>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</si>
  <si>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</si>
  <si>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</si>
  <si>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</si>
  <si>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</si>
  <si>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</si>
  <si>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</si>
  <si>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</si>
  <si>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</si>
  <si>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</si>
  <si>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</si>
  <si>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</si>
  <si>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</si>
  <si>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</si>
  <si>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</si>
  <si>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</si>
  <si>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</si>
  <si>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</si>
  <si>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</si>
  <si>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</si>
  <si>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</si>
  <si>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</si>
  <si>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</si>
  <si>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</si>
  <si>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</si>
  <si>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</si>
  <si>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</si>
  <si>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</si>
  <si>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</si>
  <si>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</si>
  <si>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</si>
  <si>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</si>
  <si>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</si>
  <si>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</si>
  <si>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</si>
  <si>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</si>
  <si>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</si>
  <si>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</si>
  <si>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</si>
  <si>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</si>
  <si>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</si>
  <si>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</si>
  <si>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</si>
  <si>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</si>
  <si>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</si>
  <si>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</si>
  <si>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</si>
  <si>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</si>
  <si>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</si>
  <si>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</si>
  <si>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</si>
  <si>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</si>
  <si>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</si>
  <si>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</si>
  <si>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</si>
  <si>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</si>
  <si>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</si>
  <si>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</si>
  <si>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</si>
  <si>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</si>
  <si>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</si>
  <si>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</si>
  <si>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</si>
  <si>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</si>
  <si>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</si>
  <si>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</si>
  <si>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</si>
  <si>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</si>
  <si>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</si>
  <si>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</si>
  <si>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</si>
  <si>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</si>
  <si>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</si>
  <si>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</si>
  <si>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</si>
  <si>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</si>
  <si>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</si>
  <si>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</si>
  <si>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</si>
  <si>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</si>
  <si>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</si>
  <si>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</si>
  <si>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</si>
  <si>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</si>
  <si>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</si>
  <si>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</si>
  <si>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</si>
  <si>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</si>
  <si>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</si>
  <si>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</si>
  <si>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</si>
  <si>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</si>
  <si>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</si>
  <si>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</si>
  <si>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</si>
  <si>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</si>
  <si>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</si>
  <si>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</si>
  <si>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</si>
  <si>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</si>
  <si>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</si>
  <si>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</si>
  <si>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</si>
  <si>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</si>
  <si>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</si>
  <si>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</si>
  <si>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</si>
  <si>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</si>
  <si>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</si>
  <si>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</si>
  <si>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</si>
  <si>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</si>
  <si>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</si>
  <si>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</si>
  <si>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</si>
  <si>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</si>
  <si>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</si>
  <si>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</si>
  <si>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</si>
  <si>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</si>
  <si>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</si>
  <si>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</si>
  <si>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</si>
  <si>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</si>
  <si>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</si>
  <si>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</si>
  <si>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</si>
  <si>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</si>
  <si>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</si>
  <si>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</si>
  <si>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</si>
  <si>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</si>
  <si>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</si>
  <si>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</si>
  <si>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</si>
  <si>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</si>
  <si>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</si>
  <si>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</si>
  <si>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</si>
  <si>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</si>
  <si>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</si>
  <si>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</si>
  <si>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</si>
  <si>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</si>
  <si>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</si>
  <si>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</si>
  <si>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</si>
  <si>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</si>
  <si>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</si>
  <si>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</si>
  <si>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</si>
  <si>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</si>
  <si>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</si>
  <si>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</si>
  <si>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</si>
  <si>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</si>
  <si>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</si>
  <si>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</si>
  <si>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</si>
  <si>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</si>
  <si>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</si>
  <si>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</si>
  <si>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</si>
  <si>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</si>
  <si>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</si>
  <si>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</si>
  <si>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</si>
  <si>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</si>
  <si>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</si>
  <si>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</si>
  <si>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</si>
  <si>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</si>
  <si>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</si>
  <si>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</si>
  <si>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</si>
  <si>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</si>
  <si>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</si>
  <si>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</si>
  <si>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</si>
  <si>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</si>
  <si>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</si>
  <si>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</si>
  <si>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</si>
  <si>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</si>
  <si>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</si>
  <si>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</si>
  <si>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</si>
  <si>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</si>
  <si>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</si>
  <si>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</si>
  <si>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</si>
  <si>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</si>
  <si>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</si>
  <si>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</si>
  <si>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</si>
  <si>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</si>
  <si>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</si>
  <si>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</si>
  <si>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</si>
  <si>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</si>
  <si>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</si>
  <si>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</si>
  <si>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</si>
  <si>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</si>
  <si>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</si>
  <si>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</si>
  <si>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</si>
  <si>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</si>
  <si>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</si>
  <si>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</si>
  <si>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</si>
  <si>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</si>
  <si>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</si>
  <si>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</si>
  <si>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</si>
  <si>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</si>
  <si>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</si>
  <si>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</si>
  <si>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</si>
  <si>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</si>
  <si>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</si>
  <si>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</si>
  <si>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</si>
  <si>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</si>
  <si>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</si>
  <si>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</si>
  <si>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</si>
  <si>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</si>
  <si>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</si>
  <si>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</si>
  <si>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</si>
  <si>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</si>
  <si>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</si>
  <si>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</si>
  <si>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</si>
  <si>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</si>
  <si>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</si>
  <si>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</si>
  <si>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</si>
  <si>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</si>
  <si>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</si>
  <si>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</si>
  <si>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</si>
  <si>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</si>
  <si>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</si>
  <si>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</si>
  <si>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</si>
  <si>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</si>
  <si>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</si>
  <si>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</si>
  <si>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</si>
  <si>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</si>
  <si>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</si>
  <si>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</si>
  <si>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</si>
  <si>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</si>
  <si>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</si>
  <si>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</si>
  <si>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</si>
  <si>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</si>
  <si>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</si>
  <si>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</si>
  <si>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</si>
  <si>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</si>
  <si>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</si>
  <si>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</si>
  <si>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</si>
  <si>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</si>
  <si>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</si>
  <si>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</si>
  <si>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</si>
  <si>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</si>
  <si>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</si>
  <si>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</si>
  <si>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</si>
  <si>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</si>
  <si>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</si>
  <si>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</si>
  <si>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</si>
  <si>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</si>
  <si>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</si>
  <si>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</si>
  <si>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</si>
  <si>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</si>
  <si>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</si>
  <si>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</si>
  <si>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</si>
  <si>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</si>
  <si>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</si>
  <si>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</si>
  <si>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</si>
  <si>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</si>
  <si>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</si>
  <si>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</si>
  <si>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</si>
  <si>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</si>
  <si>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</si>
  <si>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</si>
  <si>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</si>
  <si>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</si>
  <si>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</si>
  <si>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</si>
  <si>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</si>
  <si>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</si>
  <si>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</si>
  <si>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</si>
  <si>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</si>
  <si>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</si>
  <si>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</si>
  <si>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</si>
  <si>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</si>
  <si>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</si>
  <si>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</si>
  <si>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</si>
  <si>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</si>
  <si>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</si>
  <si>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</si>
  <si>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</si>
  <si>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</si>
  <si>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</si>
  <si>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</si>
  <si>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</si>
  <si>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</si>
  <si>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</si>
  <si>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</si>
  <si>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</si>
  <si>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</si>
  <si>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</si>
  <si>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</si>
  <si>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</si>
  <si>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</si>
  <si>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</si>
  <si>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</si>
  <si>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</si>
  <si>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</si>
  <si>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</si>
  <si>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</si>
  <si>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</si>
  <si>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</si>
  <si>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</si>
  <si>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</si>
  <si>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</si>
  <si>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</si>
  <si>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</si>
  <si>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</si>
  <si>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</si>
  <si>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</si>
  <si>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</si>
  <si>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</si>
  <si>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</si>
  <si>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</si>
  <si>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</si>
  <si>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</si>
  <si>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</si>
  <si>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</si>
  <si>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</si>
  <si>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</si>
  <si>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</si>
  <si>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</si>
  <si>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</si>
  <si>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</si>
  <si>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</si>
  <si>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</si>
  <si>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</si>
  <si>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</si>
  <si>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</si>
  <si>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</si>
  <si>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</si>
  <si>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</si>
  <si>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</si>
  <si>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</si>
  <si>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</si>
  <si>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</si>
  <si>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</si>
  <si>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</si>
  <si>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</si>
  <si>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</si>
  <si>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</si>
  <si>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</si>
  <si>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</si>
  <si>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</si>
  <si>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</si>
  <si>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</si>
  <si>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</si>
  <si>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</si>
  <si>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</si>
  <si>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</si>
  <si>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</si>
  <si>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</si>
  <si>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</si>
  <si>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</si>
  <si>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</si>
  <si>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</si>
  <si>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</si>
  <si>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</si>
  <si>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</si>
  <si>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</si>
  <si>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</si>
  <si>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</si>
  <si>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</si>
  <si>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</si>
  <si>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</si>
  <si>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</si>
  <si>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</si>
  <si>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</si>
  <si>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</si>
  <si>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</si>
  <si>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</si>
  <si>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</si>
  <si>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</si>
  <si>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</si>
  <si>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</si>
  <si>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</si>
  <si>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</si>
  <si>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</si>
  <si>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</si>
  <si>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</si>
  <si>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</si>
  <si>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</si>
  <si>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</si>
  <si>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</si>
  <si>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</si>
  <si>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</si>
  <si>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</si>
  <si>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</si>
  <si>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</si>
  <si>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</si>
  <si>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</si>
  <si>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</si>
  <si>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</si>
  <si>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</si>
  <si>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</si>
  <si>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</si>
  <si>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</si>
  <si>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</si>
  <si>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</si>
  <si>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</si>
  <si>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</si>
  <si>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</si>
  <si>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</si>
  <si>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</si>
  <si>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</si>
  <si>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</si>
  <si>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</si>
  <si>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</si>
  <si>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</si>
  <si>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</si>
  <si>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</si>
  <si>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</si>
  <si>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</si>
  <si>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</si>
  <si>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</si>
  <si>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</si>
  <si>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</si>
  <si>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</si>
  <si>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</si>
  <si>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</si>
  <si>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</si>
  <si>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</si>
  <si>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</si>
  <si>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</si>
  <si>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</si>
  <si>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</si>
  <si>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</si>
  <si>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</si>
  <si>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</si>
  <si>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</si>
  <si>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</si>
  <si>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</si>
  <si>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</si>
  <si>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</si>
  <si>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</si>
  <si>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</si>
  <si>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</si>
  <si>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</si>
  <si>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</si>
  <si>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</si>
  <si>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</si>
  <si>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</si>
  <si>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</si>
  <si>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</si>
  <si>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</si>
  <si>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</si>
  <si>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</si>
  <si>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</si>
  <si>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</si>
  <si>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</si>
  <si>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</si>
  <si>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</si>
  <si>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</si>
  <si>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</si>
  <si>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</si>
  <si>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</si>
  <si>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</si>
  <si>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</si>
  <si>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</si>
  <si>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</si>
  <si>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</si>
  <si>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</si>
  <si>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</si>
  <si>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</si>
  <si>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</si>
  <si>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</si>
  <si>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</si>
  <si>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</si>
  <si>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</si>
  <si>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</si>
  <si>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</si>
  <si>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</si>
  <si>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</si>
  <si>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</si>
  <si>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</si>
  <si>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</si>
  <si>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</si>
  <si>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</si>
  <si>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</si>
  <si>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</si>
  <si>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</si>
  <si>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</si>
  <si>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</si>
  <si>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</si>
  <si>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</si>
  <si>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</si>
  <si>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</si>
  <si>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</si>
  <si>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</si>
  <si>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</si>
  <si>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</si>
  <si>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</si>
  <si>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</si>
  <si>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</si>
  <si>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</si>
  <si>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</si>
  <si>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</si>
  <si>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</si>
  <si>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</si>
  <si>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</si>
  <si>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</si>
  <si>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</si>
  <si>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</si>
  <si>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</si>
  <si>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</si>
  <si>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</si>
  <si>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</si>
  <si>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</si>
  <si>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</si>
  <si>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</si>
  <si>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</si>
  <si>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</si>
  <si>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</si>
  <si>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</si>
  <si>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</si>
  <si>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</si>
  <si>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</si>
  <si>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</si>
  <si>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</si>
  <si>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</si>
  <si>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</si>
  <si>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</si>
  <si>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</si>
  <si>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</si>
  <si>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</si>
  <si>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</si>
  <si>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</si>
  <si>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</si>
  <si>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</si>
  <si>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</si>
  <si>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</si>
  <si>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</si>
  <si>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</si>
  <si>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</si>
  <si>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</si>
  <si>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</si>
  <si>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</si>
  <si>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</si>
  <si>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</si>
  <si>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</si>
  <si>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</si>
  <si>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</si>
  <si>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</si>
  <si>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</si>
  <si>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</si>
  <si>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</si>
  <si>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</si>
  <si>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</si>
  <si>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</si>
  <si>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</si>
  <si>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</si>
  <si>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</si>
  <si>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</si>
  <si>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</si>
  <si>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</si>
  <si>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</si>
  <si>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</si>
  <si>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</si>
  <si>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</si>
  <si>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</si>
  <si>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</si>
  <si>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</si>
  <si>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</si>
  <si>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</si>
  <si>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</si>
  <si>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</si>
  <si>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</si>
  <si>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</si>
  <si>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</si>
  <si>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</si>
  <si>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</si>
  <si>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</si>
  <si>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</si>
  <si>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</si>
  <si>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</si>
  <si>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</si>
  <si>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</si>
  <si>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</si>
  <si>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</si>
  <si>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</si>
  <si>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</si>
  <si>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</si>
  <si>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</si>
  <si>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</si>
  <si>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</si>
  <si>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</si>
  <si>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</si>
  <si>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</si>
  <si>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</si>
  <si>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</si>
  <si>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</si>
  <si>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</si>
  <si>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</si>
  <si>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</si>
  <si>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</si>
  <si>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</si>
  <si>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</si>
  <si>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</si>
  <si>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</si>
  <si>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</si>
  <si>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</si>
  <si>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</si>
  <si>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</si>
  <si>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</si>
  <si>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</si>
  <si>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</si>
  <si>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</si>
  <si>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</si>
  <si>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</si>
  <si>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</si>
  <si>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</si>
  <si>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</si>
  <si>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</si>
  <si>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</si>
  <si>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</si>
  <si>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</si>
  <si>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</si>
  <si>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</si>
  <si>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</si>
  <si>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</si>
  <si>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</si>
  <si>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</si>
  <si>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</si>
  <si>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</si>
  <si>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</si>
  <si>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</si>
  <si>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</si>
  <si>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</si>
  <si>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</si>
  <si>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</si>
  <si>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</si>
  <si>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</si>
  <si>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</si>
  <si>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</si>
  <si>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</si>
  <si>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</si>
  <si>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</si>
  <si>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</si>
  <si>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</si>
  <si>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</si>
  <si>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</si>
  <si>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</si>
  <si>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</si>
  <si>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</si>
  <si>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</si>
  <si>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</si>
  <si>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</si>
  <si>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</si>
  <si>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</si>
  <si>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</si>
  <si>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</si>
  <si>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</si>
  <si>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</si>
  <si>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</si>
  <si>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</si>
  <si>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</si>
  <si>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</si>
  <si>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</si>
  <si>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</si>
  <si>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</si>
  <si>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</si>
  <si>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</si>
  <si>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</si>
  <si>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</si>
  <si>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</si>
  <si>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</si>
  <si>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</si>
  <si>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</si>
  <si>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</si>
  <si>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</si>
  <si>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</si>
  <si>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</si>
  <si>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</si>
  <si>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</si>
  <si>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</si>
  <si>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</si>
  <si>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</si>
  <si>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</si>
  <si>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</si>
  <si>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</si>
  <si>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</si>
  <si>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</si>
  <si>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</si>
  <si>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</si>
  <si>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</si>
  <si>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</si>
  <si>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</si>
  <si>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</si>
  <si>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</si>
  <si>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</si>
  <si>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</si>
  <si>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</si>
  <si>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</si>
  <si>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</si>
  <si>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</si>
  <si>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</si>
  <si>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</si>
  <si>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</si>
  <si>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</si>
  <si>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</si>
  <si>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</si>
  <si>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</si>
  <si>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</si>
  <si>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</si>
  <si>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</si>
  <si>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</si>
  <si>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</si>
  <si>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</si>
  <si>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</si>
  <si>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</si>
  <si>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</si>
  <si>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</si>
  <si>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</si>
  <si>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</si>
  <si>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</si>
  <si>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</si>
  <si>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</si>
  <si>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</si>
  <si>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</si>
  <si>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</si>
  <si>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</si>
  <si>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</si>
  <si>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</si>
  <si>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</si>
  <si>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</si>
  <si>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</si>
  <si>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</si>
  <si>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</si>
  <si>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</si>
  <si>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</si>
  <si>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</si>
  <si>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</si>
  <si>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</si>
  <si>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</si>
  <si>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</si>
  <si>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</si>
  <si>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</si>
  <si>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</si>
  <si>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</si>
  <si>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</si>
  <si>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</si>
  <si>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</si>
  <si>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</si>
  <si>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</si>
  <si>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</si>
  <si>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</si>
  <si>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</si>
  <si>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</si>
  <si>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</si>
  <si>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</si>
  <si>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</si>
  <si>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</si>
  <si>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</si>
  <si>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</si>
  <si>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</si>
  <si>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</si>
  <si>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</si>
  <si>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</si>
  <si>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</si>
  <si>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</si>
  <si>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</si>
  <si>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</si>
  <si>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</si>
  <si>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</si>
  <si>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</si>
  <si>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</si>
  <si>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</si>
  <si>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</si>
  <si>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</si>
  <si>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</si>
  <si>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</si>
  <si>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</si>
  <si>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</si>
  <si>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</si>
  <si>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</si>
  <si>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</si>
  <si>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</si>
  <si>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</si>
  <si>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</si>
  <si>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</si>
  <si>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</si>
  <si>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</si>
  <si>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</si>
  <si>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</si>
  <si>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</si>
  <si>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</si>
  <si>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</si>
  <si>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</si>
  <si>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</si>
  <si>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</si>
  <si>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</si>
  <si>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</si>
  <si>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</si>
  <si>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</si>
  <si>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</si>
  <si>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</si>
  <si>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</si>
  <si>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</si>
  <si>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</si>
  <si>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</si>
  <si>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</si>
  <si>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</si>
  <si>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</si>
  <si>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</si>
  <si>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</si>
  <si>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</si>
  <si>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</si>
  <si>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</si>
  <si>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</si>
  <si>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</si>
  <si>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</si>
  <si>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</si>
  <si>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</si>
  <si>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</si>
  <si>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</si>
  <si>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</si>
  <si>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</si>
  <si>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</si>
  <si>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</si>
  <si>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</si>
  <si>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</si>
  <si>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</si>
  <si>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</si>
  <si>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</si>
  <si>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</si>
  <si>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</si>
  <si>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</si>
  <si>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</si>
  <si>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</si>
  <si>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</si>
  <si>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</si>
  <si>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</si>
  <si>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</si>
  <si>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</si>
  <si>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</si>
  <si>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</si>
  <si>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</si>
  <si>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</si>
  <si>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</si>
  <si>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</si>
  <si>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</si>
  <si>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</si>
  <si>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</si>
  <si>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</si>
  <si>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</si>
  <si>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</si>
  <si>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</si>
  <si>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</si>
  <si>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</si>
  <si>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</si>
  <si>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</si>
  <si>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</si>
  <si>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</si>
  <si>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</si>
  <si>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</si>
  <si>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</si>
  <si>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</si>
  <si>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</si>
  <si>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</si>
  <si>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</si>
  <si>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</si>
  <si>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</si>
  <si>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</si>
  <si>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</si>
  <si>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</si>
  <si>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</si>
  <si>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</si>
  <si>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</si>
  <si>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</si>
  <si>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</si>
  <si>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</si>
  <si>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</si>
  <si>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</si>
  <si>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</si>
  <si>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</si>
  <si>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</si>
  <si>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</si>
  <si>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</si>
  <si>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</si>
  <si>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</si>
  <si>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</si>
  <si>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</si>
  <si>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</si>
  <si>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</si>
  <si>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</si>
  <si>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</si>
  <si>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</si>
  <si>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</si>
  <si>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</si>
  <si>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</si>
  <si>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</si>
  <si>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</si>
  <si>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</si>
  <si>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</si>
  <si>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</si>
  <si>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</si>
  <si>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</si>
  <si>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</si>
  <si>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</si>
  <si>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</si>
  <si>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</si>
  <si>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</si>
  <si>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</si>
  <si>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</si>
  <si>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</si>
  <si>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</si>
  <si>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</si>
  <si>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</si>
  <si>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</si>
  <si>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</si>
  <si>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</si>
  <si>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</si>
  <si>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</si>
  <si>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</si>
  <si>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</si>
  <si>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</si>
  <si>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</si>
  <si>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</si>
  <si>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</si>
  <si>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</si>
  <si>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</si>
  <si>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</si>
  <si>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</si>
  <si>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</si>
  <si>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</si>
  <si>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</si>
  <si>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</si>
  <si>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</si>
  <si>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</si>
  <si>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</si>
  <si>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</si>
  <si>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</si>
  <si>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</si>
  <si>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</si>
  <si>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</si>
  <si>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</si>
  <si>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</si>
  <si>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</si>
  <si>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</si>
  <si>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</si>
  <si>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</si>
  <si>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</si>
  <si>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</si>
  <si>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</si>
  <si>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</si>
  <si>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</si>
  <si>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</si>
  <si>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</si>
  <si>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</si>
  <si>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</si>
  <si>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</si>
  <si>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</si>
  <si>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</si>
  <si>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</si>
  <si>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</si>
  <si>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</si>
  <si>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</si>
  <si>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</si>
  <si>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</si>
  <si>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</si>
  <si>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</si>
  <si>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</si>
  <si>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</si>
  <si>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</si>
  <si>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</si>
  <si>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</si>
  <si>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</si>
  <si>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</si>
  <si>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</si>
  <si>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</si>
  <si>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</si>
  <si>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</si>
  <si>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</si>
  <si>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</si>
  <si>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</si>
  <si>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</si>
  <si>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</si>
  <si>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</si>
  <si>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</si>
  <si>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</si>
  <si>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</si>
  <si>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</si>
  <si>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</si>
  <si>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</si>
  <si>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</si>
  <si>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</si>
  <si>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</si>
  <si>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</si>
  <si>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</si>
  <si>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</si>
  <si>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</si>
  <si>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</si>
  <si>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</si>
  <si>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</si>
  <si>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</si>
  <si>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</si>
  <si>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</si>
  <si>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</si>
  <si>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</si>
  <si>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</si>
  <si>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</si>
  <si>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</si>
  <si>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</si>
  <si>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</si>
  <si>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</si>
  <si>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</si>
  <si>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</si>
  <si>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</si>
  <si>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</si>
  <si>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</si>
  <si>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</si>
  <si>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</si>
  <si>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</si>
  <si>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</si>
  <si>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</si>
  <si>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</si>
  <si>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</si>
  <si>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</si>
  <si>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</si>
  <si>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</si>
  <si>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</si>
  <si>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</si>
  <si>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</si>
  <si>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</si>
  <si>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</si>
  <si>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</si>
  <si>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</si>
  <si>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</si>
  <si>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</si>
  <si>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</si>
  <si>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</si>
  <si>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</si>
  <si>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</si>
  <si>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</si>
  <si>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</si>
  <si>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</si>
  <si>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</si>
  <si>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</si>
  <si>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</si>
  <si>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</si>
  <si>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</si>
  <si>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</si>
  <si>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</si>
  <si>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</si>
  <si>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</si>
  <si>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</si>
  <si>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</si>
  <si>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</si>
  <si>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</si>
  <si>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</si>
  <si>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</si>
  <si>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</si>
  <si>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</si>
  <si>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</si>
  <si>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</si>
  <si>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</si>
  <si>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</si>
  <si>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</si>
  <si>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</si>
  <si>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</si>
  <si>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</si>
  <si>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</si>
  <si>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</si>
  <si>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</si>
  <si>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</si>
  <si>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</si>
  <si>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</si>
  <si>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</si>
  <si>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</si>
  <si>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</si>
  <si>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</si>
  <si>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</si>
  <si>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</si>
  <si>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</si>
  <si>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</si>
  <si>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</si>
  <si>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</si>
  <si>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</si>
  <si>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</si>
  <si>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</si>
  <si>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</si>
  <si>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</si>
  <si>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</si>
  <si>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</si>
  <si>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</si>
  <si>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</si>
  <si>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</si>
  <si>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</si>
  <si>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</si>
  <si>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</si>
  <si>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</si>
  <si>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</si>
  <si>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</si>
  <si>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</si>
  <si>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</si>
  <si>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</si>
  <si>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</si>
  <si>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</si>
  <si>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</si>
  <si>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</si>
  <si>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</si>
  <si>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</si>
  <si>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</si>
  <si>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</si>
  <si>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</si>
  <si>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</si>
  <si>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</si>
  <si>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</si>
  <si>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</si>
  <si>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</si>
  <si>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</si>
  <si>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</si>
  <si>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</si>
  <si>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</si>
  <si>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</si>
  <si>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</si>
  <si>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</si>
  <si>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</si>
  <si>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</si>
  <si>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</si>
  <si>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</si>
  <si>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</si>
  <si>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</si>
  <si>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</si>
  <si>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</si>
  <si>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</si>
  <si>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</si>
  <si>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</si>
  <si>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</si>
  <si>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</si>
  <si>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</si>
  <si>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</si>
  <si>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</si>
  <si>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</si>
  <si>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</si>
  <si>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</si>
  <si>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</si>
  <si>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</si>
  <si>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</si>
  <si>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</si>
  <si>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</si>
  <si>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</si>
  <si>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</si>
  <si>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</si>
  <si>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</si>
  <si>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</si>
  <si>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</si>
  <si>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</si>
  <si>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</si>
  <si>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</si>
  <si>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</si>
  <si>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</si>
  <si>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</si>
  <si>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</si>
  <si>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</si>
  <si>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</si>
  <si>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</si>
  <si>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</si>
  <si>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</si>
  <si>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</si>
  <si>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</si>
  <si>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</si>
  <si>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</si>
  <si>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</si>
  <si>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</si>
  <si>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</si>
  <si>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</si>
  <si>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</si>
  <si>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</si>
  <si>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</si>
  <si>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</si>
  <si>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</si>
  <si>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</si>
  <si>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</si>
  <si>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</si>
  <si>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</si>
  <si>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</si>
  <si>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</si>
  <si>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</si>
  <si>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</si>
  <si>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</si>
  <si>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</si>
  <si>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</si>
  <si>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</si>
  <si>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</si>
  <si>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</si>
  <si>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</si>
  <si>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</si>
  <si>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</si>
  <si>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</si>
  <si>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</si>
  <si>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</si>
  <si>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</si>
  <si>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</si>
  <si>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</si>
  <si>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</si>
  <si>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</si>
  <si>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</si>
  <si>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</si>
  <si>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</si>
  <si>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</si>
  <si>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</si>
  <si>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</si>
  <si>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</si>
  <si>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</si>
  <si>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</si>
  <si>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</si>
  <si>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</si>
  <si>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</si>
  <si>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</si>
  <si>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</si>
  <si>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</si>
  <si>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</si>
  <si>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</si>
  <si>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</si>
  <si>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</si>
  <si>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</si>
  <si>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</si>
  <si>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</si>
  <si>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</si>
  <si>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</si>
  <si>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</si>
  <si>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</si>
  <si>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</si>
  <si>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</si>
  <si>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</si>
  <si>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</si>
  <si>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</si>
  <si>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</si>
  <si>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</si>
  <si>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</si>
  <si>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</si>
  <si>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</si>
  <si>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</si>
  <si>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</si>
  <si>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</si>
  <si>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</si>
  <si>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</si>
  <si>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</si>
  <si>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</si>
  <si>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</si>
  <si>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</si>
  <si>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</si>
  <si>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</si>
  <si>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</si>
  <si>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</si>
  <si>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</si>
  <si>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</si>
  <si>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</si>
  <si>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</si>
  <si>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</si>
  <si>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</si>
  <si>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</si>
  <si>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</si>
  <si>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</si>
  <si>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</si>
  <si>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</si>
  <si>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</si>
  <si>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</si>
  <si>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</si>
  <si>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</si>
  <si>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</si>
  <si>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</si>
  <si>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</si>
  <si>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</si>
  <si>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</si>
  <si>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</si>
  <si>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</si>
  <si>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</si>
  <si>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</si>
  <si>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</si>
  <si>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</si>
  <si>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</si>
  <si>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</si>
  <si>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</si>
  <si>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</si>
  <si>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</si>
  <si>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</si>
  <si>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</si>
  <si>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</si>
  <si>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</si>
  <si>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</si>
  <si>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</si>
  <si>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</si>
  <si>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</si>
  <si>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</si>
  <si>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</si>
  <si>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</si>
  <si>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</si>
  <si>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</si>
  <si>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</si>
  <si>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</si>
  <si>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</si>
  <si>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</si>
  <si>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</si>
  <si>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</si>
  <si>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</si>
  <si>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</si>
  <si>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</si>
  <si>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</si>
  <si>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</si>
  <si>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</si>
  <si>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</si>
  <si>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</si>
  <si>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</si>
  <si>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</si>
  <si>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</si>
  <si>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</si>
  <si>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</si>
  <si>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</si>
  <si>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</si>
  <si>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</si>
  <si>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</si>
  <si>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</si>
  <si>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</si>
  <si>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</si>
  <si>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</si>
  <si>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</si>
  <si>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</si>
  <si>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</si>
  <si>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</si>
  <si>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</si>
  <si>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</si>
  <si>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</si>
  <si>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</si>
  <si>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</si>
  <si>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</si>
  <si>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</si>
  <si>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</si>
  <si>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</si>
  <si>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</si>
  <si>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</si>
  <si>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</si>
  <si>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</si>
  <si>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</si>
  <si>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</si>
  <si>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</si>
  <si>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</si>
  <si>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</si>
  <si>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</si>
  <si>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</si>
  <si>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</si>
  <si>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</si>
  <si>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</si>
  <si>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</si>
  <si>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</si>
  <si>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</si>
  <si>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</si>
  <si>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</si>
  <si>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</si>
  <si>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</si>
  <si>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</si>
  <si>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</si>
  <si>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</si>
  <si>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</si>
  <si>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</si>
  <si>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</si>
  <si>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</si>
  <si>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</si>
  <si>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</si>
  <si>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</si>
  <si>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</si>
  <si>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</si>
  <si>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</si>
  <si>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</si>
  <si>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</si>
  <si>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</si>
  <si>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</si>
  <si>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</si>
  <si>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</si>
  <si>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</si>
  <si>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</si>
  <si>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</si>
  <si>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</si>
  <si>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</si>
  <si>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</si>
  <si>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</si>
  <si>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</si>
  <si>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</si>
  <si>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</si>
  <si>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</si>
  <si>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</si>
  <si>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</si>
  <si>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</si>
  <si>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</si>
  <si>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</si>
  <si>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</si>
  <si>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</si>
  <si>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</si>
  <si>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</si>
  <si>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</si>
  <si>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</si>
  <si>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</si>
  <si>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</si>
  <si>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</si>
  <si>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</si>
  <si>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</si>
  <si>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</si>
  <si>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</si>
  <si>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</si>
  <si>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</si>
  <si>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</si>
  <si>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</si>
  <si>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</si>
  <si>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</si>
  <si>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</si>
  <si>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</si>
  <si>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</si>
  <si>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</si>
  <si>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</si>
  <si>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</si>
  <si>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</si>
  <si>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</si>
  <si>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</si>
  <si>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</si>
  <si>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</si>
  <si>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</si>
  <si>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</si>
  <si>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</si>
  <si>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</si>
  <si>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</si>
  <si>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</si>
  <si>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</si>
  <si>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</si>
  <si>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</si>
  <si>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</si>
  <si>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</si>
  <si>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</si>
  <si>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</si>
  <si>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</si>
  <si>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</si>
  <si>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</si>
  <si>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</si>
  <si>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</si>
  <si>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</si>
  <si>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</si>
  <si>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</si>
  <si>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</si>
  <si>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</si>
  <si>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</si>
  <si>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</si>
  <si>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</si>
  <si>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</si>
  <si>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</si>
  <si>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</si>
  <si>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</si>
  <si>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</si>
  <si>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</si>
  <si>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</si>
  <si>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</si>
  <si>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</si>
  <si>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</si>
  <si>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</si>
  <si>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</si>
  <si>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</si>
  <si>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</si>
  <si>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</si>
  <si>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</si>
  <si>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</si>
  <si>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</si>
  <si>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</si>
  <si>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</si>
  <si>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</si>
  <si>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</si>
  <si>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地上</t>
  </si>
  <si>
    <t>商业</t>
  </si>
  <si>
    <t>是</t>
  </si>
  <si>
    <t>押一</t>
  </si>
  <si>
    <t>收益法</t>
  </si>
  <si>
    <t>成本法</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</si>
  <si>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</si>
  <si>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</si>
  <si>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</si>
  <si>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</si>
  <si>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</si>
  <si>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</si>
  <si>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</si>
  <si>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</si>
  <si>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</si>
  <si>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</si>
  <si>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</si>
  <si>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</si>
  <si>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溢价率</t>
  </si>
  <si>
    <t>出让年限</t>
  </si>
  <si>
    <t>稠州北路与大通路交叉口东南侧地块</t>
  </si>
  <si>
    <t>金华市</t>
  </si>
  <si>
    <t>商业/办公用地</t>
  </si>
  <si>
    <t>挂牌</t>
  </si>
  <si>
    <t>≥1.5且≤1.8</t>
  </si>
  <si>
    <t>2017-06-21</t>
  </si>
  <si>
    <t>义乌市城乡新社区投资建设集团有限公司</t>
  </si>
  <si>
    <t>40年</t>
  </si>
  <si>
    <t>廿三里街道皇冠花园北侧</t>
  </si>
  <si>
    <t>1.5≤且≤2</t>
  </si>
  <si>
    <t>2016-11-11</t>
  </si>
  <si>
    <t>义乌市易富置业有限公司</t>
  </si>
  <si>
    <t>义乌市模具科技交易中心A01地块</t>
  </si>
  <si>
    <t>2.1≤且≤2.6</t>
  </si>
  <si>
    <t>2016-11-07</t>
  </si>
  <si>
    <t>浙江义乌农村经济发展有限公司</t>
  </si>
  <si>
    <t>义乌市模具科技交易中心A02地块</t>
  </si>
  <si>
    <t>国际商贸城金融商务区一期01-04地块</t>
  </si>
  <si>
    <t>≥10且≤11</t>
  </si>
  <si>
    <t>2016-09-15</t>
  </si>
  <si>
    <t>上海阜兴金融控股(集团)有限公司</t>
  </si>
  <si>
    <t>国际商贸城金融商务区一期01-05地块</t>
  </si>
  <si>
    <t>≥8且≤9</t>
  </si>
  <si>
    <t>义乌市望道时光文化旅游休闲度假区2地块</t>
  </si>
  <si>
    <t>≥1.5且≤2</t>
  </si>
  <si>
    <t>2016-08-05</t>
  </si>
  <si>
    <t>义乌市青旅望道文化旅游开发有限公司</t>
  </si>
  <si>
    <t>义乌经济技术开发区中心区B-2地块</t>
  </si>
  <si>
    <t>≥4且≤4.5</t>
  </si>
  <si>
    <t>2016-07-28</t>
  </si>
  <si>
    <t>广州市侨建投资有限公司</t>
  </si>
  <si>
    <t>国际商贸城稠州北路10诚信大道11地块</t>
  </si>
  <si>
    <t>≥3.7且≤4.6</t>
  </si>
  <si>
    <t>2016-03-07</t>
  </si>
  <si>
    <t>浙江恒风集团有限公司</t>
  </si>
  <si>
    <t>≥1.5且≤1.7</t>
  </si>
  <si>
    <t>2016-02-06</t>
  </si>
  <si>
    <t>国际商贸城稠州北路9地块</t>
  </si>
  <si>
    <t>≥2.5且≤3</t>
  </si>
  <si>
    <t>2016-02-04</t>
  </si>
  <si>
    <t>义乌市市场发展集团有限公司</t>
  </si>
  <si>
    <t>≥2.5且≤3.4</t>
  </si>
  <si>
    <t>2016-02-03</t>
  </si>
  <si>
    <t>浙江中国小商品城集团股份有限公司</t>
  </si>
  <si>
    <t>国际商贸城金融商务区一期03-25地块</t>
  </si>
  <si>
    <t>≥6.5,≤7.5</t>
  </si>
  <si>
    <t>2015-12-28</t>
  </si>
  <si>
    <t>义乌宇业投资有限公司</t>
  </si>
  <si>
    <t>新社区产业用房城西香溪A地块</t>
  </si>
  <si>
    <t>≥1.5,≤2.5</t>
  </si>
  <si>
    <t>2015-12-09</t>
  </si>
  <si>
    <t>沪昆高速以西、义浦二线以北</t>
  </si>
  <si>
    <t>≥1.5,≤2.4</t>
  </si>
  <si>
    <t>2015-10-19</t>
  </si>
  <si>
    <t>佛堂镇张宅东北侧地块</t>
  </si>
  <si>
    <t>≥0.4,≤1</t>
  </si>
  <si>
    <t>2015-09-17</t>
  </si>
  <si>
    <t>义乌经济技术开发区中心区B-6地块</t>
  </si>
  <si>
    <t>≥5.5,≤6.5</t>
  </si>
  <si>
    <t>2015-07-27</t>
  </si>
  <si>
    <t>义乌经济技术开发区开发有限公司</t>
  </si>
  <si>
    <t>佛堂镇渡磬南路与佛堂大道交叉口地块</t>
  </si>
  <si>
    <t>大于或等于2并且小于或等于2.5</t>
  </si>
  <si>
    <t>2015-01-29</t>
  </si>
  <si>
    <t>义乌翔云置业有限公司</t>
  </si>
  <si>
    <t>金融商务区03-26地块</t>
  </si>
  <si>
    <t>≥7.5</t>
  </si>
  <si>
    <t>2014-12-29</t>
  </si>
  <si>
    <t>义乌市思达投资有限公司</t>
  </si>
  <si>
    <t>新社区集聚产业用房稠城街道下余新村地块</t>
  </si>
  <si>
    <t>≥3</t>
  </si>
  <si>
    <t>2014-11-12</t>
  </si>
  <si>
    <t>经济技术开发区</t>
  </si>
  <si>
    <t>≥6.5</t>
  </si>
  <si>
    <t>2014-09-29</t>
  </si>
  <si>
    <t>成龙建设集团有限公司</t>
  </si>
  <si>
    <t>≥5.5</t>
  </si>
  <si>
    <t>金绣集团有限公司</t>
  </si>
  <si>
    <t>上溪镇</t>
  </si>
  <si>
    <t>≥1.5</t>
  </si>
  <si>
    <t>28年</t>
  </si>
  <si>
    <t>≥8</t>
  </si>
  <si>
    <t>三鼎控股集团有限公司</t>
  </si>
  <si>
    <t>经济技术开发区荷花街西北侧</t>
  </si>
  <si>
    <t>≥1.6</t>
  </si>
  <si>
    <t>2014-08-22</t>
  </si>
  <si>
    <t>义乌市海之纳生物工程有限公司</t>
  </si>
  <si>
    <t>50年</t>
  </si>
  <si>
    <t>佛堂镇双峰路北侧A地块</t>
  </si>
  <si>
    <t>2014-08-13</t>
  </si>
  <si>
    <t>浙江金傲鞋业有限公司</t>
  </si>
  <si>
    <t>佛堂镇上傅西侧C地块</t>
  </si>
  <si>
    <t>浙江丽芙秀化妆品有限公司</t>
  </si>
  <si>
    <t>佛堂镇盘塘双峰路南侧B地块</t>
  </si>
  <si>
    <t>义乌市欧雅化妆品有限公司</t>
  </si>
  <si>
    <t>佛堂镇双峰路北侧C地块</t>
  </si>
  <si>
    <t>浙江歌绿塑料科技有限公司</t>
  </si>
  <si>
    <t>佛堂镇江南街南侧</t>
  </si>
  <si>
    <t>≥0.2</t>
  </si>
  <si>
    <t>2014-07-21</t>
  </si>
  <si>
    <t>中国石油化工股份有限公司浙江义乌石油分公司</t>
  </si>
  <si>
    <t>其他情况</t>
    <phoneticPr fontId="4" type="noConversion"/>
  </si>
  <si>
    <t>商业用地、商务用地</t>
    <phoneticPr fontId="4" type="noConversion"/>
  </si>
  <si>
    <t>40</t>
    <phoneticPr fontId="46" type="noConversion"/>
  </si>
  <si>
    <t>一般</t>
  </si>
  <si>
    <t>国际商贸城稠州北路11、12、13地块</t>
    <phoneticPr fontId="206" type="noConversion"/>
  </si>
  <si>
    <t>国际商贸城稠州北路4、5、6地块</t>
    <phoneticPr fontId="206" type="noConversion"/>
  </si>
  <si>
    <t>义乌市交通置业有限公司</t>
    <phoneticPr fontId="206" type="noConversion"/>
  </si>
  <si>
    <t>较好</t>
  </si>
  <si>
    <t>六通</t>
  </si>
  <si>
    <t>多面临街</t>
  </si>
  <si>
    <r>
      <rPr>
        <sz val="11"/>
        <color indexed="8"/>
        <rFont val="仿宋_GB2312"/>
        <family val="3"/>
        <charset val="134"/>
      </rPr>
      <t>高速路</t>
    </r>
    <phoneticPr fontId="4" type="noConversion"/>
  </si>
  <si>
    <r>
      <rPr>
        <sz val="11"/>
        <color indexed="8"/>
        <rFont val="仿宋_GB2312"/>
        <family val="3"/>
        <charset val="134"/>
      </rPr>
      <t>快速路</t>
    </r>
    <phoneticPr fontId="4" type="noConversion"/>
  </si>
  <si>
    <r>
      <rPr>
        <sz val="11"/>
        <color indexed="8"/>
        <rFont val="仿宋_GB2312"/>
        <family val="3"/>
        <charset val="134"/>
      </rPr>
      <t>主干道</t>
    </r>
    <phoneticPr fontId="4" type="noConversion"/>
  </si>
  <si>
    <r>
      <rPr>
        <sz val="11"/>
        <color indexed="8"/>
        <rFont val="仿宋_GB2312"/>
        <family val="3"/>
        <charset val="134"/>
      </rPr>
      <t>次干道</t>
    </r>
    <phoneticPr fontId="4" type="noConversion"/>
  </si>
  <si>
    <r>
      <rPr>
        <sz val="11"/>
        <color indexed="8"/>
        <rFont val="仿宋_GB2312"/>
        <family val="3"/>
        <charset val="134"/>
      </rPr>
      <t>支路</t>
    </r>
    <phoneticPr fontId="4" type="noConversion"/>
  </si>
  <si>
    <r>
      <rPr>
        <sz val="11"/>
        <rFont val="仿宋_GB2312"/>
        <family val="3"/>
        <charset val="134"/>
      </rPr>
      <t>规则</t>
    </r>
    <phoneticPr fontId="4" type="noConversion"/>
  </si>
  <si>
    <t>较规则</t>
    <phoneticPr fontId="4" type="noConversion"/>
  </si>
  <si>
    <r>
      <rPr>
        <sz val="11"/>
        <rFont val="仿宋_GB2312"/>
        <family val="3"/>
        <charset val="134"/>
      </rPr>
      <t>较不规则</t>
    </r>
    <phoneticPr fontId="4" type="noConversion"/>
  </si>
  <si>
    <r>
      <rPr>
        <sz val="11"/>
        <rFont val="仿宋_GB2312"/>
        <family val="3"/>
        <charset val="134"/>
      </rPr>
      <t>不规则</t>
    </r>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</si>
  <si>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</si>
  <si>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</si>
  <si>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</si>
  <si>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</si>
  <si>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</si>
  <si>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</si>
  <si>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</si>
  <si>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</si>
  <si>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</si>
  <si>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</si>
  <si>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</si>
  <si>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</si>
  <si>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</si>
  <si>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次干道</t>
  </si>
  <si>
    <t>比例较适宜</t>
  </si>
  <si>
    <t>六通一平</t>
  </si>
  <si>
    <t>较规则</t>
  </si>
  <si>
    <t>五通一平</t>
  </si>
  <si>
    <t>双面临街</t>
  </si>
  <si>
    <t>已包含在土地取得成本中</t>
  </si>
  <si>
    <t>商业项目</t>
  </si>
  <si>
    <t>商场</t>
  </si>
  <si>
    <t>现房</t>
  </si>
  <si>
    <t>通路</t>
  </si>
  <si>
    <t>通电</t>
  </si>
  <si>
    <t>通讯</t>
  </si>
  <si>
    <t>通上水</t>
  </si>
  <si>
    <t>通下水</t>
  </si>
  <si>
    <t>燃气</t>
  </si>
  <si>
    <t>平整</t>
  </si>
  <si>
    <t>出让金+开发费</t>
  </si>
  <si>
    <t>情况3</t>
  </si>
  <si>
    <t>核定资产</t>
  </si>
  <si>
    <t>房地产市场价值</t>
  </si>
  <si>
    <t>标准厂房</t>
  </si>
  <si>
    <t>工程进度</t>
  </si>
  <si>
    <t>收益法 (2)</t>
    <phoneticPr fontId="18" type="noConversion"/>
  </si>
  <si>
    <t>已部分缴纳</t>
  </si>
  <si>
    <t>钢</t>
  </si>
  <si>
    <t>比较法</t>
  </si>
  <si>
    <t>在建</t>
  </si>
  <si>
    <t>项目全部</t>
  </si>
  <si>
    <t>祥福镇高楼村集体、2组、6组</t>
    <phoneticPr fontId="46" type="noConversion"/>
  </si>
  <si>
    <t>香岛大道以南、鸿泰大道以北</t>
    <phoneticPr fontId="46" type="noConversion"/>
  </si>
  <si>
    <t>货运大道以北、散货东路以东</t>
    <phoneticPr fontId="46" type="noConversion"/>
  </si>
  <si>
    <t>工业用地</t>
  </si>
  <si>
    <t>工业用地</t>
    <phoneticPr fontId="206" type="noConversion"/>
  </si>
  <si>
    <t>单位面积地价</t>
  </si>
  <si>
    <t>工业用地</t>
    <phoneticPr fontId="48" type="noConversion"/>
  </si>
  <si>
    <t>祥福镇高楼村集体、2组、6组</t>
    <phoneticPr fontId="46" type="noConversion"/>
  </si>
  <si>
    <t>香岛大道以南、鸿泰大道以北</t>
    <phoneticPr fontId="46" type="noConversion"/>
  </si>
  <si>
    <t>货运大道以北、散货东路以东</t>
    <phoneticPr fontId="46" type="noConversion"/>
  </si>
  <si>
    <t>较差</t>
  </si>
  <si>
    <t>单面临街</t>
  </si>
  <si>
    <t>支路</t>
  </si>
  <si>
    <t>主干道</t>
  </si>
  <si>
    <t>其他省市系数</t>
  </si>
  <si>
    <t>二期3#楼</t>
  </si>
  <si>
    <t>二期3#楼</t>
    <phoneticPr fontId="4" type="noConversion"/>
  </si>
  <si>
    <t>二期5#楼</t>
  </si>
  <si>
    <t>二期6#楼</t>
  </si>
  <si>
    <t>出让合同</t>
    <phoneticPr fontId="206" type="noConversion"/>
  </si>
  <si>
    <t>土地面积</t>
    <phoneticPr fontId="206" type="noConversion"/>
  </si>
  <si>
    <t>5101132015B01379</t>
    <phoneticPr fontId="206" type="noConversion"/>
  </si>
  <si>
    <t>5101132015B01391</t>
    <phoneticPr fontId="206" type="noConversion"/>
  </si>
  <si>
    <r>
      <t>5</t>
    </r>
    <r>
      <rPr>
        <sz val="11"/>
        <color theme="1"/>
        <rFont val="宋体"/>
        <family val="3"/>
        <charset val="134"/>
        <scheme val="minor"/>
      </rPr>
      <t>101132016B01775</t>
    </r>
    <phoneticPr fontId="206" type="noConversion"/>
  </si>
  <si>
    <r>
      <t>5</t>
    </r>
    <r>
      <rPr>
        <sz val="11"/>
        <color theme="1"/>
        <rFont val="宋体"/>
        <family val="3"/>
        <charset val="134"/>
        <scheme val="minor"/>
      </rPr>
      <t>101132016B01760</t>
    </r>
    <phoneticPr fontId="206" type="noConversion"/>
  </si>
  <si>
    <r>
      <t>青国用（2</t>
    </r>
    <r>
      <rPr>
        <sz val="11"/>
        <color theme="1"/>
        <rFont val="宋体"/>
        <family val="3"/>
        <charset val="134"/>
        <scheme val="minor"/>
      </rPr>
      <t>016）第4511号</t>
    </r>
    <phoneticPr fontId="206" type="noConversion"/>
  </si>
  <si>
    <t>5101132016B01784</t>
    <phoneticPr fontId="206" type="noConversion"/>
  </si>
  <si>
    <r>
      <t>青国用（2016）第4584号</t>
    </r>
    <r>
      <rPr>
        <sz val="11"/>
        <color theme="1"/>
        <rFont val="宋体"/>
        <family val="2"/>
        <charset val="134"/>
        <scheme val="minor"/>
      </rPr>
      <t/>
    </r>
    <phoneticPr fontId="206" type="noConversion"/>
  </si>
  <si>
    <t>5101132015B01385</t>
    <phoneticPr fontId="206" type="noConversion"/>
  </si>
  <si>
    <t>青国用（2016）第292号</t>
    <phoneticPr fontId="206" type="noConversion"/>
  </si>
  <si>
    <t>川（2017）青白江区不动产权第0009826号</t>
    <phoneticPr fontId="206" type="noConversion"/>
  </si>
  <si>
    <t>收益法 (3)</t>
  </si>
  <si>
    <t>收益法 (4)</t>
  </si>
  <si>
    <t>未包含在土地购买价格中</t>
  </si>
  <si>
    <t>部分缴纳</t>
  </si>
  <si>
    <t>假设开发法</t>
  </si>
  <si>
    <t>楼号</t>
    <phoneticPr fontId="4" type="noConversion"/>
  </si>
  <si>
    <t>综合进度</t>
    <phoneticPr fontId="4" type="noConversion"/>
  </si>
  <si>
    <t>合计</t>
    <phoneticPr fontId="4" type="noConversion"/>
  </si>
  <si>
    <t>3、5、6楼</t>
  </si>
  <si>
    <t>3、5、6楼</t>
    <phoneticPr fontId="8" type="noConversion"/>
  </si>
  <si>
    <t>土地面积</t>
  </si>
  <si>
    <t>房地产抵押价值</t>
  </si>
  <si>
    <t>成本比率</t>
  </si>
  <si>
    <t>8号综合楼</t>
    <phoneticPr fontId="4" type="noConversion"/>
  </si>
  <si>
    <t>9号门卫</t>
    <phoneticPr fontId="4" type="noConversion"/>
  </si>
  <si>
    <t>10号食堂</t>
    <phoneticPr fontId="4" type="noConversion"/>
  </si>
  <si>
    <t>11号门卫</t>
    <phoneticPr fontId="4" type="noConversion"/>
  </si>
  <si>
    <t>合计</t>
    <phoneticPr fontId="4" type="noConversion"/>
  </si>
  <si>
    <t>6号地下</t>
    <phoneticPr fontId="4" type="noConversion"/>
  </si>
</sst>
</file>

<file path=xl/styles.xml><?xml version="1.0" encoding="utf-8"?>
<styleSheet xmlns="http://schemas.openxmlformats.org/spreadsheetml/2006/main">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sz val="14"/>
      <color indexed="8"/>
      <name val="Arial"/>
      <family val="2"/>
    </font>
    <font>
      <b/>
      <sz val="11"/>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43" fontId="258" fillId="0" borderId="0" applyFont="0" applyFill="0" applyBorder="0" applyAlignment="0" applyProtection="0">
      <alignment vertical="center"/>
    </xf>
  </cellStyleXfs>
  <cellXfs count="3778">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76" fillId="6" borderId="9" xfId="0" applyNumberFormat="1" applyFont="1" applyFill="1" applyBorder="1" applyAlignment="1" applyProtection="1">
      <alignment horizontal="center" vertical="center" wrapText="1"/>
      <protection locked="0"/>
    </xf>
    <xf numFmtId="43" fontId="0" fillId="0" borderId="1" xfId="13" applyFont="1" applyFill="1" applyBorder="1" applyAlignment="1" applyProtection="1">
      <alignment horizontal="center" vertical="center"/>
      <protection locked="0"/>
    </xf>
    <xf numFmtId="0" fontId="133" fillId="0" borderId="0" xfId="0" applyFont="1" applyAlignment="1"/>
    <xf numFmtId="0" fontId="69" fillId="6" borderId="7" xfId="0" applyNumberFormat="1" applyFont="1" applyFill="1" applyBorder="1" applyAlignment="1" applyProtection="1">
      <alignment horizontal="center" vertical="center" wrapText="1"/>
      <protection locked="0"/>
    </xf>
    <xf numFmtId="0" fontId="113" fillId="0" borderId="2"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24" xfId="0" applyNumberFormat="1" applyFont="1" applyFill="1" applyBorder="1" applyAlignment="1" applyProtection="1">
      <alignment horizontal="center" vertical="center" wrapText="1"/>
      <protection locked="0"/>
    </xf>
    <xf numFmtId="0" fontId="221" fillId="0" borderId="44" xfId="0" applyNumberFormat="1" applyFont="1" applyFill="1" applyBorder="1" applyAlignment="1" applyProtection="1">
      <alignment horizontal="center" vertical="center" wrapText="1"/>
      <protection locked="0"/>
    </xf>
    <xf numFmtId="0" fontId="113" fillId="0" borderId="44" xfId="0" applyNumberFormat="1" applyFont="1" applyFill="1" applyBorder="1" applyAlignment="1" applyProtection="1">
      <alignment horizontal="center" vertical="center" wrapText="1"/>
      <protection locked="0"/>
    </xf>
    <xf numFmtId="0" fontId="158" fillId="5" borderId="34" xfId="0" applyNumberFormat="1" applyFont="1" applyFill="1" applyBorder="1" applyAlignment="1" applyProtection="1">
      <alignment horizontal="center" vertical="center" wrapText="1"/>
    </xf>
    <xf numFmtId="0" fontId="158" fillId="5" borderId="67" xfId="0" applyNumberFormat="1" applyFont="1" applyFill="1" applyBorder="1" applyAlignment="1" applyProtection="1">
      <alignment horizontal="center" vertical="center" wrapText="1"/>
    </xf>
    <xf numFmtId="0" fontId="189" fillId="16" borderId="24" xfId="0" applyFont="1" applyFill="1" applyBorder="1" applyAlignment="1" applyProtection="1">
      <alignment horizontal="center" vertical="center"/>
      <protection locked="0"/>
    </xf>
    <xf numFmtId="0" fontId="75" fillId="16" borderId="23" xfId="0" applyNumberFormat="1" applyFont="1" applyFill="1" applyBorder="1" applyAlignment="1" applyProtection="1">
      <alignment horizontal="center" vertical="center" wrapText="1"/>
      <protection locked="0"/>
    </xf>
    <xf numFmtId="0" fontId="158" fillId="5" borderId="24" xfId="0" applyNumberFormat="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177" fontId="259" fillId="6" borderId="23" xfId="1" applyNumberFormat="1" applyFont="1" applyFill="1" applyBorder="1" applyAlignment="1" applyProtection="1">
      <alignment horizontal="center" vertical="center"/>
    </xf>
    <xf numFmtId="184" fontId="259" fillId="6" borderId="1" xfId="0" applyNumberFormat="1" applyFont="1" applyFill="1" applyBorder="1" applyAlignment="1" applyProtection="1">
      <alignment horizontal="center" vertical="center"/>
    </xf>
    <xf numFmtId="179" fontId="89" fillId="6" borderId="1" xfId="1" applyNumberFormat="1" applyFont="1" applyFill="1" applyBorder="1" applyAlignment="1" applyProtection="1">
      <alignment horizontal="center" vertical="center"/>
    </xf>
    <xf numFmtId="180" fontId="89" fillId="6" borderId="1" xfId="1" applyNumberFormat="1" applyFont="1" applyFill="1" applyBorder="1" applyAlignment="1" applyProtection="1">
      <alignment horizontal="center" vertical="center"/>
    </xf>
    <xf numFmtId="181" fontId="89" fillId="17" borderId="1" xfId="0" applyNumberFormat="1" applyFont="1" applyFill="1" applyBorder="1" applyAlignment="1" applyProtection="1">
      <alignment horizontal="center" vertical="center"/>
      <protection locked="0"/>
    </xf>
    <xf numFmtId="181" fontId="259" fillId="0" borderId="1" xfId="0" applyNumberFormat="1" applyFont="1" applyFill="1" applyBorder="1" applyAlignment="1" applyProtection="1">
      <alignment horizontal="center" vertical="center"/>
      <protection locked="0"/>
    </xf>
    <xf numFmtId="179" fontId="259" fillId="6" borderId="23" xfId="1" applyNumberFormat="1" applyFont="1" applyFill="1" applyBorder="1" applyAlignment="1" applyProtection="1">
      <alignment horizontal="center" vertical="center"/>
    </xf>
    <xf numFmtId="177" fontId="259" fillId="0" borderId="1" xfId="1" applyNumberFormat="1" applyFont="1" applyFill="1" applyBorder="1" applyAlignment="1" applyProtection="1">
      <alignment horizontal="center" vertical="center"/>
      <protection locked="0"/>
    </xf>
    <xf numFmtId="0" fontId="259" fillId="6" borderId="1" xfId="1" applyNumberFormat="1" applyFont="1" applyFill="1" applyBorder="1" applyAlignment="1" applyProtection="1">
      <alignment horizontal="center" vertical="center"/>
    </xf>
    <xf numFmtId="0" fontId="259" fillId="6" borderId="5" xfId="0" applyNumberFormat="1" applyFont="1" applyFill="1" applyBorder="1" applyAlignment="1" applyProtection="1">
      <alignment horizontal="center" vertical="center"/>
    </xf>
    <xf numFmtId="179" fontId="259" fillId="6" borderId="1" xfId="0" applyNumberFormat="1" applyFont="1" applyFill="1" applyBorder="1" applyAlignment="1" applyProtection="1">
      <alignment horizontal="center" vertical="center"/>
    </xf>
    <xf numFmtId="0" fontId="259" fillId="6" borderId="24" xfId="1" applyNumberFormat="1" applyFont="1" applyFill="1" applyBorder="1" applyAlignment="1" applyProtection="1">
      <alignment horizontal="center" vertical="center"/>
    </xf>
    <xf numFmtId="0" fontId="259" fillId="0" borderId="23" xfId="0" applyFont="1" applyBorder="1" applyAlignment="1" applyProtection="1">
      <alignment vertical="center"/>
      <protection locked="0"/>
    </xf>
    <xf numFmtId="181" fontId="259" fillId="0" borderId="1" xfId="0" applyNumberFormat="1" applyFont="1" applyBorder="1" applyAlignment="1" applyProtection="1">
      <alignment vertical="center"/>
      <protection locked="0"/>
    </xf>
    <xf numFmtId="181" fontId="259" fillId="6" borderId="5" xfId="0" applyNumberFormat="1" applyFont="1" applyFill="1" applyBorder="1" applyAlignment="1" applyProtection="1">
      <alignment horizontal="center" vertical="center"/>
    </xf>
    <xf numFmtId="0" fontId="259" fillId="0" borderId="3" xfId="0" applyFont="1" applyBorder="1" applyAlignment="1" applyProtection="1">
      <alignment vertical="center"/>
      <protection locked="0"/>
    </xf>
    <xf numFmtId="181" fontId="259" fillId="0" borderId="5" xfId="0" applyNumberFormat="1" applyFont="1" applyBorder="1" applyAlignment="1" applyProtection="1">
      <alignment vertical="center"/>
      <protection locked="0"/>
    </xf>
    <xf numFmtId="0" fontId="259" fillId="6" borderId="23" xfId="0" applyFont="1" applyFill="1" applyBorder="1" applyAlignment="1" applyProtection="1">
      <alignment horizontal="center" vertical="center"/>
    </xf>
    <xf numFmtId="0" fontId="259" fillId="0" borderId="1" xfId="0" applyFont="1" applyBorder="1" applyAlignment="1" applyProtection="1">
      <alignment horizontal="center" vertical="center"/>
      <protection locked="0"/>
    </xf>
    <xf numFmtId="0" fontId="200" fillId="6" borderId="24" xfId="0" applyFont="1" applyFill="1" applyBorder="1" applyAlignment="1" applyProtection="1">
      <alignment horizontal="center" vertical="center"/>
    </xf>
    <xf numFmtId="0" fontId="259" fillId="0" borderId="23" xfId="0" applyFont="1" applyBorder="1" applyAlignment="1" applyProtection="1">
      <alignment horizontal="center" vertical="center"/>
      <protection locked="0"/>
    </xf>
    <xf numFmtId="0" fontId="259" fillId="5" borderId="3" xfId="0" applyFont="1" applyFill="1" applyBorder="1" applyAlignment="1" applyProtection="1">
      <alignment horizontal="center" vertical="center"/>
      <protection locked="0"/>
    </xf>
    <xf numFmtId="0" fontId="259" fillId="0" borderId="1" xfId="0" applyNumberFormat="1" applyFont="1" applyBorder="1" applyAlignment="1" applyProtection="1">
      <alignment horizontal="center" vertical="center"/>
      <protection locked="0"/>
    </xf>
    <xf numFmtId="183" fontId="259" fillId="0" borderId="1" xfId="0" applyNumberFormat="1" applyFont="1" applyBorder="1" applyAlignment="1" applyProtection="1">
      <alignment horizontal="center" vertical="center"/>
      <protection locked="0"/>
    </xf>
    <xf numFmtId="181" fontId="259" fillId="0" borderId="24" xfId="0" applyNumberFormat="1" applyFont="1" applyBorder="1" applyAlignment="1" applyProtection="1">
      <alignment horizontal="center" vertical="center"/>
      <protection locked="0"/>
    </xf>
    <xf numFmtId="0" fontId="146" fillId="2" borderId="3" xfId="0" applyFont="1" applyFill="1" applyBorder="1" applyAlignment="1" applyProtection="1">
      <alignment horizontal="center" vertical="center"/>
      <protection locked="0"/>
    </xf>
    <xf numFmtId="0" fontId="259" fillId="6" borderId="1" xfId="0"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0" fontId="49" fillId="0" borderId="0" xfId="0" applyFont="1" applyAlignment="1" applyProtection="1">
      <alignment vertical="center"/>
      <protection locked="0"/>
    </xf>
    <xf numFmtId="0" fontId="49" fillId="0" borderId="0" xfId="0" applyFont="1" applyAlignment="1" applyProtection="1">
      <alignment vertical="center"/>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44" fillId="6" borderId="13" xfId="12" applyFont="1" applyFill="1" applyBorder="1" applyAlignment="1" applyProtection="1">
      <alignment horizontal="center" vertical="center" wrapText="1"/>
      <protection locked="0"/>
    </xf>
    <xf numFmtId="181" fontId="259" fillId="0" borderId="1" xfId="0" applyNumberFormat="1" applyFont="1" applyBorder="1" applyAlignment="1" applyProtection="1">
      <alignment horizontal="center" vertical="center"/>
      <protection locked="0"/>
    </xf>
    <xf numFmtId="178" fontId="69" fillId="0" borderId="1" xfId="0" applyNumberFormat="1" applyFont="1" applyFill="1" applyBorder="1" applyAlignment="1" applyProtection="1">
      <alignment horizontal="center" vertical="center"/>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131" fillId="0" borderId="0" xfId="0" applyFont="1">
      <alignment vertical="center"/>
    </xf>
    <xf numFmtId="14" fontId="0" fillId="0" borderId="0" xfId="0" applyNumberFormat="1">
      <alignment vertical="center"/>
    </xf>
    <xf numFmtId="0" fontId="12" fillId="0" borderId="0" xfId="0" applyFont="1" applyAlignment="1" applyProtection="1">
      <alignment horizontal="center" vertical="center" wrapText="1"/>
      <protection locked="0"/>
    </xf>
    <xf numFmtId="0" fontId="26" fillId="6" borderId="1" xfId="0" applyFont="1" applyFill="1" applyBorder="1" applyAlignment="1" applyProtection="1">
      <alignment vertical="center"/>
      <protection locked="0"/>
    </xf>
    <xf numFmtId="177" fontId="26" fillId="6" borderId="1" xfId="1" applyNumberFormat="1" applyFont="1" applyFill="1" applyBorder="1" applyAlignment="1" applyProtection="1">
      <alignment horizontal="center" vertical="center" wrapText="1"/>
    </xf>
    <xf numFmtId="179" fontId="26" fillId="6" borderId="1" xfId="1" applyNumberFormat="1" applyFont="1" applyFill="1" applyBorder="1" applyAlignment="1" applyProtection="1">
      <alignment horizontal="center" vertical="center" wrapText="1"/>
    </xf>
    <xf numFmtId="0" fontId="26" fillId="5" borderId="1" xfId="1" applyFont="1" applyFill="1" applyBorder="1" applyAlignment="1" applyProtection="1">
      <alignment horizontal="center" vertical="center" wrapText="1"/>
      <protection locked="0"/>
    </xf>
    <xf numFmtId="0" fontId="72" fillId="3" borderId="1" xfId="0" applyFont="1" applyFill="1" applyBorder="1" applyProtection="1">
      <alignment vertical="center"/>
      <protection locked="0"/>
    </xf>
    <xf numFmtId="0" fontId="12" fillId="6" borderId="1" xfId="0" applyFont="1" applyFill="1" applyBorder="1" applyAlignment="1" applyProtection="1">
      <alignment horizontal="center" vertical="center"/>
      <protection locked="0"/>
    </xf>
    <xf numFmtId="0" fontId="12" fillId="6" borderId="1" xfId="0" applyFont="1" applyFill="1" applyBorder="1" applyAlignment="1" applyProtection="1">
      <alignment vertical="center"/>
      <protection locked="0"/>
    </xf>
    <xf numFmtId="9" fontId="12" fillId="6" borderId="1" xfId="0" applyNumberFormat="1" applyFont="1" applyFill="1" applyBorder="1" applyAlignment="1" applyProtection="1">
      <alignment vertical="center"/>
      <protection locked="0"/>
    </xf>
    <xf numFmtId="176" fontId="212" fillId="5" borderId="1" xfId="0" applyNumberFormat="1" applyFont="1" applyFill="1" applyBorder="1" applyAlignment="1" applyProtection="1">
      <alignment horizontal="center" vertical="center" wrapText="1"/>
      <protection locked="0"/>
    </xf>
    <xf numFmtId="177" fontId="213" fillId="5" borderId="1" xfId="1" applyNumberFormat="1" applyFont="1" applyFill="1" applyBorder="1" applyAlignment="1" applyProtection="1">
      <alignment horizontal="center" vertical="center"/>
      <protection locked="0"/>
    </xf>
    <xf numFmtId="176" fontId="158" fillId="5" borderId="10" xfId="1" applyNumberFormat="1" applyFont="1" applyFill="1" applyBorder="1" applyAlignment="1" applyProtection="1">
      <alignment horizontal="center" vertical="center"/>
      <protection locked="0"/>
    </xf>
    <xf numFmtId="0" fontId="189" fillId="16" borderId="3" xfId="0" applyNumberFormat="1" applyFont="1" applyFill="1" applyBorder="1" applyAlignment="1" applyProtection="1">
      <alignment horizontal="center" vertical="center" wrapText="1"/>
      <protection locked="0"/>
    </xf>
    <xf numFmtId="0" fontId="260" fillId="16" borderId="53" xfId="0" applyNumberFormat="1" applyFont="1" applyFill="1" applyBorder="1" applyAlignment="1" applyProtection="1">
      <alignment horizontal="center" vertical="center" wrapText="1"/>
    </xf>
    <xf numFmtId="0" fontId="158" fillId="5" borderId="23" xfId="0" applyNumberFormat="1" applyFont="1" applyFill="1" applyBorder="1" applyAlignment="1" applyProtection="1">
      <alignment horizontal="center" vertical="center" wrapText="1"/>
      <protection locked="0"/>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30" fillId="6" borderId="21" xfId="0" applyFont="1" applyFill="1" applyBorder="1" applyAlignment="1" applyProtection="1">
      <alignment horizontal="center" vertical="center"/>
    </xf>
    <xf numFmtId="0" fontId="77" fillId="6" borderId="47" xfId="0" applyFont="1" applyFill="1" applyBorder="1" applyAlignment="1" applyProtection="1">
      <alignment horizontal="center" vertical="center"/>
    </xf>
    <xf numFmtId="0" fontId="26" fillId="6" borderId="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158" fillId="5" borderId="13" xfId="0" applyFont="1" applyFill="1" applyBorder="1" applyAlignment="1" applyProtection="1">
      <alignment horizontal="center" vertical="center"/>
      <protection locked="0"/>
    </xf>
    <xf numFmtId="0" fontId="158" fillId="5" borderId="15"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protection locked="0"/>
    </xf>
    <xf numFmtId="10" fontId="12" fillId="6" borderId="5"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182" fontId="26" fillId="6" borderId="5" xfId="0" applyNumberFormat="1"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58" fillId="5" borderId="1" xfId="0" applyFont="1" applyFill="1" applyBorder="1" applyAlignment="1" applyProtection="1">
      <alignment horizontal="center" vertical="center"/>
      <protection locked="0"/>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69" fillId="6" borderId="54" xfId="0" applyFont="1" applyFill="1" applyBorder="1" applyAlignment="1" applyProtection="1">
      <alignment horizontal="center" vertical="center"/>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textRotation="255" wrapText="1"/>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186" fontId="76" fillId="6" borderId="1" xfId="0" applyNumberFormat="1" applyFont="1" applyFill="1" applyBorder="1" applyAlignment="1" applyProtection="1">
      <alignment horizontal="center" vertical="center"/>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23"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Docs/&#38134;&#34892;&#32452;/&#36164;&#26009;&#22841;&#8212;&#8212;&#37073;&#29146;/&#19994;&#21153;&#19977;&#37096;-&#29579;&#38451;/&#39532;&#29747;&#29747;&#21830;&#19994;&#26368;&#324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12289;7%23&#29616;&#2515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Sheet4"/>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收益法 (2)"/>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01">
          <cell r="H101">
            <v>156379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 val="收益法"/>
      <sheetName val="收益法 (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1">
          <cell r="H111">
            <v>8149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2" sqref="B12"/>
    </sheetView>
  </sheetViews>
  <sheetFormatPr defaultRowHeight="14.25"/>
  <cols>
    <col min="1" max="1" width="35.625" style="3051" customWidth="1"/>
    <col min="2" max="2" width="81" style="3068" customWidth="1"/>
    <col min="3" max="16384" width="9" style="3066"/>
  </cols>
  <sheetData>
    <row r="1" spans="1:2" s="3054" customFormat="1" ht="16.5" thickBot="1">
      <c r="A1" s="3053" t="s">
        <v>2807</v>
      </c>
      <c r="B1" s="3052" t="s">
        <v>2897</v>
      </c>
    </row>
    <row r="2" spans="1:2" s="3057" customFormat="1" ht="15" thickTop="1">
      <c r="A2" s="3055" t="s">
        <v>2808</v>
      </c>
      <c r="B2" s="3056" t="str">
        <f>'预评函-封皮'!B37:I37</f>
        <v>出让国有建设用地使用权及在建建筑物房地产市场价值预评估</v>
      </c>
    </row>
    <row r="3" spans="1:2" s="3060" customFormat="1">
      <c r="A3" s="3058" t="s">
        <v>2809</v>
      </c>
      <c r="B3" s="3059">
        <f>'预评函-封皮'!B40</f>
        <v>0</v>
      </c>
    </row>
    <row r="4" spans="1:2" s="3060" customFormat="1">
      <c r="A4" s="3058" t="s">
        <v>2810</v>
      </c>
      <c r="B4" s="3059" t="str">
        <f>'预评函-封皮'!B46</f>
        <v>（注册号：0)、（注册号：0)</v>
      </c>
    </row>
    <row r="5" spans="1:2" s="3054" customFormat="1" ht="15" thickBot="1">
      <c r="A5" s="3061" t="s">
        <v>2811</v>
      </c>
      <c r="B5" s="3062" t="str">
        <f>'预评函-封皮'!B49</f>
        <v>康正预评字号</v>
      </c>
    </row>
    <row r="6" spans="1:2" s="3057" customFormat="1" ht="15" thickTop="1">
      <c r="A6" s="3055" t="s">
        <v>2812</v>
      </c>
      <c r="B6" s="3056" t="str">
        <f>'预评函-1'!A4</f>
        <v>受贵公司委托，我公司对出让国有建设用地使用权及在建建筑物房地产抵押价值进行了预评估。</v>
      </c>
    </row>
    <row r="7" spans="1:2" s="3060" customFormat="1">
      <c r="A7" s="3058" t="s">
        <v>2852</v>
      </c>
      <c r="B7" s="3059" t="str">
        <f>'预评函-1'!A7</f>
        <v>估价对象为出让国有建设用地使用权及在建建筑物房地产，为所有。根据《国有土地使用证》[]，估价对象（分摊）出让国有建设用地使用权面积为104051.87平方米，建筑面积为88021.11平方米。</v>
      </c>
    </row>
    <row r="8" spans="1:2" s="3060" customFormat="1">
      <c r="A8" s="3058" t="s">
        <v>2853</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2854</v>
      </c>
      <c r="B9" s="3059" t="str">
        <f>'预评函-1'!A10</f>
        <v>估价对象为出让国有建设用地使用权及在建建筑物房地产,为开发建设的商业项目，该项目尚在开发建设中。根据《国有土地使用证》[]，估价对象（分摊）出让国有建设用地使用权面积为104051.87平方米，规划建筑面积为88021.11平方米。</v>
      </c>
    </row>
    <row r="10" spans="1:2" s="3060" customFormat="1">
      <c r="A10" s="3058" t="s">
        <v>2855</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2813</v>
      </c>
      <c r="B11" s="3059" t="str">
        <f>'预评函-1'!A13</f>
        <v>为估价委托人了解估价对象房地产市场价值提供参考依据。</v>
      </c>
    </row>
    <row r="12" spans="1:2" s="3060" customFormat="1">
      <c r="A12" s="3058" t="s">
        <v>2814</v>
      </c>
      <c r="B12" s="3059" t="str">
        <f>'预评函-1'!A15</f>
        <v>2017年7月25日</v>
      </c>
    </row>
    <row r="13" spans="1:2" s="3060" customFormat="1">
      <c r="A13" s="3058" t="s">
        <v>2815</v>
      </c>
      <c r="B13" s="3059" t="str">
        <f>'预评函-1'!A18</f>
        <v>本次估价的“房地产价值”是指在正常市场情况下，在价值时点2017年7月25日，估价对象规划用途为，土地取得方式为出让，出让国有建设用地使用权剩余土地使用年限为，假定未设立法定优先受偿款下的房地产市场价值。</v>
      </c>
    </row>
    <row r="14" spans="1:2" s="3060" customFormat="1">
      <c r="A14" s="3058" t="s">
        <v>2816</v>
      </c>
      <c r="B14" s="305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2817</v>
      </c>
      <c r="B15" s="3059" t="str">
        <f>'预评函-1'!A20</f>
        <v>本次估价的“房地产抵押价值”是指估价对象在价值时点的“房地产价值”扣减估价师于价值时点所知悉的法定优先受偿款后的余额。</v>
      </c>
    </row>
    <row r="16" spans="1:2" s="3060" customFormat="1">
      <c r="A16" s="3058" t="s">
        <v>2818</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2819</v>
      </c>
      <c r="B17" s="30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4" customFormat="1" ht="15" thickBot="1">
      <c r="A18" s="3061" t="s">
        <v>2820</v>
      </c>
      <c r="B18" s="3062" t="str">
        <f>'预评函-1'!A24</f>
        <v>本次评估采用的主估价方法为成本法和假设开发法。</v>
      </c>
    </row>
    <row r="19" spans="1:2" s="3057" customFormat="1" ht="15" thickTop="1">
      <c r="A19" s="3055" t="s">
        <v>2821</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2822</v>
      </c>
      <c r="B20" s="3059">
        <f ca="1">'预评函-2'!D5</f>
        <v>16368</v>
      </c>
    </row>
    <row r="21" spans="1:2" s="3060" customFormat="1">
      <c r="A21" s="3058" t="s">
        <v>2823</v>
      </c>
      <c r="B21" s="3059">
        <f ca="1">'预评函-2'!D7</f>
        <v>1860</v>
      </c>
    </row>
    <row r="22" spans="1:2" s="3060" customFormat="1">
      <c r="A22" s="3058" t="s">
        <v>2824</v>
      </c>
      <c r="B22" s="3059" t="str">
        <f ca="1">'预评函-2'!D6</f>
        <v>壹亿陆仟叁佰陆拾捌万元整</v>
      </c>
    </row>
    <row r="23" spans="1:2" s="3060" customFormat="1">
      <c r="A23" s="3058" t="s">
        <v>2885</v>
      </c>
      <c r="B23" s="3059" t="str">
        <f>'预评函-2'!B8</f>
        <v>2.估价师知悉的法定优先受偿款</v>
      </c>
    </row>
    <row r="24" spans="1:2" s="3060" customFormat="1">
      <c r="A24" s="3058" t="s">
        <v>2891</v>
      </c>
      <c r="B24" s="3059">
        <f>'预评函-2'!D8</f>
        <v>0</v>
      </c>
    </row>
    <row r="25" spans="1:2" s="3060" customFormat="1">
      <c r="A25" s="3058" t="s">
        <v>2825</v>
      </c>
      <c r="B25" s="3059" t="str">
        <f>'预评函-2'!D9</f>
        <v>元整</v>
      </c>
    </row>
    <row r="26" spans="1:2" s="3060" customFormat="1">
      <c r="A26" s="3058" t="s">
        <v>2826</v>
      </c>
      <c r="B26" s="3059">
        <f>'预评函-2'!D10</f>
        <v>0</v>
      </c>
    </row>
    <row r="27" spans="1:2" s="3060" customFormat="1">
      <c r="A27" s="3058" t="s">
        <v>2827</v>
      </c>
      <c r="B27" s="3059">
        <f>'预评函-2'!D11</f>
        <v>0</v>
      </c>
    </row>
    <row r="28" spans="1:2" s="3060" customFormat="1">
      <c r="A28" s="3058" t="s">
        <v>2828</v>
      </c>
      <c r="B28" s="3059">
        <f>'预评函-2'!D12</f>
        <v>0</v>
      </c>
    </row>
    <row r="29" spans="1:2" s="3060" customFormat="1">
      <c r="A29" s="3058" t="s">
        <v>2889</v>
      </c>
      <c r="B29" s="3059" t="str">
        <f>'预评函-2'!B13</f>
        <v>3.房地产抵押价值</v>
      </c>
    </row>
    <row r="30" spans="1:2" s="3060" customFormat="1">
      <c r="A30" s="3058" t="s">
        <v>2890</v>
      </c>
      <c r="B30" s="3059">
        <f ca="1">'预评函-2'!D13</f>
        <v>16368</v>
      </c>
    </row>
    <row r="31" spans="1:2" s="3060" customFormat="1">
      <c r="A31" s="3058" t="s">
        <v>2863</v>
      </c>
      <c r="B31" s="3059">
        <f ca="1">'预评函-2'!D15</f>
        <v>1860</v>
      </c>
    </row>
    <row r="32" spans="1:2" s="3060" customFormat="1">
      <c r="A32" s="3058" t="s">
        <v>2829</v>
      </c>
      <c r="B32" s="3059" t="str">
        <f ca="1">'预评函-2'!D14</f>
        <v>壹亿陆仟叁佰陆拾捌万元整</v>
      </c>
    </row>
    <row r="33" spans="1:2" s="3060" customFormat="1">
      <c r="A33" s="3058" t="s">
        <v>2865</v>
      </c>
      <c r="B33" s="3059" t="str">
        <f>'预评函-2'!B16</f>
        <v>——</v>
      </c>
    </row>
    <row r="34" spans="1:2" s="3060" customFormat="1">
      <c r="A34" s="3058" t="s">
        <v>2892</v>
      </c>
      <c r="B34" s="3059" t="str">
        <f>'预评函-2'!D16</f>
        <v>——</v>
      </c>
    </row>
    <row r="35" spans="1:2" s="3060" customFormat="1">
      <c r="A35" s="3058" t="s">
        <v>2864</v>
      </c>
      <c r="B35" s="3059" t="str">
        <f>'预评函-2'!D18</f>
        <v>——</v>
      </c>
    </row>
    <row r="36" spans="1:2" s="3060" customFormat="1">
      <c r="A36" s="3058" t="s">
        <v>2830</v>
      </c>
      <c r="B36" s="3059" t="e">
        <f>'预评函-2'!D17</f>
        <v>#VALUE!</v>
      </c>
    </row>
    <row r="37" spans="1:2" s="3060" customFormat="1">
      <c r="A37" s="3058" t="s">
        <v>2866</v>
      </c>
      <c r="B37" s="3059" t="str">
        <f>'预评函-2'!B19</f>
        <v>4.抵押净值</v>
      </c>
    </row>
    <row r="38" spans="1:2" s="3060" customFormat="1">
      <c r="A38" s="3058" t="s">
        <v>2893</v>
      </c>
      <c r="B38" s="3059">
        <f ca="1">'预评函-2'!D19</f>
        <v>15487</v>
      </c>
    </row>
    <row r="39" spans="1:2" s="3060" customFormat="1">
      <c r="A39" s="3058" t="s">
        <v>2831</v>
      </c>
      <c r="B39" s="3059">
        <f ca="1">'预评函-2'!D21</f>
        <v>1759</v>
      </c>
    </row>
    <row r="40" spans="1:2" s="3060" customFormat="1">
      <c r="A40" s="3058" t="s">
        <v>2832</v>
      </c>
      <c r="B40" s="3059" t="str">
        <f ca="1">'预评函-2'!D20</f>
        <v>壹亿伍仟肆佰捌拾柒万元整</v>
      </c>
    </row>
    <row r="41" spans="1:2" s="3060" customFormat="1">
      <c r="A41" s="3058" t="s">
        <v>2888</v>
      </c>
      <c r="B41" s="3059" t="str">
        <f>'预评函-3'!A4</f>
        <v>出让国有建设用地使用权及在建建筑物房地产</v>
      </c>
    </row>
    <row r="42" spans="1:2" s="3060" customFormat="1">
      <c r="A42" s="3058" t="s">
        <v>2886</v>
      </c>
      <c r="B42" s="3059" t="str">
        <f>'预评函-3'!B2</f>
        <v>建筑面积</v>
      </c>
    </row>
    <row r="43" spans="1:2" s="3060" customFormat="1">
      <c r="A43" s="3058" t="s">
        <v>2887</v>
      </c>
      <c r="B43" s="3059">
        <f>'预评函-3'!B4</f>
        <v>88021.11</v>
      </c>
    </row>
    <row r="44" spans="1:2" s="3060" customFormat="1">
      <c r="A44" s="3058" t="s">
        <v>2862</v>
      </c>
      <c r="B44" s="3059" t="str">
        <f>'预评函-3'!C2</f>
        <v>(分摊)土地面积</v>
      </c>
    </row>
    <row r="45" spans="1:2" s="3060" customFormat="1">
      <c r="A45" s="3058" t="s">
        <v>2833</v>
      </c>
      <c r="B45" s="3059">
        <f>'预评函-3'!C4</f>
        <v>104051.87</v>
      </c>
    </row>
    <row r="46" spans="1:2" s="3060" customFormat="1">
      <c r="A46" s="3058" t="s">
        <v>2860</v>
      </c>
      <c r="B46" s="3059" t="str">
        <f>'预评函-3'!D2</f>
        <v>出让国有建设用地使用权价值</v>
      </c>
    </row>
    <row r="47" spans="1:2" s="3060" customFormat="1">
      <c r="A47" s="3058" t="s">
        <v>2834</v>
      </c>
      <c r="B47" s="3059">
        <f ca="1">'预评函-3'!D4</f>
        <v>6269</v>
      </c>
    </row>
    <row r="48" spans="1:2" s="3060" customFormat="1">
      <c r="A48" s="3058" t="s">
        <v>2835</v>
      </c>
      <c r="B48" s="3059">
        <f ca="1">'预评函-3'!E4</f>
        <v>713</v>
      </c>
    </row>
    <row r="49" spans="1:2" s="3060" customFormat="1">
      <c r="A49" s="3058" t="s">
        <v>2836</v>
      </c>
      <c r="B49" s="3059" t="str">
        <f ca="1">'预评函-3'!D5</f>
        <v>陆仟贰佰陆拾玖万元整</v>
      </c>
    </row>
    <row r="50" spans="1:2" s="3060" customFormat="1">
      <c r="A50" s="3058" t="s">
        <v>2861</v>
      </c>
      <c r="B50" s="3059" t="str">
        <f>'预评函-3'!F2</f>
        <v>在建建筑物价值</v>
      </c>
    </row>
    <row r="51" spans="1:2" s="3060" customFormat="1">
      <c r="A51" s="3058" t="s">
        <v>2837</v>
      </c>
      <c r="B51" s="3059">
        <f ca="1">'预评函-3'!F4</f>
        <v>10099</v>
      </c>
    </row>
    <row r="52" spans="1:2" s="3060" customFormat="1">
      <c r="A52" s="3058" t="s">
        <v>2838</v>
      </c>
      <c r="B52" s="3059">
        <f ca="1">'预评函-3'!G4</f>
        <v>1147</v>
      </c>
    </row>
    <row r="53" spans="1:2" s="3060" customFormat="1">
      <c r="A53" s="3058" t="s">
        <v>2867</v>
      </c>
      <c r="B53" s="3059" t="str">
        <f ca="1">'预评函-3'!F5</f>
        <v>壹亿零玖拾玖万元整</v>
      </c>
    </row>
    <row r="54" spans="1:2" s="3060" customFormat="1">
      <c r="A54" s="3058" t="s">
        <v>2895</v>
      </c>
      <c r="B54" s="3059" t="str">
        <f>'预评函-3'!A8</f>
        <v>房地产抵押价值</v>
      </c>
    </row>
    <row r="55" spans="1:2" s="3060" customFormat="1">
      <c r="A55" s="3058" t="s">
        <v>2868</v>
      </c>
      <c r="B55" s="3059" t="str">
        <f>'预评函-3'!A10</f>
        <v/>
      </c>
    </row>
    <row r="56" spans="1:2" s="3060" customFormat="1">
      <c r="A56" s="3058" t="s">
        <v>2869</v>
      </c>
      <c r="B56" s="3059" t="str">
        <f>'预评函-3'!A12</f>
        <v>抵押净值</v>
      </c>
    </row>
    <row r="57" spans="1:2" s="3054" customFormat="1" ht="15" thickBot="1">
      <c r="A57" s="3061" t="s">
        <v>2896</v>
      </c>
      <c r="B57" s="3062" t="str">
        <f>'预评函-3'!A6</f>
        <v>估价师知悉的法定优先受偿款</v>
      </c>
    </row>
    <row r="58" spans="1:2" s="3057" customFormat="1" ht="15" thickTop="1">
      <c r="A58" s="3055" t="s">
        <v>2839</v>
      </c>
      <c r="B58" s="3056" t="str">
        <f>'预评函-4'!A12</f>
        <v/>
      </c>
    </row>
    <row r="59" spans="1:2" s="3060" customFormat="1">
      <c r="A59" s="3058" t="s">
        <v>2840</v>
      </c>
      <c r="B59" s="3059" t="str">
        <f>'预评函-4'!A13</f>
        <v/>
      </c>
    </row>
    <row r="60" spans="1:2" s="3060" customFormat="1">
      <c r="A60" s="3058" t="s">
        <v>2841</v>
      </c>
      <c r="B60" s="3059" t="str">
        <f>'预评函-4'!A14</f>
        <v/>
      </c>
    </row>
    <row r="61" spans="1:2" s="3060" customFormat="1">
      <c r="A61" s="3058" t="s">
        <v>2842</v>
      </c>
      <c r="B61" s="3059" t="str">
        <f>'预评函-4'!A15</f>
        <v/>
      </c>
    </row>
    <row r="62" spans="1:2" s="3060" customFormat="1">
      <c r="A62" s="3058" t="s">
        <v>2843</v>
      </c>
      <c r="B62" s="3059" t="str">
        <f>'预评函-4'!A16</f>
        <v>（2）根据《工程款支付情况说明》，截至价值时点，估价对象不存在应付未付工程款项。（只要没有施工方盖章的，均“设定”进行表述）</v>
      </c>
    </row>
    <row r="63" spans="1:2" s="3060" customFormat="1">
      <c r="A63" s="3058" t="s">
        <v>2844</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2856</v>
      </c>
      <c r="B64" s="3059" t="str">
        <f>'预评函-4'!A18</f>
        <v/>
      </c>
    </row>
    <row r="65" spans="1:2" s="3060" customFormat="1">
      <c r="A65" s="3058" t="s">
        <v>2845</v>
      </c>
      <c r="B65" s="3059"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2846</v>
      </c>
      <c r="B66" s="30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0" customFormat="1">
      <c r="A67" s="3058" t="s">
        <v>2857</v>
      </c>
      <c r="B67" s="30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0" customFormat="1">
      <c r="A68" s="3058" t="s">
        <v>2858</v>
      </c>
      <c r="B68" s="3059" t="str">
        <f>'预评函-4'!A22</f>
        <v>8.其他需特殊说明事项：无（注意调整序号）</v>
      </c>
    </row>
    <row r="69" spans="1:2" s="3054" customFormat="1" ht="15" thickBot="1">
      <c r="A69" s="3061" t="s">
        <v>2847</v>
      </c>
      <c r="B69" s="3063">
        <f>'预评函-4'!C31</f>
        <v>42551</v>
      </c>
    </row>
    <row r="70" spans="1:2" ht="15" thickTop="1">
      <c r="A70" s="3064" t="s">
        <v>2848</v>
      </c>
      <c r="B70" s="3065">
        <f>'预评函-4'!A4</f>
        <v>0</v>
      </c>
    </row>
    <row r="71" spans="1:2">
      <c r="A71" s="3058" t="s">
        <v>2849</v>
      </c>
      <c r="B71" s="3059">
        <f>'预评函-4'!B4</f>
        <v>0</v>
      </c>
    </row>
    <row r="72" spans="1:2">
      <c r="A72" s="3058" t="s">
        <v>2850</v>
      </c>
      <c r="B72" s="3067">
        <f>'预评函-4'!A5</f>
        <v>0</v>
      </c>
    </row>
    <row r="73" spans="1:2" s="3054" customFormat="1" ht="15" thickBot="1">
      <c r="A73" s="3061" t="s">
        <v>2851</v>
      </c>
      <c r="B73" s="3062">
        <f>'预评函-4'!B5</f>
        <v>0</v>
      </c>
    </row>
    <row r="74" spans="1:2" ht="15" thickTop="1">
      <c r="A74" s="3051" t="s">
        <v>2913</v>
      </c>
      <c r="B74" s="3068"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B23" sqref="B23"/>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531</v>
      </c>
      <c r="B1" s="289" t="s">
        <v>254</v>
      </c>
      <c r="C1" s="1761" t="s">
        <v>1878</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1850</v>
      </c>
      <c r="Q1" s="11" t="s">
        <v>2651</v>
      </c>
      <c r="R1" s="1478" t="s">
        <v>2641</v>
      </c>
      <c r="S1" s="290" t="s">
        <v>267</v>
      </c>
      <c r="T1" s="291" t="s">
        <v>268</v>
      </c>
      <c r="U1" s="290" t="s">
        <v>269</v>
      </c>
      <c r="V1" s="290" t="s">
        <v>270</v>
      </c>
      <c r="W1" s="1478" t="s">
        <v>1853</v>
      </c>
    </row>
    <row r="2" spans="1:23">
      <c r="A2" s="2794" t="s">
        <v>114</v>
      </c>
      <c r="B2" s="2794" t="s">
        <v>578</v>
      </c>
      <c r="C2" s="1762" t="s">
        <v>1879</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57" t="s">
        <v>2645</v>
      </c>
      <c r="S2" s="292" t="s">
        <v>229</v>
      </c>
      <c r="T2" s="292" t="s">
        <v>230</v>
      </c>
      <c r="U2" s="292" t="s">
        <v>229</v>
      </c>
      <c r="V2" s="292" t="s">
        <v>231</v>
      </c>
      <c r="W2" s="292" t="s">
        <v>229</v>
      </c>
    </row>
    <row r="3" spans="1:23">
      <c r="A3" s="2794" t="s">
        <v>577</v>
      </c>
      <c r="B3" s="2795" t="s">
        <v>2687</v>
      </c>
      <c r="C3" s="1763" t="s">
        <v>1880</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57" t="s">
        <v>2643</v>
      </c>
      <c r="S3" s="292" t="s">
        <v>237</v>
      </c>
      <c r="T3" s="292" t="s">
        <v>238</v>
      </c>
      <c r="U3" s="292" t="s">
        <v>237</v>
      </c>
      <c r="V3" s="292" t="s">
        <v>239</v>
      </c>
      <c r="W3" s="292" t="s">
        <v>237</v>
      </c>
    </row>
    <row r="4" spans="1:23">
      <c r="A4" s="2794" t="s">
        <v>579</v>
      </c>
      <c r="B4" s="2794" t="s">
        <v>580</v>
      </c>
      <c r="C4" s="1762" t="s">
        <v>1881</v>
      </c>
      <c r="D4" s="292" t="s">
        <v>2052</v>
      </c>
      <c r="E4" s="292" t="s">
        <v>276</v>
      </c>
      <c r="F4" s="292" t="s">
        <v>277</v>
      </c>
      <c r="G4" s="292">
        <v>70</v>
      </c>
      <c r="H4" s="292" t="s">
        <v>278</v>
      </c>
      <c r="I4" s="292" t="s">
        <v>279</v>
      </c>
      <c r="K4" s="292" t="s">
        <v>240</v>
      </c>
      <c r="L4" s="292" t="s">
        <v>240</v>
      </c>
      <c r="M4" s="292" t="s">
        <v>240</v>
      </c>
      <c r="N4" s="292" t="s">
        <v>240</v>
      </c>
      <c r="O4" s="292" t="s">
        <v>240</v>
      </c>
      <c r="P4" s="292" t="s">
        <v>240</v>
      </c>
      <c r="Q4" s="292" t="s">
        <v>240</v>
      </c>
      <c r="R4" s="2757" t="s">
        <v>2646</v>
      </c>
      <c r="S4" s="292" t="s">
        <v>240</v>
      </c>
      <c r="T4" s="292" t="s">
        <v>241</v>
      </c>
      <c r="U4" s="292" t="s">
        <v>240</v>
      </c>
      <c r="W4" s="292" t="s">
        <v>240</v>
      </c>
    </row>
    <row r="5" spans="1:23">
      <c r="A5" s="2794" t="s">
        <v>581</v>
      </c>
      <c r="B5" s="2794" t="s">
        <v>582</v>
      </c>
      <c r="C5" s="1762" t="s">
        <v>1882</v>
      </c>
      <c r="F5" s="292" t="s">
        <v>242</v>
      </c>
      <c r="H5" s="292" t="s">
        <v>243</v>
      </c>
      <c r="I5" s="292" t="s">
        <v>244</v>
      </c>
      <c r="K5" s="292" t="s">
        <v>245</v>
      </c>
      <c r="L5" s="292" t="s">
        <v>245</v>
      </c>
      <c r="M5" s="292" t="s">
        <v>245</v>
      </c>
      <c r="N5" s="292" t="s">
        <v>245</v>
      </c>
      <c r="O5" s="292" t="s">
        <v>245</v>
      </c>
      <c r="P5" s="292" t="s">
        <v>245</v>
      </c>
      <c r="Q5" s="292" t="s">
        <v>245</v>
      </c>
      <c r="R5" s="2757" t="s">
        <v>2647</v>
      </c>
      <c r="S5" s="292" t="s">
        <v>245</v>
      </c>
      <c r="T5" s="292" t="s">
        <v>246</v>
      </c>
      <c r="U5" s="292" t="s">
        <v>245</v>
      </c>
      <c r="W5" s="292" t="s">
        <v>245</v>
      </c>
    </row>
    <row r="6" spans="1:23">
      <c r="A6" s="2794" t="s">
        <v>583</v>
      </c>
      <c r="B6" s="2795" t="s">
        <v>2688</v>
      </c>
      <c r="C6" s="1764" t="s">
        <v>162</v>
      </c>
      <c r="F6" s="292" t="s">
        <v>247</v>
      </c>
      <c r="H6" s="292" t="s">
        <v>248</v>
      </c>
      <c r="I6" s="292" t="s">
        <v>249</v>
      </c>
      <c r="K6" s="292" t="s">
        <v>250</v>
      </c>
      <c r="L6" s="292" t="s">
        <v>250</v>
      </c>
      <c r="M6" s="292" t="s">
        <v>250</v>
      </c>
      <c r="N6" s="292" t="s">
        <v>250</v>
      </c>
      <c r="O6" s="292" t="s">
        <v>250</v>
      </c>
      <c r="P6" s="292" t="s">
        <v>250</v>
      </c>
      <c r="Q6" s="292" t="s">
        <v>250</v>
      </c>
      <c r="R6" s="2757" t="s">
        <v>2648</v>
      </c>
      <c r="S6" s="292" t="s">
        <v>250</v>
      </c>
      <c r="T6" s="292"/>
      <c r="U6" s="292" t="s">
        <v>250</v>
      </c>
      <c r="W6" s="292" t="s">
        <v>250</v>
      </c>
    </row>
    <row r="7" spans="1:23">
      <c r="A7" s="2794" t="s">
        <v>585</v>
      </c>
      <c r="B7" s="2795" t="s">
        <v>2689</v>
      </c>
      <c r="C7" s="1762" t="s">
        <v>163</v>
      </c>
      <c r="F7" s="292" t="s">
        <v>251</v>
      </c>
      <c r="H7" s="292" t="s">
        <v>252</v>
      </c>
      <c r="I7" s="292" t="s">
        <v>253</v>
      </c>
    </row>
    <row r="8" spans="1:23">
      <c r="A8" s="2794" t="s">
        <v>587</v>
      </c>
      <c r="B8" s="2794" t="s">
        <v>584</v>
      </c>
      <c r="C8" s="1762" t="s">
        <v>1883</v>
      </c>
      <c r="F8" s="292" t="s">
        <v>280</v>
      </c>
      <c r="H8" s="292"/>
      <c r="I8" s="292" t="s">
        <v>281</v>
      </c>
    </row>
    <row r="9" spans="1:23">
      <c r="A9" s="2794" t="s">
        <v>589</v>
      </c>
      <c r="B9" s="2794" t="s">
        <v>586</v>
      </c>
      <c r="C9" s="1762" t="s">
        <v>1884</v>
      </c>
      <c r="F9" s="292" t="s">
        <v>282</v>
      </c>
      <c r="H9" s="292"/>
    </row>
    <row r="10" spans="1:23">
      <c r="A10" s="2794" t="s">
        <v>591</v>
      </c>
      <c r="B10" s="2794" t="s">
        <v>588</v>
      </c>
      <c r="C10" s="1762" t="s">
        <v>1885</v>
      </c>
      <c r="F10" s="292" t="s">
        <v>51</v>
      </c>
    </row>
    <row r="11" spans="1:23">
      <c r="A11" s="2794" t="s">
        <v>593</v>
      </c>
      <c r="B11" s="2794" t="s">
        <v>590</v>
      </c>
      <c r="C11" s="1762" t="s">
        <v>1886</v>
      </c>
    </row>
    <row r="12" spans="1:23">
      <c r="A12" s="2794" t="s">
        <v>595</v>
      </c>
      <c r="B12" s="2794" t="s">
        <v>592</v>
      </c>
      <c r="C12" s="1762" t="s">
        <v>1887</v>
      </c>
    </row>
    <row r="13" spans="1:23">
      <c r="A13" s="2794" t="s">
        <v>597</v>
      </c>
      <c r="B13" s="2794" t="s">
        <v>594</v>
      </c>
      <c r="C13" s="1762" t="s">
        <v>1888</v>
      </c>
    </row>
    <row r="14" spans="1:23">
      <c r="A14" s="2794" t="s">
        <v>599</v>
      </c>
      <c r="B14" s="2794" t="s">
        <v>596</v>
      </c>
      <c r="C14" s="292" t="s">
        <v>51</v>
      </c>
    </row>
    <row r="15" spans="1:23">
      <c r="A15" s="2794" t="s">
        <v>600</v>
      </c>
      <c r="B15" s="2794" t="s">
        <v>598</v>
      </c>
      <c r="C15" s="1765"/>
    </row>
    <row r="16" spans="1:23">
      <c r="A16" s="2794" t="s">
        <v>601</v>
      </c>
      <c r="B16" s="2794" t="s">
        <v>1869</v>
      </c>
      <c r="C16" s="1765"/>
    </row>
    <row r="17" spans="1:3">
      <c r="A17" s="2794" t="s">
        <v>602</v>
      </c>
      <c r="B17" s="2794" t="s">
        <v>3223</v>
      </c>
      <c r="C17" s="1765"/>
    </row>
    <row r="18" spans="1:3">
      <c r="A18" s="2794" t="s">
        <v>603</v>
      </c>
      <c r="B18" s="2794" t="s">
        <v>3260</v>
      </c>
      <c r="C18" s="1765"/>
    </row>
    <row r="19" spans="1:3">
      <c r="A19" s="2794" t="s">
        <v>604</v>
      </c>
      <c r="B19" s="2794" t="s">
        <v>3261</v>
      </c>
      <c r="C19" s="1765"/>
    </row>
    <row r="20" spans="1:3">
      <c r="A20" s="2794" t="s">
        <v>605</v>
      </c>
      <c r="B20" s="2794" t="s">
        <v>1870</v>
      </c>
      <c r="C20" s="1765"/>
    </row>
    <row r="21" spans="1:3">
      <c r="A21" s="2794" t="s">
        <v>606</v>
      </c>
      <c r="B21" s="2794" t="s">
        <v>1870</v>
      </c>
      <c r="C21" s="1765"/>
    </row>
    <row r="22" spans="1:3">
      <c r="A22" s="2794" t="s">
        <v>607</v>
      </c>
      <c r="B22" s="2794" t="s">
        <v>1870</v>
      </c>
      <c r="C22" s="1765"/>
    </row>
    <row r="23" spans="1:3">
      <c r="A23" s="2794" t="s">
        <v>608</v>
      </c>
      <c r="B23" s="2794" t="s">
        <v>1870</v>
      </c>
      <c r="C23" s="1765"/>
    </row>
    <row r="24" spans="1:3">
      <c r="A24" s="2794" t="s">
        <v>609</v>
      </c>
      <c r="B24" s="2794" t="s">
        <v>1870</v>
      </c>
      <c r="C24" s="1765"/>
    </row>
    <row r="25" spans="1:3">
      <c r="A25" s="2794" t="s">
        <v>610</v>
      </c>
      <c r="B25" s="2794" t="s">
        <v>1870</v>
      </c>
      <c r="C25" s="1765"/>
    </row>
    <row r="26" spans="1:3">
      <c r="A26" s="2794" t="s">
        <v>611</v>
      </c>
      <c r="B26" s="2794" t="s">
        <v>1870</v>
      </c>
      <c r="C26" s="1765"/>
    </row>
    <row r="27" spans="1:3">
      <c r="A27" s="2794" t="s">
        <v>1870</v>
      </c>
      <c r="B27" s="2794" t="s">
        <v>1870</v>
      </c>
      <c r="C27" s="1765"/>
    </row>
    <row r="28" spans="1:3">
      <c r="A28" s="2794" t="s">
        <v>1870</v>
      </c>
      <c r="B28" s="2794" t="s">
        <v>1870</v>
      </c>
      <c r="C28" s="1765"/>
    </row>
    <row r="29" spans="1:3">
      <c r="A29" s="2794" t="s">
        <v>1870</v>
      </c>
      <c r="B29" s="2794" t="s">
        <v>1870</v>
      </c>
      <c r="C29" s="1765"/>
    </row>
    <row r="30" spans="1:3">
      <c r="A30" s="2794" t="s">
        <v>1870</v>
      </c>
      <c r="B30" s="2794" t="s">
        <v>1870</v>
      </c>
      <c r="C30" s="1765"/>
    </row>
    <row r="31" spans="1:3">
      <c r="A31" s="2794" t="s">
        <v>1870</v>
      </c>
      <c r="B31" s="2794" t="s">
        <v>1870</v>
      </c>
      <c r="C31" s="1765"/>
    </row>
    <row r="32" spans="1:3">
      <c r="A32" s="2794" t="s">
        <v>1870</v>
      </c>
      <c r="B32" s="2794" t="s">
        <v>1870</v>
      </c>
      <c r="C32" s="1765"/>
    </row>
    <row r="33" spans="1:3">
      <c r="A33" s="2794" t="s">
        <v>1870</v>
      </c>
      <c r="B33" s="2794" t="s">
        <v>1870</v>
      </c>
      <c r="C33" s="1765"/>
    </row>
    <row r="34" spans="1:3">
      <c r="A34" s="2794" t="s">
        <v>1870</v>
      </c>
      <c r="B34" s="2794" t="s">
        <v>1870</v>
      </c>
      <c r="C34" s="1765"/>
    </row>
    <row r="35" spans="1:3">
      <c r="A35" s="2794" t="s">
        <v>1870</v>
      </c>
      <c r="B35" s="2794" t="s">
        <v>1870</v>
      </c>
      <c r="C35" s="1765"/>
    </row>
    <row r="36" spans="1:3">
      <c r="A36" s="2794" t="s">
        <v>1870</v>
      </c>
      <c r="B36" s="2794" t="s">
        <v>1870</v>
      </c>
      <c r="C36" s="1765"/>
    </row>
    <row r="37" spans="1:3">
      <c r="A37" s="2794" t="s">
        <v>1870</v>
      </c>
      <c r="B37" s="2794" t="s">
        <v>1870</v>
      </c>
      <c r="C37" s="1765"/>
    </row>
    <row r="38" spans="1:3">
      <c r="A38" s="2794" t="s">
        <v>1870</v>
      </c>
      <c r="B38" s="2794" t="s">
        <v>1870</v>
      </c>
      <c r="C38" s="1765"/>
    </row>
    <row r="39" spans="1:3">
      <c r="A39" s="2794" t="s">
        <v>1870</v>
      </c>
      <c r="B39" s="2794" t="s">
        <v>1870</v>
      </c>
      <c r="C39" s="1765"/>
    </row>
    <row r="40" spans="1:3">
      <c r="A40" s="2794" t="s">
        <v>1870</v>
      </c>
      <c r="B40" s="2794" t="s">
        <v>1870</v>
      </c>
      <c r="C40" s="1765"/>
    </row>
    <row r="41" spans="1:3">
      <c r="A41" s="2794" t="s">
        <v>1870</v>
      </c>
      <c r="B41" s="2794" t="s">
        <v>1870</v>
      </c>
      <c r="C41" s="1765"/>
    </row>
    <row r="42" spans="1:3">
      <c r="A42" s="2794" t="s">
        <v>1870</v>
      </c>
      <c r="B42" s="2794" t="s">
        <v>1870</v>
      </c>
      <c r="C42" s="1765"/>
    </row>
    <row r="43" spans="1:3">
      <c r="A43" s="2794" t="s">
        <v>1870</v>
      </c>
      <c r="B43" s="2794" t="s">
        <v>1870</v>
      </c>
      <c r="C43" s="1765"/>
    </row>
    <row r="44" spans="1:3">
      <c r="A44" s="2794" t="s">
        <v>1870</v>
      </c>
      <c r="B44" s="2794" t="s">
        <v>1870</v>
      </c>
      <c r="C44" s="1765"/>
    </row>
    <row r="45" spans="1:3">
      <c r="A45" s="2794" t="s">
        <v>1870</v>
      </c>
      <c r="B45" s="2794" t="s">
        <v>1870</v>
      </c>
      <c r="C45" s="1765"/>
    </row>
    <row r="46" spans="1:3">
      <c r="A46" s="2794" t="s">
        <v>1870</v>
      </c>
      <c r="B46" s="2794" t="s">
        <v>1870</v>
      </c>
      <c r="C46" s="1765"/>
    </row>
    <row r="47" spans="1:3">
      <c r="A47" s="2794" t="s">
        <v>1870</v>
      </c>
      <c r="B47" s="2794" t="s">
        <v>1870</v>
      </c>
      <c r="C47" s="1765"/>
    </row>
    <row r="48" spans="1:3">
      <c r="A48" s="2794" t="s">
        <v>1870</v>
      </c>
      <c r="B48" s="2794" t="s">
        <v>1870</v>
      </c>
      <c r="C48" s="1765"/>
    </row>
    <row r="49" spans="1:4">
      <c r="A49" s="2794" t="s">
        <v>1870</v>
      </c>
      <c r="B49" s="2794" t="s">
        <v>1870</v>
      </c>
      <c r="C49" s="1765"/>
    </row>
    <row r="50" spans="1:4">
      <c r="A50" s="2794" t="s">
        <v>1870</v>
      </c>
      <c r="B50" s="2794" t="s">
        <v>1870</v>
      </c>
      <c r="C50" s="1765"/>
    </row>
    <row r="51" spans="1:4">
      <c r="A51" s="1945" t="s">
        <v>2016</v>
      </c>
      <c r="B51" s="2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88" t="s">
        <v>2876</v>
      </c>
    </row>
    <row r="52" spans="1:4">
      <c r="A52" s="1945" t="s">
        <v>2020</v>
      </c>
      <c r="B52" s="1945" t="s">
        <v>2021</v>
      </c>
      <c r="C52" s="1161" t="s">
        <v>2022</v>
      </c>
      <c r="D52" s="1161" t="s">
        <v>2023</v>
      </c>
    </row>
    <row r="53" spans="1:4">
      <c r="A53" s="3445" t="s">
        <v>2024</v>
      </c>
      <c r="B53" s="2088" t="s">
        <v>2025</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45"/>
      <c r="B54" s="2088" t="s">
        <v>2026</v>
      </c>
      <c r="C54" s="1161" t="s">
        <v>2873</v>
      </c>
    </row>
    <row r="55" spans="1:4">
      <c r="A55" s="3445"/>
      <c r="B55" s="2088" t="s">
        <v>2027</v>
      </c>
      <c r="C55" s="1161" t="s">
        <v>2874</v>
      </c>
    </row>
    <row r="56" spans="1:4">
      <c r="A56" s="3445"/>
      <c r="B56" s="2088" t="s">
        <v>2028</v>
      </c>
      <c r="C56" s="1161" t="s">
        <v>2884</v>
      </c>
    </row>
    <row r="57" spans="1:4">
      <c r="A57" s="3445"/>
      <c r="B57" s="2088" t="s">
        <v>2029</v>
      </c>
      <c r="C57" s="1161" t="s">
        <v>2875</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13" zoomScale="90" zoomScaleSheetLayoutView="90" workbookViewId="0">
      <selection activeCell="I13" sqref="I13"/>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0" customWidth="1"/>
    <col min="12" max="13" width="10" style="2000"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37" t="s">
        <v>2133</v>
      </c>
      <c r="B1" s="3454" t="str">
        <f>IF(B10="北京市","北京市",C10)&amp;F10&amp;IF(结果表!G1="在建","出让国有建设用地使用权及在建建筑物",IF(结果表!G1="土地","出让国有建设用地使用权",))&amp;B9&amp;"预评估"</f>
        <v>出让国有建设用地使用权及在建建筑物房地产市场价值预评估</v>
      </c>
      <c r="C1" s="3455"/>
      <c r="D1" s="3455"/>
      <c r="E1" s="3455"/>
      <c r="F1" s="3455"/>
      <c r="G1" s="3455"/>
      <c r="H1" s="3455"/>
      <c r="I1" s="3456"/>
      <c r="J1" s="1989"/>
      <c r="K1" s="2095"/>
      <c r="L1" s="1990"/>
      <c r="M1" s="1990"/>
      <c r="N1" s="1196"/>
      <c r="O1" s="11"/>
      <c r="P1" s="1196"/>
      <c r="Q1" s="1196"/>
      <c r="R1" s="1196"/>
      <c r="S1" s="1195"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89" t="s">
        <v>2134</v>
      </c>
      <c r="B2" s="1936"/>
      <c r="C2" s="1991"/>
      <c r="D2" s="1989"/>
      <c r="E2" s="1992"/>
      <c r="F2" s="1992"/>
      <c r="G2" s="1989"/>
      <c r="H2" s="1989"/>
      <c r="I2" s="1989"/>
      <c r="J2" s="1989"/>
      <c r="K2" s="2095"/>
      <c r="L2" s="1990"/>
      <c r="M2" s="1990"/>
      <c r="N2" s="1196"/>
      <c r="O2" s="11"/>
      <c r="P2" s="1196"/>
      <c r="Q2" s="1196"/>
      <c r="R2" s="1196"/>
      <c r="S2" s="1195"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34" t="s">
        <v>2009</v>
      </c>
      <c r="B3" s="3231"/>
      <c r="C3" s="1917" t="s">
        <v>2010</v>
      </c>
      <c r="D3" s="3231">
        <v>42941</v>
      </c>
      <c r="E3" s="1989"/>
      <c r="F3" s="1989"/>
      <c r="G3" s="1989"/>
      <c r="H3" s="1989"/>
      <c r="I3" s="1989"/>
      <c r="J3" s="1989"/>
      <c r="K3" s="2095"/>
      <c r="L3" s="1990"/>
      <c r="M3" s="1990"/>
      <c r="N3" s="1196"/>
      <c r="O3" s="11"/>
      <c r="P3" s="1196"/>
      <c r="Q3" s="1196"/>
      <c r="R3" s="1196"/>
      <c r="S3" s="1195"/>
    </row>
    <row r="4" spans="1:19" ht="18" customHeight="1" thickBot="1">
      <c r="A4" s="1918" t="s">
        <v>2011</v>
      </c>
      <c r="B4" s="1919"/>
      <c r="C4" s="1920">
        <f>SUMIF(注册房地产估价师,B4,估价师及机构信息!B3:B24)</f>
        <v>0</v>
      </c>
      <c r="D4" s="1919"/>
      <c r="E4" s="1921">
        <f>SUMIF(注册房地产估价师,D4,估价师及机构信息!B3:B24)</f>
        <v>0</v>
      </c>
      <c r="F4" s="1919" t="s">
        <v>529</v>
      </c>
      <c r="G4" s="1948">
        <f>SUMIF(注册房地产估价师,F4,估价师及机构信息!B3:B24)</f>
        <v>0</v>
      </c>
      <c r="H4" s="1919" t="s">
        <v>529</v>
      </c>
      <c r="I4" s="2883">
        <f>SUMIF(注册房地产估价师,H4,估价师及机构信息!B3:B24)</f>
        <v>0</v>
      </c>
      <c r="J4" s="1994"/>
      <c r="K4" s="2096" t="str">
        <f>CONCATENATE(B4,"（注册号：",C4,")、",D4,"（注册号：",E4,")")</f>
        <v>（注册号：0)、（注册号：0)</v>
      </c>
      <c r="L4" s="1990"/>
      <c r="M4" s="1990"/>
      <c r="N4" s="1196"/>
      <c r="O4" s="11"/>
      <c r="P4" s="1196"/>
      <c r="Q4" s="1196"/>
      <c r="R4" s="1196"/>
      <c r="S4" s="1195"/>
    </row>
    <row r="5" spans="1:19" ht="18" customHeight="1" thickTop="1">
      <c r="A5" s="1922" t="s">
        <v>2098</v>
      </c>
      <c r="B5" s="3286"/>
      <c r="C5" s="2033"/>
      <c r="D5" s="1995"/>
      <c r="E5" s="1994"/>
      <c r="F5" s="1994"/>
      <c r="G5" s="1994"/>
      <c r="H5" s="1994"/>
      <c r="I5" s="1994"/>
      <c r="J5" s="1994"/>
      <c r="K5" s="2096" t="str">
        <f>IF(F4="——","",IF(H4="——",F4&amp;"（注册号："&amp;G4&amp;")",CONCATENATE(F4,"（注册号：",G4,")、",H4,"（注册号：",I4,")")))</f>
        <v/>
      </c>
      <c r="L5" s="1990"/>
      <c r="M5" s="1990"/>
      <c r="N5" s="1196"/>
      <c r="O5" s="11"/>
      <c r="P5" s="1196"/>
      <c r="Q5" s="1196"/>
      <c r="R5" s="1196"/>
    </row>
    <row r="6" spans="1:19" ht="18" customHeight="1">
      <c r="A6" s="1923" t="s">
        <v>2099</v>
      </c>
      <c r="B6" s="2034"/>
      <c r="C6" s="2035"/>
      <c r="D6" s="1996"/>
      <c r="E6" s="1992"/>
      <c r="F6" s="1994"/>
      <c r="G6" s="1994"/>
      <c r="H6" s="1994"/>
      <c r="I6" s="1994"/>
      <c r="J6" s="1994"/>
      <c r="K6" s="2101" t="str">
        <f>IF(COUNTIF(B6,"*上海银行*"),"上海银行","")</f>
        <v/>
      </c>
      <c r="L6" s="1990"/>
      <c r="M6" s="1990"/>
      <c r="N6" s="1196"/>
      <c r="O6" s="11"/>
      <c r="P6" s="1196"/>
      <c r="Q6" s="1196"/>
      <c r="R6" s="1196"/>
    </row>
    <row r="7" spans="1:19" ht="18" customHeight="1">
      <c r="A7" s="1923" t="s">
        <v>2879</v>
      </c>
      <c r="B7" s="3287"/>
      <c r="C7" s="2035"/>
      <c r="D7" s="1996"/>
      <c r="E7" s="1992"/>
      <c r="F7" s="1994"/>
      <c r="G7" s="1994"/>
      <c r="H7" s="1994"/>
      <c r="I7" s="1994"/>
      <c r="J7" s="1994"/>
      <c r="K7" s="2097"/>
      <c r="L7" s="1990"/>
      <c r="M7" s="1990"/>
      <c r="N7" s="1196"/>
      <c r="O7" s="11"/>
      <c r="P7" s="1196"/>
      <c r="Q7" s="1196"/>
      <c r="R7" s="1196"/>
    </row>
    <row r="8" spans="1:19" ht="18" customHeight="1">
      <c r="A8" s="1923" t="s">
        <v>1957</v>
      </c>
      <c r="B8" s="2028" t="s">
        <v>3219</v>
      </c>
      <c r="C8" s="1997"/>
      <c r="D8" s="3457" t="s">
        <v>2019</v>
      </c>
      <c r="E8" s="2029" t="s">
        <v>3271</v>
      </c>
      <c r="F8" s="2030"/>
      <c r="G8" s="1989"/>
      <c r="H8" s="1989"/>
      <c r="I8" s="1989"/>
      <c r="J8" s="1994"/>
      <c r="K8" s="2096"/>
      <c r="L8" s="1990"/>
      <c r="M8" s="1990"/>
      <c r="N8" s="1196"/>
      <c r="O8" s="11"/>
      <c r="P8" s="1196"/>
      <c r="Q8" s="1196"/>
      <c r="R8" s="1196"/>
    </row>
    <row r="9" spans="1:19" ht="18" customHeight="1" thickBot="1">
      <c r="A9" s="1948" t="s">
        <v>1958</v>
      </c>
      <c r="B9" s="1949" t="s">
        <v>3220</v>
      </c>
      <c r="C9" s="1998"/>
      <c r="D9" s="3458"/>
      <c r="E9" s="1949" t="s">
        <v>2880</v>
      </c>
      <c r="F9" s="2886"/>
      <c r="G9" s="1993"/>
      <c r="H9" s="1993"/>
      <c r="I9" s="1993"/>
      <c r="J9" s="1994"/>
      <c r="K9" s="2097"/>
      <c r="L9" s="1990"/>
      <c r="M9" s="1990"/>
      <c r="N9" s="1196"/>
      <c r="O9" s="11"/>
      <c r="P9" s="1196"/>
      <c r="Q9" s="1196"/>
      <c r="R9" s="1196"/>
    </row>
    <row r="10" spans="1:19" ht="18" customHeight="1" thickTop="1">
      <c r="A10" s="2003" t="s">
        <v>2070</v>
      </c>
      <c r="B10" s="2049"/>
      <c r="C10" s="2031"/>
      <c r="D10" s="1995"/>
      <c r="E10" s="1933" t="s">
        <v>1959</v>
      </c>
      <c r="F10" s="1946"/>
      <c r="G10" s="2884"/>
      <c r="H10" s="2885"/>
      <c r="I10" s="1995"/>
      <c r="J10" s="1994"/>
      <c r="K10" s="2097"/>
      <c r="L10" s="1990"/>
      <c r="M10" s="1990"/>
      <c r="N10" s="1196"/>
      <c r="O10" s="11"/>
      <c r="P10" s="1196"/>
      <c r="Q10" s="1196"/>
      <c r="R10" s="1196"/>
    </row>
    <row r="11" spans="1:19" ht="18" customHeight="1">
      <c r="A11" s="1952" t="s">
        <v>2071</v>
      </c>
      <c r="B11" s="2048"/>
      <c r="C11" s="2032"/>
      <c r="D11" s="1999"/>
      <c r="E11" s="1994"/>
      <c r="F11" s="1994"/>
      <c r="G11" s="1994"/>
      <c r="H11" s="1994"/>
      <c r="I11" s="1994"/>
      <c r="J11" s="1994"/>
      <c r="K11" s="2097"/>
      <c r="L11" s="1990"/>
      <c r="M11" s="1990"/>
      <c r="N11" s="1196"/>
      <c r="O11" s="11"/>
      <c r="P11" s="1196"/>
      <c r="Q11" s="1196"/>
      <c r="R11" s="1196"/>
    </row>
    <row r="12" spans="1:19" ht="18" customHeight="1">
      <c r="A12" s="2047" t="s">
        <v>2097</v>
      </c>
      <c r="B12" s="2048" t="s">
        <v>2030</v>
      </c>
      <c r="C12" s="2006" t="s">
        <v>2101</v>
      </c>
      <c r="D12" s="2018" t="s">
        <v>1951</v>
      </c>
      <c r="E12" s="2018" t="s">
        <v>2714</v>
      </c>
      <c r="F12" s="2018" t="s">
        <v>2715</v>
      </c>
      <c r="G12" s="2018" t="s">
        <v>2716</v>
      </c>
      <c r="H12" s="2018" t="s">
        <v>2717</v>
      </c>
      <c r="I12" s="2018" t="s">
        <v>2718</v>
      </c>
      <c r="J12" s="1994"/>
      <c r="K12" s="2097"/>
      <c r="L12" s="1990"/>
      <c r="M12" s="1990"/>
      <c r="N12" s="1196"/>
      <c r="O12" s="11"/>
      <c r="P12" s="1196"/>
      <c r="Q12" s="1196"/>
      <c r="R12" s="1196"/>
    </row>
    <row r="13" spans="1:19" ht="18" customHeight="1">
      <c r="A13" s="2002"/>
      <c r="B13" s="2077"/>
      <c r="C13" s="2078" t="s">
        <v>2100</v>
      </c>
      <c r="D13" s="3230"/>
      <c r="E13" s="3230"/>
      <c r="F13" s="3230"/>
      <c r="G13" s="3230"/>
      <c r="H13" s="3230"/>
      <c r="I13" s="2043">
        <f>Sheet2!C9</f>
        <v>60642</v>
      </c>
      <c r="J13" s="1994"/>
      <c r="K13" s="2097"/>
      <c r="L13" s="1990"/>
      <c r="M13" s="1990"/>
      <c r="N13" s="1196"/>
      <c r="O13" s="11"/>
      <c r="P13" s="1196"/>
      <c r="Q13" s="1196"/>
      <c r="R13" s="1196"/>
    </row>
    <row r="14" spans="1:19" ht="18" customHeight="1">
      <c r="A14" s="2002"/>
      <c r="B14" s="2077"/>
      <c r="C14" s="2078" t="s">
        <v>2102</v>
      </c>
      <c r="D14" s="2046"/>
      <c r="E14" s="2046">
        <v>40</v>
      </c>
      <c r="F14" s="2046"/>
      <c r="G14" s="2046"/>
      <c r="H14" s="2046"/>
      <c r="I14" s="2046">
        <v>50</v>
      </c>
      <c r="J14" s="1994"/>
      <c r="K14" s="2098"/>
      <c r="L14" s="1990"/>
      <c r="M14" s="1990"/>
      <c r="N14" s="1196"/>
      <c r="O14" s="11"/>
      <c r="P14" s="1196"/>
      <c r="Q14" s="1196"/>
      <c r="R14" s="1196"/>
    </row>
    <row r="15" spans="1:19" ht="18" customHeight="1">
      <c r="A15" s="2003"/>
      <c r="B15" s="2079"/>
      <c r="C15" s="2078" t="s">
        <v>2103</v>
      </c>
      <c r="D15" s="2045" t="str">
        <f>IF(B12="出让",IF(D13="","",ROUNDDOWN(MIN((D13-$D$3)/365,D14),2)),D14)</f>
        <v/>
      </c>
      <c r="E15" s="2045" t="str">
        <f>IF(B12="出让",IF(E13="","",ROUNDDOWN(MIN((E13-$D$3)/365,E14),2)),E14)</f>
        <v/>
      </c>
      <c r="F15" s="2045" t="str">
        <f>IF(B12="出让",IF(F13="","",ROUNDDOWN(MIN((F13-$D$3)/365,F14),2)),F14)</f>
        <v/>
      </c>
      <c r="G15" s="2045" t="str">
        <f>IF(B12="出让",IF(G13="","",ROUNDDOWN(MIN((G13-$D$3)/365,G14),2)),G14)</f>
        <v/>
      </c>
      <c r="H15" s="2045" t="str">
        <f>IF(B12="出让",IF(H13="","",ROUNDDOWN(MIN((H13-$D$3)/365,H14),2)),H14)</f>
        <v/>
      </c>
      <c r="I15" s="2045">
        <f>IF(B12="出让",IF(I13="","",ROUNDDOWN(MIN((I13-$D$3)/365,I14),2)),I14)</f>
        <v>48.49</v>
      </c>
      <c r="J15" s="1994"/>
      <c r="K15" s="2099"/>
      <c r="L15" s="1230"/>
      <c r="M15" s="1230"/>
      <c r="N15" s="2014"/>
      <c r="O15" s="1230"/>
      <c r="P15" s="2014"/>
      <c r="Q15" s="1196"/>
      <c r="R15" s="1196"/>
    </row>
    <row r="16" spans="1:19" ht="30.75" customHeight="1">
      <c r="A16" s="1933" t="s">
        <v>2104</v>
      </c>
      <c r="B16" s="3464"/>
      <c r="C16" s="3465"/>
      <c r="D16" s="3466"/>
      <c r="E16" s="1950" t="s">
        <v>2031</v>
      </c>
      <c r="F16" s="3467"/>
      <c r="G16" s="3468"/>
      <c r="H16" s="3468"/>
      <c r="I16" s="3469"/>
      <c r="J16" s="1196"/>
      <c r="K16" s="2099"/>
      <c r="L16" s="1230"/>
      <c r="M16" s="1230"/>
      <c r="N16" s="2014"/>
      <c r="O16" s="1230"/>
      <c r="P16" s="2014"/>
      <c r="Q16" s="1196"/>
      <c r="R16" s="1196"/>
    </row>
    <row r="17" spans="1:22" ht="18" customHeight="1">
      <c r="A17" s="2001" t="s">
        <v>1960</v>
      </c>
      <c r="B17" s="1934" t="s">
        <v>1961</v>
      </c>
      <c r="C17" s="2080">
        <f>'数据-汇总表'!E3</f>
        <v>88021.11</v>
      </c>
      <c r="D17" s="1935" t="s">
        <v>1962</v>
      </c>
      <c r="E17" s="3470" t="s">
        <v>2018</v>
      </c>
      <c r="F17" s="3471"/>
      <c r="G17" s="3471"/>
      <c r="H17" s="3471"/>
      <c r="I17" s="3472"/>
      <c r="J17" s="1196"/>
      <c r="K17" s="2690"/>
      <c r="L17" s="1230"/>
      <c r="M17" s="1230"/>
      <c r="N17" s="2014"/>
      <c r="O17" s="1230"/>
      <c r="P17" s="2014"/>
      <c r="Q17" s="1196"/>
      <c r="R17" s="1196"/>
      <c r="S17" s="1196"/>
      <c r="T17" s="1196"/>
      <c r="U17" s="1196"/>
      <c r="V17" s="1196"/>
    </row>
    <row r="18" spans="1:22" ht="36" customHeight="1" thickBot="1">
      <c r="A18" s="2892" t="s">
        <v>2710</v>
      </c>
      <c r="B18" s="1918" t="s">
        <v>1963</v>
      </c>
      <c r="C18" s="2893">
        <f>'数据-汇总表'!D3</f>
        <v>104051.87</v>
      </c>
      <c r="D18" s="2894" t="s">
        <v>1962</v>
      </c>
      <c r="E18" s="3473" t="s">
        <v>3022</v>
      </c>
      <c r="F18" s="3474"/>
      <c r="G18" s="3474"/>
      <c r="H18" s="3474"/>
      <c r="I18" s="3475"/>
      <c r="J18" s="1196"/>
      <c r="K18" s="2690"/>
      <c r="L18" s="1230"/>
      <c r="M18" s="1230"/>
      <c r="N18" s="2014"/>
      <c r="O18" s="1230"/>
      <c r="P18" s="2014"/>
      <c r="Q18" s="1196"/>
      <c r="R18" s="1196"/>
      <c r="S18" s="1196"/>
      <c r="T18" s="1196"/>
      <c r="U18" s="1196"/>
      <c r="V18" s="1196"/>
    </row>
    <row r="19" spans="1:22" ht="37.5" customHeight="1" thickTop="1" thickBot="1">
      <c r="A19" s="2891" t="s">
        <v>2050</v>
      </c>
      <c r="B19" s="2054" t="s">
        <v>2051</v>
      </c>
      <c r="C19" s="2055" t="s">
        <v>41</v>
      </c>
      <c r="D19" s="2037" t="s">
        <v>2054</v>
      </c>
      <c r="E19" s="2036" t="s">
        <v>41</v>
      </c>
      <c r="F19" s="2038" t="str">
        <f>IF(AND(C19="是",E19="否"),"是否提供他项权证或相关说明","")</f>
        <v/>
      </c>
      <c r="G19" s="2039" t="s">
        <v>41</v>
      </c>
      <c r="H19" s="1994"/>
      <c r="I19" s="1994"/>
      <c r="J19" s="1994"/>
      <c r="K19" s="2097"/>
      <c r="L19" s="1990"/>
      <c r="M19" s="1990"/>
      <c r="N19" s="2014"/>
      <c r="O19" s="1230"/>
      <c r="P19" s="2014"/>
      <c r="Q19" s="1196"/>
      <c r="R19" s="1196"/>
      <c r="S19" s="1196"/>
      <c r="T19" s="1196"/>
      <c r="U19" s="1196"/>
      <c r="V19" s="1196"/>
    </row>
    <row r="20" spans="1:22" ht="18" customHeight="1">
      <c r="A20" s="2056" t="s">
        <v>2055</v>
      </c>
      <c r="B20" s="3460" t="s">
        <v>2056</v>
      </c>
      <c r="C20" s="3461"/>
      <c r="D20" s="3462" t="s">
        <v>2057</v>
      </c>
      <c r="E20" s="3463"/>
      <c r="F20" s="2062" t="s">
        <v>2058</v>
      </c>
      <c r="G20" s="1994"/>
      <c r="H20" s="1994"/>
      <c r="I20" s="1994"/>
      <c r="J20" s="1994"/>
      <c r="K20" s="3459" t="s">
        <v>2053</v>
      </c>
      <c r="L20" s="26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0"/>
      <c r="N20" s="2014"/>
      <c r="O20" s="1230"/>
      <c r="P20" s="2014"/>
      <c r="Q20" s="1196"/>
      <c r="R20" s="1196"/>
      <c r="S20" s="1196"/>
      <c r="T20" s="1196"/>
      <c r="U20" s="1196"/>
      <c r="V20" s="1196"/>
    </row>
    <row r="21" spans="1:22" ht="24.75" customHeight="1">
      <c r="A21" s="2056"/>
      <c r="B21" s="2057" t="s">
        <v>2059</v>
      </c>
      <c r="C21" s="2026" t="s">
        <v>2060</v>
      </c>
      <c r="D21" s="1983" t="s">
        <v>2063</v>
      </c>
      <c r="E21" s="2027" t="s">
        <v>2060</v>
      </c>
      <c r="F21" s="1972"/>
      <c r="G21" s="1994"/>
      <c r="H21" s="1994"/>
      <c r="I21" s="1994"/>
      <c r="J21" s="1994"/>
      <c r="K21" s="3459"/>
      <c r="L21" s="2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0"/>
      <c r="N21" s="2014"/>
      <c r="O21" s="1230"/>
      <c r="P21" s="2014"/>
      <c r="Q21" s="1196"/>
      <c r="R21" s="1196"/>
      <c r="S21" s="1196"/>
      <c r="T21" s="1196"/>
      <c r="U21" s="1196"/>
      <c r="V21" s="1196"/>
    </row>
    <row r="22" spans="1:22" ht="24.75" customHeight="1" thickBot="1">
      <c r="A22" s="2056"/>
      <c r="B22" s="2058" t="s">
        <v>2061</v>
      </c>
      <c r="C22" s="2026" t="s">
        <v>2062</v>
      </c>
      <c r="D22" s="1989"/>
      <c r="E22" s="1989"/>
      <c r="F22" s="2063"/>
      <c r="G22" s="1994"/>
      <c r="H22" s="1994"/>
      <c r="I22" s="1994"/>
      <c r="J22" s="1994"/>
      <c r="K22" s="3459"/>
      <c r="L22" s="2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30"/>
      <c r="P22" s="2014"/>
      <c r="Q22" s="1196"/>
      <c r="R22" s="1196"/>
      <c r="S22" s="1196"/>
      <c r="T22" s="1196"/>
      <c r="U22" s="1196"/>
      <c r="V22" s="1196"/>
    </row>
    <row r="23" spans="1:22" ht="18" customHeight="1">
      <c r="A23" s="1971" t="s">
        <v>2064</v>
      </c>
      <c r="B23" s="2059" t="s">
        <v>2065</v>
      </c>
      <c r="C23" s="2060"/>
      <c r="D23" s="1973" t="s">
        <v>2065</v>
      </c>
      <c r="E23" s="1981"/>
      <c r="F23" s="2063"/>
      <c r="G23" s="1994"/>
      <c r="H23" s="1994"/>
      <c r="I23" s="1994"/>
      <c r="J23" s="1994"/>
      <c r="K23" s="226"/>
      <c r="L23" s="2604"/>
      <c r="M23" s="1990"/>
      <c r="N23" s="2014"/>
      <c r="O23" s="1230"/>
      <c r="P23" s="2014"/>
      <c r="Q23" s="1196"/>
      <c r="R23" s="1196"/>
      <c r="S23" s="1196"/>
      <c r="T23" s="1196"/>
      <c r="U23" s="1196"/>
      <c r="V23" s="1196"/>
    </row>
    <row r="24" spans="1:22" ht="18" customHeight="1">
      <c r="A24" s="1974"/>
      <c r="B24" s="2059" t="s">
        <v>2066</v>
      </c>
      <c r="C24" s="2061"/>
      <c r="D24" s="1971" t="s">
        <v>2066</v>
      </c>
      <c r="E24" s="1982"/>
      <c r="F24" s="2063"/>
      <c r="G24" s="1994"/>
      <c r="H24" s="1994"/>
      <c r="I24" s="1994"/>
      <c r="J24" s="1994"/>
      <c r="K24" s="226"/>
      <c r="L24" s="2604"/>
      <c r="M24" s="1990"/>
      <c r="N24" s="2014"/>
      <c r="O24" s="1230"/>
      <c r="P24" s="2014"/>
      <c r="Q24" s="1196"/>
      <c r="R24" s="1196"/>
      <c r="S24" s="1196"/>
      <c r="T24" s="1196"/>
      <c r="U24" s="1196"/>
      <c r="V24" s="1196"/>
    </row>
    <row r="25" spans="1:22" ht="18" customHeight="1">
      <c r="A25" s="1974"/>
      <c r="B25" s="2059" t="s">
        <v>2067</v>
      </c>
      <c r="C25" s="2061"/>
      <c r="D25" s="1971" t="s">
        <v>2067</v>
      </c>
      <c r="E25" s="1982"/>
      <c r="F25" s="2063"/>
      <c r="G25" s="1994"/>
      <c r="H25" s="1994"/>
      <c r="I25" s="1994"/>
      <c r="J25" s="1994"/>
      <c r="K25" s="2097"/>
      <c r="L25" s="1990"/>
      <c r="M25" s="1990"/>
      <c r="N25" s="2014"/>
      <c r="O25" s="1230"/>
      <c r="P25" s="2014"/>
      <c r="Q25" s="1196"/>
      <c r="R25" s="1196"/>
      <c r="S25" s="1196"/>
      <c r="T25" s="1196"/>
      <c r="U25" s="1196"/>
      <c r="V25" s="1196"/>
    </row>
    <row r="26" spans="1:22" ht="18" customHeight="1" thickBot="1">
      <c r="A26" s="2051"/>
      <c r="B26" s="2064" t="s">
        <v>2068</v>
      </c>
      <c r="C26" s="2065"/>
      <c r="D26" s="2053" t="s">
        <v>2068</v>
      </c>
      <c r="E26" s="2052"/>
      <c r="F26" s="2066"/>
      <c r="G26" s="1993"/>
      <c r="H26" s="1993"/>
      <c r="I26" s="1993"/>
      <c r="J26" s="1994"/>
      <c r="K26" s="2097"/>
      <c r="L26" s="1990"/>
      <c r="M26" s="1990"/>
      <c r="N26" s="2014"/>
      <c r="O26" s="1230"/>
      <c r="P26" s="2014"/>
      <c r="Q26" s="1196"/>
      <c r="R26" s="1196"/>
      <c r="S26" s="1196"/>
      <c r="T26" s="1196"/>
      <c r="U26" s="1196"/>
      <c r="V26" s="1196"/>
    </row>
    <row r="27" spans="1:22" ht="18" customHeight="1" thickTop="1">
      <c r="A27" s="3447" t="s">
        <v>2072</v>
      </c>
      <c r="B27" s="2003" t="s">
        <v>2073</v>
      </c>
      <c r="C27" s="1924" t="s">
        <v>3207</v>
      </c>
      <c r="D27" s="1925"/>
      <c r="E27" s="1994"/>
      <c r="F27" s="1994"/>
      <c r="G27" s="1994"/>
      <c r="H27" s="1994"/>
      <c r="I27" s="1994"/>
      <c r="J27" s="1196"/>
      <c r="K27" s="2099"/>
      <c r="L27" s="1230"/>
      <c r="M27" s="1230"/>
      <c r="N27" s="2014"/>
      <c r="O27" s="1230"/>
      <c r="P27" s="2014"/>
      <c r="Q27" s="1196"/>
      <c r="R27" s="1196"/>
      <c r="S27" s="1196"/>
      <c r="T27" s="1196"/>
      <c r="U27" s="1196"/>
      <c r="V27" s="1196"/>
    </row>
    <row r="28" spans="1:22" ht="18" customHeight="1">
      <c r="A28" s="3447"/>
      <c r="B28" s="1934" t="s">
        <v>2074</v>
      </c>
      <c r="C28" s="1926" t="s">
        <v>3208</v>
      </c>
      <c r="D28" s="1927"/>
      <c r="E28" s="1994"/>
      <c r="F28" s="1994"/>
      <c r="G28" s="1994"/>
      <c r="H28" s="1994"/>
      <c r="I28" s="1994"/>
      <c r="J28" s="1196"/>
      <c r="K28" s="2103"/>
      <c r="L28" s="1990"/>
      <c r="M28" s="1990"/>
      <c r="N28" s="1196"/>
      <c r="O28" s="11"/>
      <c r="P28" s="1196"/>
      <c r="Q28" s="1196"/>
      <c r="R28" s="1196"/>
      <c r="S28" s="1196"/>
      <c r="T28" s="1196"/>
      <c r="U28" s="1196"/>
      <c r="V28" s="1196"/>
    </row>
    <row r="29" spans="1:22" ht="18" customHeight="1">
      <c r="A29" s="3447"/>
      <c r="B29" s="1934" t="s">
        <v>2075</v>
      </c>
      <c r="C29" s="1928" t="s">
        <v>41</v>
      </c>
      <c r="D29" s="1929"/>
      <c r="E29" s="1994"/>
      <c r="F29" s="1994"/>
      <c r="G29" s="1994"/>
      <c r="H29" s="1994"/>
      <c r="I29" s="1994"/>
      <c r="J29" s="1196"/>
      <c r="K29" s="2103"/>
      <c r="L29" s="1990"/>
      <c r="M29" s="1990"/>
      <c r="N29" s="1196"/>
      <c r="O29" s="11"/>
      <c r="P29" s="1196"/>
      <c r="Q29" s="1196"/>
      <c r="R29" s="1196"/>
      <c r="S29" s="1196"/>
      <c r="T29" s="1196"/>
      <c r="U29" s="1196"/>
      <c r="V29" s="1196"/>
    </row>
    <row r="30" spans="1:22" ht="18" customHeight="1">
      <c r="A30" s="3448"/>
      <c r="B30" s="1934" t="s">
        <v>2076</v>
      </c>
      <c r="C30" s="3449"/>
      <c r="D30" s="3450"/>
      <c r="E30" s="1994"/>
      <c r="F30" s="1994"/>
      <c r="G30" s="1994"/>
      <c r="H30" s="1994"/>
      <c r="I30" s="1994"/>
      <c r="J30" s="1196"/>
      <c r="K30" s="2103"/>
      <c r="L30" s="1990"/>
      <c r="M30" s="1990"/>
      <c r="N30" s="1196"/>
      <c r="O30" s="11"/>
      <c r="P30" s="1196"/>
      <c r="Q30" s="1196"/>
      <c r="R30" s="1196"/>
      <c r="S30" s="1196"/>
      <c r="T30" s="1196"/>
      <c r="U30" s="1196"/>
      <c r="V30" s="1196"/>
    </row>
    <row r="31" spans="1:22" ht="18" customHeight="1">
      <c r="A31" s="3451" t="s">
        <v>2077</v>
      </c>
      <c r="B31" s="1930" t="s">
        <v>3209</v>
      </c>
      <c r="C31" s="1931" t="str">
        <f>IF(B31="现房","成新及维护状况正常否",IF(B31="在建","工程状态是否正常",IF(B31="土地","是否闲置","-")))</f>
        <v>成新及维护状况正常否</v>
      </c>
      <c r="D31" s="2004"/>
      <c r="E31" s="1932"/>
      <c r="F31" s="1994"/>
      <c r="G31" s="1994"/>
      <c r="H31" s="1994"/>
      <c r="I31" s="1994"/>
      <c r="J31" s="1994"/>
      <c r="K31" s="2101"/>
      <c r="L31" s="1990"/>
      <c r="M31" s="1990"/>
      <c r="N31" s="1196"/>
      <c r="O31" s="11"/>
      <c r="P31" s="1196"/>
      <c r="Q31" s="1196"/>
      <c r="R31" s="1196"/>
      <c r="S31" s="1196"/>
      <c r="T31" s="1196"/>
      <c r="U31" s="1196"/>
      <c r="V31" s="1196"/>
    </row>
    <row r="32" spans="1:22" ht="18" customHeight="1">
      <c r="A32" s="3452"/>
      <c r="B32" s="1930" t="s">
        <v>3209</v>
      </c>
      <c r="C32" s="1931" t="str">
        <f>IF(B32="现房","成新及维护状况是否正常",IF(B32="在建","工程状态是否正常",IF(B32="土地","是否闲置","-")))</f>
        <v>成新及维护状况是否正常</v>
      </c>
      <c r="D32" s="2004"/>
      <c r="E32" s="1932"/>
      <c r="F32" s="1994"/>
      <c r="G32" s="1994"/>
      <c r="H32" s="1994"/>
      <c r="I32" s="1994"/>
      <c r="J32" s="1994"/>
      <c r="K32" s="2097"/>
      <c r="L32" s="1990"/>
      <c r="M32" s="1990"/>
      <c r="N32" s="1196"/>
      <c r="O32" s="11"/>
      <c r="P32" s="1196"/>
      <c r="Q32" s="1196"/>
      <c r="R32" s="1196"/>
      <c r="S32" s="1196"/>
      <c r="T32" s="1196"/>
      <c r="U32" s="1196"/>
      <c r="V32" s="1196"/>
    </row>
    <row r="33" spans="1:22" ht="18" customHeight="1">
      <c r="A33" s="3452"/>
      <c r="B33" s="1951" t="s">
        <v>3209</v>
      </c>
      <c r="C33" s="1952" t="str">
        <f>IF(B33="现房","成新及维护状况是否正常",IF(B33="在建","工程状态是否正常",IF(B33="土地","是否闲置","-")))</f>
        <v>成新及维护状况是否正常</v>
      </c>
      <c r="D33" s="2005"/>
      <c r="E33" s="1953"/>
      <c r="F33" s="1994"/>
      <c r="G33" s="1994"/>
      <c r="H33" s="1994"/>
      <c r="I33" s="1994"/>
      <c r="J33" s="1994"/>
      <c r="K33" s="2097"/>
      <c r="L33" s="1990"/>
      <c r="M33" s="1990"/>
      <c r="N33" s="1196"/>
      <c r="O33" s="11"/>
      <c r="P33" s="1196"/>
      <c r="Q33" s="1196"/>
      <c r="R33" s="1196"/>
      <c r="S33" s="1196"/>
      <c r="T33" s="1196"/>
      <c r="U33" s="1196"/>
      <c r="V33" s="1196"/>
    </row>
    <row r="34" spans="1:22" ht="18" customHeight="1">
      <c r="A34" s="1934" t="s">
        <v>2032</v>
      </c>
      <c r="B34" s="1954" t="s">
        <v>3210</v>
      </c>
      <c r="C34" s="1954" t="s">
        <v>3211</v>
      </c>
      <c r="D34" s="1954" t="s">
        <v>3212</v>
      </c>
      <c r="E34" s="1954" t="s">
        <v>3213</v>
      </c>
      <c r="F34" s="1954" t="s">
        <v>3214</v>
      </c>
      <c r="G34" s="1954" t="s">
        <v>3215</v>
      </c>
      <c r="H34" s="1954" t="s">
        <v>3216</v>
      </c>
      <c r="I34" s="1994"/>
      <c r="J34" s="1994"/>
      <c r="K34" s="2881">
        <f>COUNTIF(B34:H34,"——")</f>
        <v>0</v>
      </c>
      <c r="L34" s="2006" t="s">
        <v>2106</v>
      </c>
      <c r="M34" s="2006" t="s">
        <v>2107</v>
      </c>
      <c r="N34" s="2006" t="s">
        <v>2108</v>
      </c>
      <c r="O34" s="2006" t="s">
        <v>2109</v>
      </c>
      <c r="P34" s="2006" t="s">
        <v>2110</v>
      </c>
      <c r="Q34" s="2006" t="s">
        <v>2111</v>
      </c>
      <c r="R34" s="2006" t="s">
        <v>2112</v>
      </c>
      <c r="S34" s="3446" t="s">
        <v>2113</v>
      </c>
      <c r="T34" s="2007" t="str">
        <f>NUMBERSTRING(7-K34,1)&amp;"通"</f>
        <v>七通</v>
      </c>
      <c r="U34" s="1196"/>
      <c r="V34" s="1196"/>
    </row>
    <row r="35" spans="1:22" ht="18" customHeight="1">
      <c r="A35" s="2008"/>
      <c r="B35" s="3453" t="s">
        <v>1876</v>
      </c>
      <c r="C35" s="3453"/>
      <c r="D35" s="3453"/>
      <c r="E35" s="3453"/>
      <c r="F35" s="2009">
        <f>C10</f>
        <v>0</v>
      </c>
      <c r="G35" s="1994"/>
      <c r="H35" s="1994"/>
      <c r="I35" s="1994"/>
      <c r="J35" s="1994"/>
      <c r="K35" s="2006"/>
      <c r="L35" s="2006"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46"/>
      <c r="T35" s="23" t="str">
        <f>IF(T34="一通",L35,IF(T34="二通",M35,IF(T34="三通",N35,IF(T34="四通",O35,IF(T34="五通",P35,IF(T34="六通",Q35,R35))))))</f>
        <v>通路、通电、通讯、通上水、通下水、燃气、平整</v>
      </c>
      <c r="U35" s="1196"/>
      <c r="V35" s="1196"/>
    </row>
    <row r="36" spans="1:22" ht="18" customHeight="1">
      <c r="A36" s="2010"/>
      <c r="B36" s="2009" t="s">
        <v>1956</v>
      </c>
      <c r="C36" s="2009" t="s">
        <v>1952</v>
      </c>
      <c r="D36" s="2009" t="s">
        <v>1951</v>
      </c>
      <c r="E36" s="2009" t="s">
        <v>1953</v>
      </c>
      <c r="F36" s="2011"/>
      <c r="G36" s="1994"/>
      <c r="H36" s="1994"/>
      <c r="I36" s="1994"/>
      <c r="J36" s="1994"/>
      <c r="K36" s="2097"/>
      <c r="L36" s="1990"/>
      <c r="M36" s="1990"/>
      <c r="N36" s="1196"/>
      <c r="O36" s="11"/>
      <c r="P36" s="1196"/>
      <c r="Q36" s="1196"/>
      <c r="R36" s="1196"/>
      <c r="S36" s="1196"/>
      <c r="T36" s="1196"/>
      <c r="U36" s="1196"/>
      <c r="V36" s="1196"/>
    </row>
    <row r="37" spans="1:22" ht="18" customHeight="1">
      <c r="A37" s="2012" t="s">
        <v>1875</v>
      </c>
      <c r="B37" s="2013"/>
      <c r="C37" s="2013"/>
      <c r="D37" s="2013"/>
      <c r="E37" s="2013"/>
      <c r="F37" s="2011"/>
      <c r="G37" s="1994"/>
      <c r="H37" s="1994"/>
      <c r="I37" s="1994"/>
      <c r="J37" s="1994"/>
      <c r="K37" s="2097"/>
      <c r="L37" s="1990"/>
      <c r="M37" s="1990"/>
      <c r="N37" s="1196"/>
      <c r="O37" s="11"/>
      <c r="P37" s="1196"/>
      <c r="Q37" s="1196"/>
      <c r="R37" s="1196"/>
      <c r="S37" s="1196"/>
      <c r="T37" s="1196"/>
      <c r="U37" s="1196"/>
      <c r="V37" s="1196"/>
    </row>
    <row r="38" spans="1:22" ht="18" customHeight="1" thickBot="1">
      <c r="A38" s="2040" t="s">
        <v>1877</v>
      </c>
      <c r="B38" s="2041"/>
      <c r="C38" s="2041"/>
      <c r="D38" s="2041"/>
      <c r="E38" s="2041"/>
      <c r="F38" s="2042"/>
      <c r="G38" s="1993"/>
      <c r="H38" s="1993"/>
      <c r="I38" s="1993"/>
      <c r="J38" s="1994"/>
      <c r="K38" s="2097"/>
      <c r="L38" s="1990"/>
      <c r="M38" s="1990"/>
      <c r="N38" s="1196"/>
      <c r="O38" s="11"/>
      <c r="P38" s="1196"/>
      <c r="Q38" s="1196"/>
      <c r="R38" s="1196"/>
      <c r="S38" s="1196"/>
      <c r="T38" s="1196"/>
      <c r="U38" s="1196"/>
      <c r="V38" s="1196"/>
    </row>
    <row r="39" spans="1:22" s="3309" customFormat="1" ht="18" customHeight="1" thickTop="1" thickBot="1">
      <c r="A39" s="3310" t="s">
        <v>3041</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6"/>
      <c r="B40" s="1196"/>
      <c r="C40" s="1196"/>
      <c r="D40" s="1196"/>
      <c r="E40" s="1196"/>
      <c r="F40" s="1196"/>
      <c r="G40" s="1196"/>
      <c r="H40" s="1196"/>
      <c r="I40" s="1217"/>
      <c r="J40" s="2014"/>
      <c r="K40" s="2102"/>
      <c r="L40" s="1230"/>
      <c r="M40" s="1230"/>
      <c r="N40" s="2014"/>
      <c r="O40" s="1230"/>
      <c r="P40" s="1196"/>
      <c r="Q40" s="1196"/>
      <c r="R40" s="1196"/>
      <c r="S40" s="1196"/>
      <c r="T40" s="1196"/>
      <c r="U40" s="1196"/>
      <c r="V40" s="1196"/>
    </row>
    <row r="41" spans="1:22" ht="18" customHeight="1">
      <c r="A41" s="2015" t="s">
        <v>2078</v>
      </c>
      <c r="B41" s="2016"/>
      <c r="C41" s="2017"/>
      <c r="D41" s="1196"/>
      <c r="E41" s="1196"/>
      <c r="F41" s="1196"/>
      <c r="G41" s="1196"/>
      <c r="H41" s="1196"/>
      <c r="I41" s="11"/>
      <c r="J41" s="1196"/>
      <c r="K41" s="2103"/>
      <c r="L41" s="1990"/>
      <c r="M41" s="1990"/>
      <c r="N41" s="1196"/>
      <c r="O41" s="11"/>
      <c r="P41" s="1196"/>
      <c r="Q41" s="1196"/>
      <c r="R41" s="1196"/>
      <c r="S41" s="1196"/>
      <c r="T41" s="1196"/>
      <c r="U41" s="1196"/>
      <c r="V41" s="1196"/>
    </row>
    <row r="42" spans="1:22" ht="18" customHeight="1">
      <c r="A42" s="2006" t="s">
        <v>2079</v>
      </c>
      <c r="B42" s="1980" t="s">
        <v>2080</v>
      </c>
      <c r="C42" s="1980" t="s">
        <v>2081</v>
      </c>
      <c r="D42" s="1980" t="s">
        <v>2082</v>
      </c>
      <c r="E42" s="1980" t="s">
        <v>2083</v>
      </c>
      <c r="F42" s="1980" t="s">
        <v>2084</v>
      </c>
      <c r="G42" s="1980" t="s">
        <v>2085</v>
      </c>
      <c r="H42" s="1980" t="s">
        <v>2086</v>
      </c>
      <c r="I42" s="1980" t="s">
        <v>2087</v>
      </c>
      <c r="J42" s="2093" t="s">
        <v>2088</v>
      </c>
      <c r="K42" s="2018" t="s">
        <v>2089</v>
      </c>
      <c r="L42" s="2018" t="s">
        <v>2090</v>
      </c>
      <c r="M42" s="2018" t="s">
        <v>2091</v>
      </c>
      <c r="N42" s="1980" t="s">
        <v>2092</v>
      </c>
      <c r="O42" s="1980" t="s">
        <v>2093</v>
      </c>
      <c r="P42" s="1980" t="s">
        <v>2094</v>
      </c>
      <c r="Q42" s="2006" t="s">
        <v>2095</v>
      </c>
      <c r="R42" s="2006" t="s">
        <v>2096</v>
      </c>
      <c r="S42" s="1196"/>
      <c r="T42" s="1196"/>
      <c r="U42" s="1196"/>
      <c r="V42" s="1196"/>
    </row>
    <row r="43" spans="1:22" s="2234" customFormat="1" ht="18" customHeight="1">
      <c r="A43" s="1416"/>
      <c r="B43" s="216"/>
      <c r="C43" s="216"/>
      <c r="D43" s="216"/>
      <c r="E43" s="216"/>
      <c r="F43" s="216"/>
      <c r="G43" s="216"/>
      <c r="H43" s="2"/>
      <c r="I43" s="2"/>
      <c r="J43" s="9"/>
      <c r="K43" s="4"/>
      <c r="L43" s="4"/>
      <c r="M43" s="2"/>
      <c r="N43" s="216"/>
      <c r="O43" s="2"/>
      <c r="P43" s="216"/>
      <c r="Q43" s="216"/>
      <c r="R43" s="216"/>
      <c r="S43" s="3240"/>
      <c r="T43" s="3240"/>
      <c r="U43" s="3240"/>
      <c r="V43" s="3240"/>
    </row>
    <row r="44" spans="1:22" s="2234" customFormat="1" ht="18" customHeight="1">
      <c r="A44" s="1416"/>
      <c r="B44" s="1416"/>
      <c r="C44" s="216"/>
      <c r="D44" s="216"/>
      <c r="E44" s="216"/>
      <c r="F44" s="216"/>
      <c r="G44" s="216"/>
      <c r="H44" s="2"/>
      <c r="I44" s="2"/>
      <c r="J44" s="9"/>
      <c r="K44" s="4"/>
      <c r="L44" s="4"/>
      <c r="M44" s="2"/>
      <c r="N44" s="216"/>
      <c r="O44" s="2"/>
      <c r="P44" s="216"/>
      <c r="Q44" s="216"/>
      <c r="R44" s="216"/>
      <c r="S44" s="3240"/>
      <c r="T44" s="3240"/>
      <c r="U44" s="3240"/>
      <c r="V44" s="3240"/>
    </row>
    <row r="45" spans="1:22" s="2234" customFormat="1" ht="18" customHeight="1">
      <c r="A45" s="1416"/>
      <c r="B45" s="1416"/>
      <c r="C45" s="216"/>
      <c r="D45" s="216"/>
      <c r="E45" s="216"/>
      <c r="F45" s="216"/>
      <c r="G45" s="216"/>
      <c r="H45" s="2"/>
      <c r="I45" s="2"/>
      <c r="J45" s="9"/>
      <c r="K45" s="4"/>
      <c r="L45" s="4"/>
      <c r="M45" s="2"/>
      <c r="N45" s="216"/>
      <c r="O45" s="2"/>
      <c r="P45" s="216"/>
      <c r="Q45" s="216"/>
      <c r="R45" s="216"/>
      <c r="S45" s="3240"/>
      <c r="T45" s="3240"/>
      <c r="U45" s="3240"/>
      <c r="V45" s="3240"/>
    </row>
    <row r="46" spans="1:22" s="2234" customFormat="1" ht="18" customHeight="1">
      <c r="A46" s="1416"/>
      <c r="B46" s="1416"/>
      <c r="C46" s="216"/>
      <c r="D46" s="216"/>
      <c r="E46" s="216"/>
      <c r="F46" s="216"/>
      <c r="G46" s="216"/>
      <c r="H46" s="2"/>
      <c r="I46" s="2"/>
      <c r="J46" s="9"/>
      <c r="K46" s="4"/>
      <c r="L46" s="4"/>
      <c r="M46" s="2"/>
      <c r="N46" s="216"/>
      <c r="O46" s="2"/>
      <c r="P46" s="216"/>
      <c r="Q46" s="216"/>
      <c r="R46" s="216"/>
      <c r="S46" s="3240"/>
      <c r="T46" s="3240"/>
      <c r="U46" s="3240"/>
      <c r="V46" s="3240"/>
    </row>
    <row r="47" spans="1:22" s="2234" customFormat="1" ht="18" customHeight="1">
      <c r="A47" s="1416"/>
      <c r="B47" s="1416"/>
      <c r="C47" s="216"/>
      <c r="D47" s="216"/>
      <c r="E47" s="216"/>
      <c r="F47" s="216"/>
      <c r="G47" s="216"/>
      <c r="H47" s="2"/>
      <c r="I47" s="2"/>
      <c r="J47" s="9"/>
      <c r="K47" s="4"/>
      <c r="L47" s="4"/>
      <c r="M47" s="2"/>
      <c r="N47" s="216"/>
      <c r="O47" s="2"/>
      <c r="P47" s="216"/>
      <c r="Q47" s="216"/>
      <c r="R47" s="216"/>
      <c r="S47" s="3240"/>
      <c r="T47" s="3240"/>
      <c r="U47" s="3240"/>
      <c r="V47" s="3240"/>
    </row>
    <row r="48" spans="1:22" s="2234" customFormat="1" ht="18" customHeight="1">
      <c r="A48" s="1416"/>
      <c r="B48" s="1416"/>
      <c r="C48" s="216"/>
      <c r="D48" s="216"/>
      <c r="E48" s="216"/>
      <c r="F48" s="216"/>
      <c r="G48" s="216"/>
      <c r="H48" s="2"/>
      <c r="I48" s="2"/>
      <c r="J48" s="9"/>
      <c r="K48" s="4"/>
      <c r="L48" s="4"/>
      <c r="M48" s="2"/>
      <c r="N48" s="216"/>
      <c r="O48" s="2"/>
      <c r="P48" s="216"/>
      <c r="Q48" s="216"/>
      <c r="R48" s="216"/>
      <c r="S48" s="3240"/>
      <c r="T48" s="3240"/>
      <c r="U48" s="3240"/>
      <c r="V48" s="3240"/>
    </row>
    <row r="49" spans="1:22" s="2234" customFormat="1" ht="18" customHeight="1">
      <c r="A49" s="1416"/>
      <c r="B49" s="1416"/>
      <c r="C49" s="216"/>
      <c r="D49" s="216"/>
      <c r="E49" s="216"/>
      <c r="F49" s="216"/>
      <c r="G49" s="216"/>
      <c r="H49" s="2"/>
      <c r="I49" s="2"/>
      <c r="J49" s="9"/>
      <c r="K49" s="4"/>
      <c r="L49" s="4"/>
      <c r="M49" s="2"/>
      <c r="N49" s="216"/>
      <c r="O49" s="2"/>
      <c r="P49" s="216"/>
      <c r="Q49" s="216"/>
      <c r="R49" s="216"/>
      <c r="S49" s="3240"/>
      <c r="T49" s="3240"/>
      <c r="U49" s="3240"/>
      <c r="V49" s="3240"/>
    </row>
    <row r="50" spans="1:22" s="2234" customFormat="1" ht="18" customHeight="1">
      <c r="A50" s="1416"/>
      <c r="B50" s="1416"/>
      <c r="C50" s="216"/>
      <c r="D50" s="216"/>
      <c r="E50" s="216"/>
      <c r="F50" s="216"/>
      <c r="G50" s="216"/>
      <c r="H50" s="2"/>
      <c r="I50" s="2"/>
      <c r="J50" s="9"/>
      <c r="K50" s="4"/>
      <c r="L50" s="4"/>
      <c r="M50" s="2"/>
      <c r="N50" s="216"/>
      <c r="O50" s="2"/>
      <c r="P50" s="216"/>
      <c r="Q50" s="216"/>
      <c r="R50" s="216"/>
      <c r="S50" s="3240"/>
      <c r="T50" s="3240"/>
      <c r="U50" s="3240"/>
      <c r="V50" s="3240"/>
    </row>
    <row r="51" spans="1:22" s="2234" customFormat="1" ht="18" customHeight="1">
      <c r="A51" s="1416"/>
      <c r="B51" s="1416"/>
      <c r="C51" s="216"/>
      <c r="D51" s="216"/>
      <c r="E51" s="216"/>
      <c r="F51" s="216"/>
      <c r="G51" s="216"/>
      <c r="H51" s="2"/>
      <c r="I51" s="2"/>
      <c r="J51" s="9"/>
      <c r="K51" s="4"/>
      <c r="L51" s="4"/>
      <c r="M51" s="2"/>
      <c r="N51" s="216"/>
      <c r="O51" s="2"/>
      <c r="P51" s="216"/>
      <c r="Q51" s="216"/>
      <c r="R51" s="216"/>
    </row>
    <row r="52" spans="1:22" s="2234" customFormat="1" ht="18" customHeight="1">
      <c r="A52" s="2019"/>
      <c r="B52" s="2019"/>
      <c r="C52" s="2019"/>
      <c r="D52" s="2019"/>
      <c r="E52" s="2019"/>
      <c r="F52" s="2"/>
      <c r="G52" s="2019"/>
      <c r="H52" s="2019"/>
      <c r="I52" s="2019"/>
      <c r="J52" s="2094"/>
      <c r="K52" s="4"/>
      <c r="L52" s="4"/>
      <c r="M52" s="4"/>
      <c r="N52" s="2019"/>
      <c r="O52" s="2019"/>
      <c r="P52" s="2019"/>
      <c r="Q52" s="2019"/>
      <c r="R52" s="2019"/>
    </row>
    <row r="53" spans="1:22" s="2234" customFormat="1" ht="18" customHeight="1">
      <c r="A53" s="2019"/>
      <c r="B53" s="2019"/>
      <c r="C53" s="2019"/>
      <c r="D53" s="2019"/>
      <c r="E53" s="2019"/>
      <c r="F53" s="2"/>
      <c r="G53" s="2019"/>
      <c r="H53" s="2019"/>
      <c r="I53" s="2019"/>
      <c r="J53" s="2094"/>
      <c r="K53" s="4"/>
      <c r="L53" s="4"/>
      <c r="M53" s="4"/>
      <c r="N53" s="2019"/>
      <c r="O53" s="2019"/>
      <c r="P53" s="2019"/>
      <c r="Q53" s="2019"/>
      <c r="R53" s="2019"/>
    </row>
    <row r="54" spans="1:22" s="2234" customFormat="1" ht="18" customHeight="1">
      <c r="A54" s="2019"/>
      <c r="B54" s="2019"/>
      <c r="C54" s="2019"/>
      <c r="D54" s="2019"/>
      <c r="E54" s="2019"/>
      <c r="F54" s="2"/>
      <c r="G54" s="2019"/>
      <c r="H54" s="2019"/>
      <c r="I54" s="2019"/>
      <c r="J54" s="2094"/>
      <c r="K54" s="4"/>
      <c r="L54" s="4"/>
      <c r="M54" s="4"/>
      <c r="N54" s="2019"/>
      <c r="O54" s="2019"/>
      <c r="P54" s="2019"/>
      <c r="Q54" s="2019"/>
      <c r="R54" s="2019"/>
    </row>
    <row r="55" spans="1:22" s="2234" customFormat="1" ht="18" customHeight="1">
      <c r="A55" s="2019"/>
      <c r="B55" s="2019"/>
      <c r="C55" s="2019"/>
      <c r="D55" s="2019"/>
      <c r="E55" s="2019"/>
      <c r="F55" s="2"/>
      <c r="G55" s="2019"/>
      <c r="H55" s="2019"/>
      <c r="I55" s="2019"/>
      <c r="J55" s="2094"/>
      <c r="K55" s="4"/>
      <c r="L55" s="4"/>
      <c r="M55" s="4"/>
      <c r="N55" s="2019"/>
      <c r="O55" s="2019"/>
      <c r="P55" s="2019"/>
      <c r="Q55" s="2019"/>
      <c r="R55" s="2019"/>
    </row>
    <row r="56" spans="1:22" s="2234" customFormat="1" ht="18" customHeight="1">
      <c r="A56" s="2019"/>
      <c r="B56" s="2019"/>
      <c r="C56" s="2019"/>
      <c r="D56" s="2019"/>
      <c r="E56" s="2019"/>
      <c r="F56" s="2"/>
      <c r="G56" s="2019"/>
      <c r="H56" s="2019"/>
      <c r="I56" s="2019"/>
      <c r="J56" s="2094"/>
      <c r="K56" s="4"/>
      <c r="L56" s="4"/>
      <c r="M56" s="4"/>
      <c r="N56" s="2019"/>
      <c r="O56" s="2019"/>
      <c r="P56" s="2019"/>
      <c r="Q56" s="2019"/>
      <c r="R56" s="201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N16" sqref="AN16"/>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2.75" style="1162" customWidth="1"/>
    <col min="10" max="10" width="9.5" style="1162" customWidth="1"/>
    <col min="11" max="11" width="11" style="1162" hidden="1" customWidth="1"/>
    <col min="12" max="14" width="9.5" style="1162" hidden="1"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37" width="9.5" style="1162" hidden="1" customWidth="1"/>
    <col min="38" max="38" width="13.375" style="1162" customWidth="1"/>
    <col min="39"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3" t="s">
        <v>2414</v>
      </c>
      <c r="AZ2" s="2514" t="s">
        <v>2415</v>
      </c>
      <c r="BA2" s="2515" t="s">
        <v>2416</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Sheet2!B11</f>
        <v>104051.87000000001</v>
      </c>
      <c r="B3" s="302">
        <f>IF(C3="否",G5-AT5,G5)</f>
        <v>88021.11</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16"/>
      <c r="AZ3" s="2517"/>
      <c r="BA3" s="2518"/>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88021.11</v>
      </c>
      <c r="H5" s="305">
        <f t="shared" ref="H5:AT5" si="0">SUM(H13:H656)</f>
        <v>62053.11</v>
      </c>
      <c r="I5" s="305">
        <f t="shared" si="0"/>
        <v>62053.11</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25968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6564</v>
      </c>
      <c r="AM5" s="305">
        <f t="shared" si="0"/>
        <v>0</v>
      </c>
      <c r="AN5" s="305">
        <f t="shared" si="0"/>
        <v>19404</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88021.11</v>
      </c>
      <c r="BA5" s="307">
        <f t="shared" si="1"/>
        <v>62053.11</v>
      </c>
      <c r="BB5" s="307">
        <f t="shared" si="1"/>
        <v>62053.11</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25968</v>
      </c>
      <c r="BM5" s="307">
        <f t="shared" si="1"/>
        <v>0</v>
      </c>
      <c r="BN5" s="307">
        <f t="shared" si="1"/>
        <v>0</v>
      </c>
      <c r="BO5" s="307">
        <f t="shared" si="1"/>
        <v>0</v>
      </c>
      <c r="BP5" s="307">
        <f t="shared" si="1"/>
        <v>0</v>
      </c>
      <c r="BQ5" s="307">
        <f t="shared" si="1"/>
        <v>6564</v>
      </c>
      <c r="BR5" s="307">
        <f t="shared" si="1"/>
        <v>19404</v>
      </c>
      <c r="BS5" s="307">
        <f t="shared" si="1"/>
        <v>0</v>
      </c>
      <c r="BT5" s="308">
        <f t="shared" si="1"/>
        <v>0</v>
      </c>
    </row>
    <row r="6" spans="1:72" s="1170" customFormat="1" ht="12.75">
      <c r="A6" s="83" t="s">
        <v>618</v>
      </c>
      <c r="B6" s="223"/>
      <c r="C6" s="223"/>
      <c r="D6" s="224"/>
      <c r="E6" s="305">
        <f>H6+AC6+AT6</f>
        <v>104051.86</v>
      </c>
      <c r="F6" s="305" t="s">
        <v>23</v>
      </c>
      <c r="G6" s="305" t="s">
        <v>25</v>
      </c>
      <c r="H6" s="309">
        <f>SUMIF(I$12:AB$12,"总值",I6:AB6)</f>
        <v>73354.47</v>
      </c>
      <c r="I6" s="305">
        <f t="shared" ref="I6:AB6" si="2">ROUND($A$3*I5/$B$3,2)</f>
        <v>73354.47</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30697.39</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7759.46</v>
      </c>
      <c r="AM6" s="305">
        <f t="shared" si="3"/>
        <v>0</v>
      </c>
      <c r="AN6" s="305">
        <f t="shared" si="3"/>
        <v>22937.93</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104051.87</v>
      </c>
      <c r="AZ6" s="305" t="s">
        <v>29</v>
      </c>
      <c r="BA6" s="305">
        <f>ROUND($AY$6*BA5/$AZ$5,2)</f>
        <v>73354.47</v>
      </c>
      <c r="BB6" s="305">
        <f>ROUND($AY$6*BB5/$AZ$5,2)</f>
        <v>73354.47</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30697.4</v>
      </c>
      <c r="BM6" s="305">
        <f t="shared" si="5"/>
        <v>0</v>
      </c>
      <c r="BN6" s="305">
        <f t="shared" si="5"/>
        <v>0</v>
      </c>
      <c r="BO6" s="305">
        <f t="shared" si="5"/>
        <v>0</v>
      </c>
      <c r="BP6" s="305">
        <f t="shared" si="5"/>
        <v>0</v>
      </c>
      <c r="BQ6" s="305">
        <f t="shared" si="5"/>
        <v>7759.46</v>
      </c>
      <c r="BR6" s="305">
        <f t="shared" si="5"/>
        <v>22937.93</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3047</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86"/>
      <c r="AF10" s="83" t="s">
        <v>31</v>
      </c>
      <c r="AG10" s="2486"/>
      <c r="AH10" s="83" t="s">
        <v>32</v>
      </c>
      <c r="AI10" s="2486"/>
      <c r="AJ10" s="83" t="s">
        <v>32</v>
      </c>
      <c r="AK10" s="2486"/>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3221</v>
      </c>
      <c r="J11" s="259"/>
      <c r="K11" s="258"/>
      <c r="L11" s="259"/>
      <c r="M11" s="258"/>
      <c r="N11" s="259"/>
      <c r="O11" s="258"/>
      <c r="P11" s="259"/>
      <c r="Q11" s="258"/>
      <c r="R11" s="259"/>
      <c r="S11" s="258"/>
      <c r="T11" s="259"/>
      <c r="U11" s="258"/>
      <c r="V11" s="259"/>
      <c r="W11" s="258"/>
      <c r="X11" s="259"/>
      <c r="Y11" s="258"/>
      <c r="Z11" s="259"/>
      <c r="AA11" s="258"/>
      <c r="AB11" s="259"/>
      <c r="AC11" s="240"/>
      <c r="AD11" s="2506" t="s">
        <v>2403</v>
      </c>
      <c r="AE11" s="2485"/>
      <c r="AF11" s="2506" t="s">
        <v>2403</v>
      </c>
      <c r="AG11" s="2485"/>
      <c r="AH11" s="2506" t="s">
        <v>2404</v>
      </c>
      <c r="AI11" s="2507"/>
      <c r="AJ11" s="2506" t="s">
        <v>2404</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c r="A13" s="216"/>
      <c r="B13" s="216"/>
      <c r="C13" s="216"/>
      <c r="D13" s="217" t="s">
        <v>3049</v>
      </c>
      <c r="E13" s="305">
        <f>IF($C$3="是",ROUND($A$3*G13/$B$3,2),ROUND($A$3*(G13-AT13)/$B$3,2))</f>
        <v>0</v>
      </c>
      <c r="F13" s="321"/>
      <c r="G13" s="322">
        <f>H13+AC13+AT13</f>
        <v>0</v>
      </c>
      <c r="H13" s="309">
        <f>SUMIF(I$12:AB$12,"总值",I13:AB13)</f>
        <v>0</v>
      </c>
      <c r="I13" s="3323"/>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f t="shared" si="6"/>
        <v>0</v>
      </c>
      <c r="AY13" s="304">
        <f>ROUND($AY$6*AZ13/$AZ$5,2)</f>
        <v>0</v>
      </c>
      <c r="AZ13" s="305">
        <f>BA13+BL13</f>
        <v>0</v>
      </c>
      <c r="BA13" s="305">
        <f>SUM(BB13:BK13)</f>
        <v>0</v>
      </c>
      <c r="BB13" s="305">
        <f>IF($D13="是",I13-J13,0)</f>
        <v>0</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c r="A14" s="216"/>
      <c r="B14" s="216"/>
      <c r="C14" s="1416" t="s">
        <v>3245</v>
      </c>
      <c r="D14" s="217" t="s">
        <v>3049</v>
      </c>
      <c r="E14" s="305">
        <f>IF($C$3="是",ROUND($A$3*G14/$B$3,2),ROUND($A$3*(G14-AT14)/$B$3,2))</f>
        <v>23271.19</v>
      </c>
      <c r="F14" s="321"/>
      <c r="G14" s="322">
        <f>H14+AC14+AT14</f>
        <v>19685.91</v>
      </c>
      <c r="H14" s="309">
        <f>SUMIF(I$12:AB$12,"总值",I14:AB14)</f>
        <v>19685.91</v>
      </c>
      <c r="I14" s="3323">
        <v>19685.91</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str">
        <f t="shared" si="6"/>
        <v>二期3#楼</v>
      </c>
      <c r="AY14" s="304">
        <f>ROUND($AY$6*AZ14/$AZ$5,2)</f>
        <v>23271.19</v>
      </c>
      <c r="AZ14" s="305">
        <f>BA14+BL14</f>
        <v>19685.91</v>
      </c>
      <c r="BA14" s="305">
        <f>SUM(BB14:BK14)</f>
        <v>19685.91</v>
      </c>
      <c r="BB14" s="305">
        <f>IF($D14="是",I14-J14,0)</f>
        <v>19685.91</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c r="A15" s="216"/>
      <c r="B15" s="216"/>
      <c r="C15" s="1416" t="s">
        <v>3246</v>
      </c>
      <c r="D15" s="217" t="s">
        <v>3049</v>
      </c>
      <c r="E15" s="305">
        <f>IF($C$3="是",ROUND($A$3*G15/$B$3,2),ROUND($A$3*(G15-AT15)/$B$3,2))</f>
        <v>25562.14</v>
      </c>
      <c r="F15" s="321"/>
      <c r="G15" s="322">
        <f>H15+AC15+AT15</f>
        <v>21623.91</v>
      </c>
      <c r="H15" s="309">
        <f>SUMIF(I$12:AB$12,"总值",I15:AB15)</f>
        <v>21623.91</v>
      </c>
      <c r="I15" s="3323">
        <v>21623.91</v>
      </c>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t="e">
        <f>#REF!</f>
        <v>#REF!</v>
      </c>
      <c r="AY15" s="304">
        <f>ROUND($AY$6*AZ15/$AZ$5,2)</f>
        <v>25562.14</v>
      </c>
      <c r="AZ15" s="305">
        <f>BA15+BL15</f>
        <v>21623.91</v>
      </c>
      <c r="BA15" s="305">
        <f>SUM(BB15:BK15)</f>
        <v>21623.91</v>
      </c>
      <c r="BB15" s="305">
        <f>IF($D15="是",I15-J15,0)</f>
        <v>21623.91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c r="A16" s="216"/>
      <c r="B16" s="216"/>
      <c r="C16" s="1416" t="s">
        <v>3247</v>
      </c>
      <c r="D16" s="217" t="s">
        <v>3049</v>
      </c>
      <c r="E16" s="305">
        <f>IF($C$3="是",ROUND($A$3*G16/$B$3,2),ROUND($A$3*(G16-AT16)/$B$3,2))</f>
        <v>55218.54</v>
      </c>
      <c r="F16" s="321"/>
      <c r="G16" s="322">
        <f>H16+AC16+AT16</f>
        <v>46711.29</v>
      </c>
      <c r="H16" s="309">
        <f>SUMIF(I$12:AB$12,"总值",I16:AB16)</f>
        <v>20743.29</v>
      </c>
      <c r="I16" s="3323">
        <f>40147.29-19404</f>
        <v>20743.29</v>
      </c>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25968</v>
      </c>
      <c r="AD16" s="1418"/>
      <c r="AE16" s="1418"/>
      <c r="AF16" s="1418"/>
      <c r="AG16" s="1418"/>
      <c r="AH16" s="1418"/>
      <c r="AI16" s="1418"/>
      <c r="AJ16" s="1418"/>
      <c r="AK16" s="1418"/>
      <c r="AL16" s="3397">
        <f>180+288+48+6048</f>
        <v>6564</v>
      </c>
      <c r="AM16" s="1418"/>
      <c r="AN16" s="1418">
        <v>19404</v>
      </c>
      <c r="AO16" s="1418"/>
      <c r="AP16" s="1418"/>
      <c r="AQ16" s="1418"/>
      <c r="AR16" s="1418"/>
      <c r="AS16" s="1418"/>
      <c r="AT16" s="1419"/>
      <c r="AU16" s="215"/>
      <c r="AV16" s="82">
        <f t="shared" si="6"/>
        <v>0</v>
      </c>
      <c r="AW16" s="82">
        <f t="shared" si="6"/>
        <v>0</v>
      </c>
      <c r="AX16" s="82" t="str">
        <f>C15</f>
        <v>二期5#楼</v>
      </c>
      <c r="AY16" s="304">
        <f>ROUND($AY$6*AZ16/$AZ$5,2)</f>
        <v>55218.54</v>
      </c>
      <c r="AZ16" s="305">
        <f>BA16+BL16</f>
        <v>46711.29</v>
      </c>
      <c r="BA16" s="305">
        <f>SUM(BB16:BK16)</f>
        <v>20743.29</v>
      </c>
      <c r="BB16" s="305">
        <f>IF($D16="是",I16-J16,0)</f>
        <v>20743.29</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25968</v>
      </c>
      <c r="BM16" s="305">
        <f>IF($D16="是",AD16-AE16,0)</f>
        <v>0</v>
      </c>
      <c r="BN16" s="305">
        <f>IF($D16="是",AF16-AG16,0)</f>
        <v>0</v>
      </c>
      <c r="BO16" s="305">
        <f>IF($D16="是",AH16-AI16,0)</f>
        <v>0</v>
      </c>
      <c r="BP16" s="305">
        <f>IF($D16="是",AJ16-AK16,0)</f>
        <v>0</v>
      </c>
      <c r="BQ16" s="305">
        <f>IF($D16="是",AL16-AM16,0)</f>
        <v>6564</v>
      </c>
      <c r="BR16" s="305">
        <f>IF($D16="是",AN16-AO16,0)</f>
        <v>19404</v>
      </c>
      <c r="BS16" s="305">
        <f>IF($D16="是",AP16-AQ16,0)</f>
        <v>0</v>
      </c>
      <c r="BT16" s="311">
        <f>IF($D16="是",AR16-AS16,0)</f>
        <v>0</v>
      </c>
    </row>
    <row r="17" spans="1:72" s="1164" customFormat="1">
      <c r="A17" s="216"/>
      <c r="B17" s="216"/>
      <c r="C17" s="3388"/>
      <c r="D17" s="217" t="s">
        <v>3049</v>
      </c>
      <c r="E17" s="305">
        <f>IF($C$3="是",ROUND($A$3*G17/$B$3,2),ROUND($A$3*(G17-AT17)/$B$3,2))</f>
        <v>0</v>
      </c>
      <c r="F17" s="321"/>
      <c r="G17" s="322">
        <f>H17+AC17+AT17</f>
        <v>0</v>
      </c>
      <c r="H17" s="309">
        <f>SUMIF(I$12:AB$12,"总值",I17:AB17)</f>
        <v>0</v>
      </c>
      <c r="I17" s="3323"/>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t="str">
        <f>C16</f>
        <v>二期6#楼</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17" t="s">
        <v>3049</v>
      </c>
      <c r="E18" s="324">
        <f t="shared" ref="E18:E112" si="7">IF($C$3="是",ROUND($A$3*G18/$B$3,2),ROUND($A$3*(G18-AT18)/$B$3,2))</f>
        <v>0</v>
      </c>
      <c r="F18" s="325"/>
      <c r="G18" s="326">
        <f t="shared" ref="G18:G109" si="8">H18+AC18+AT18</f>
        <v>0</v>
      </c>
      <c r="H18" s="327">
        <f t="shared" ref="H18:H109" si="9">SUMIF(I$12:AB$12,"总值",I18:AB18)</f>
        <v>0</v>
      </c>
      <c r="I18" s="3323"/>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5">
        <f t="shared" ref="AV18:AV112" si="11">A18</f>
        <v>0</v>
      </c>
      <c r="AW18" s="2205">
        <f t="shared" ref="AW18:AW112" si="12">B18</f>
        <v>0</v>
      </c>
      <c r="AX18" s="2205">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17" t="s">
        <v>3049</v>
      </c>
      <c r="E19" s="324">
        <f t="shared" si="7"/>
        <v>0</v>
      </c>
      <c r="F19" s="325"/>
      <c r="G19" s="326">
        <f t="shared" si="8"/>
        <v>0</v>
      </c>
      <c r="H19" s="327">
        <f t="shared" si="9"/>
        <v>0</v>
      </c>
      <c r="I19" s="3323"/>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5">
        <f t="shared" si="11"/>
        <v>0</v>
      </c>
      <c r="AW19" s="2205">
        <f t="shared" si="12"/>
        <v>0</v>
      </c>
      <c r="AX19" s="2205">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17" t="s">
        <v>3049</v>
      </c>
      <c r="E20" s="324">
        <f t="shared" si="7"/>
        <v>0</v>
      </c>
      <c r="F20" s="325"/>
      <c r="G20" s="326">
        <f t="shared" si="8"/>
        <v>0</v>
      </c>
      <c r="H20" s="327">
        <f t="shared" si="9"/>
        <v>0</v>
      </c>
      <c r="I20" s="3323"/>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5">
        <f t="shared" si="11"/>
        <v>0</v>
      </c>
      <c r="AW20" s="2205">
        <f t="shared" si="12"/>
        <v>0</v>
      </c>
      <c r="AX20" s="2205">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17" t="s">
        <v>3049</v>
      </c>
      <c r="E21" s="324">
        <f t="shared" si="7"/>
        <v>0</v>
      </c>
      <c r="F21" s="325"/>
      <c r="G21" s="326">
        <f t="shared" si="8"/>
        <v>0</v>
      </c>
      <c r="H21" s="327">
        <f t="shared" si="9"/>
        <v>0</v>
      </c>
      <c r="I21" s="3323"/>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5">
        <f t="shared" si="11"/>
        <v>0</v>
      </c>
      <c r="AW21" s="2205">
        <f t="shared" si="12"/>
        <v>0</v>
      </c>
      <c r="AX21" s="2205">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17" t="s">
        <v>3049</v>
      </c>
      <c r="E22" s="324">
        <f t="shared" si="7"/>
        <v>0</v>
      </c>
      <c r="F22" s="325"/>
      <c r="G22" s="326">
        <f t="shared" si="8"/>
        <v>0</v>
      </c>
      <c r="H22" s="327">
        <f t="shared" si="9"/>
        <v>0</v>
      </c>
      <c r="I22" s="3323"/>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5">
        <f t="shared" si="11"/>
        <v>0</v>
      </c>
      <c r="AW22" s="2205">
        <f t="shared" si="12"/>
        <v>0</v>
      </c>
      <c r="AX22" s="2205">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7" t="s">
        <v>3049</v>
      </c>
      <c r="E23" s="324">
        <f t="shared" si="7"/>
        <v>0</v>
      </c>
      <c r="F23" s="325"/>
      <c r="G23" s="326">
        <f t="shared" si="8"/>
        <v>0</v>
      </c>
      <c r="H23" s="327">
        <f t="shared" si="9"/>
        <v>0</v>
      </c>
      <c r="I23" s="3323"/>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5">
        <f t="shared" si="11"/>
        <v>0</v>
      </c>
      <c r="AW23" s="2205">
        <f t="shared" si="12"/>
        <v>0</v>
      </c>
      <c r="AX23" s="2205">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7" t="s">
        <v>3049</v>
      </c>
      <c r="E24" s="324">
        <f t="shared" si="7"/>
        <v>0</v>
      </c>
      <c r="F24" s="325"/>
      <c r="G24" s="326">
        <f t="shared" si="8"/>
        <v>0</v>
      </c>
      <c r="H24" s="327">
        <f t="shared" si="9"/>
        <v>0</v>
      </c>
      <c r="I24" s="3323"/>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5">
        <f t="shared" si="11"/>
        <v>0</v>
      </c>
      <c r="AW24" s="2205">
        <f t="shared" si="12"/>
        <v>0</v>
      </c>
      <c r="AX24" s="2205">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7" t="s">
        <v>3049</v>
      </c>
      <c r="E25" s="324">
        <f t="shared" si="7"/>
        <v>0</v>
      </c>
      <c r="F25" s="325"/>
      <c r="G25" s="326">
        <f t="shared" si="8"/>
        <v>0</v>
      </c>
      <c r="H25" s="327">
        <f t="shared" si="9"/>
        <v>0</v>
      </c>
      <c r="I25" s="3323"/>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5">
        <f t="shared" si="11"/>
        <v>0</v>
      </c>
      <c r="AW25" s="2205">
        <f t="shared" si="12"/>
        <v>0</v>
      </c>
      <c r="AX25" s="2205">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7" t="s">
        <v>3049</v>
      </c>
      <c r="E26" s="324">
        <f t="shared" si="7"/>
        <v>0</v>
      </c>
      <c r="F26" s="325"/>
      <c r="G26" s="326">
        <f t="shared" si="8"/>
        <v>0</v>
      </c>
      <c r="H26" s="327">
        <f t="shared" si="9"/>
        <v>0</v>
      </c>
      <c r="I26" s="3323"/>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5">
        <f t="shared" si="11"/>
        <v>0</v>
      </c>
      <c r="AW26" s="2205">
        <f t="shared" si="12"/>
        <v>0</v>
      </c>
      <c r="AX26" s="2205">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7" t="s">
        <v>3049</v>
      </c>
      <c r="E27" s="324">
        <f t="shared" si="7"/>
        <v>0</v>
      </c>
      <c r="F27" s="325"/>
      <c r="G27" s="326">
        <f t="shared" si="8"/>
        <v>0</v>
      </c>
      <c r="H27" s="327">
        <f t="shared" si="9"/>
        <v>0</v>
      </c>
      <c r="I27" s="3323"/>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5">
        <f t="shared" si="11"/>
        <v>0</v>
      </c>
      <c r="AW27" s="2205">
        <f t="shared" si="12"/>
        <v>0</v>
      </c>
      <c r="AX27" s="2205">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7" t="s">
        <v>3049</v>
      </c>
      <c r="E28" s="324">
        <f t="shared" si="7"/>
        <v>0</v>
      </c>
      <c r="F28" s="325"/>
      <c r="G28" s="326">
        <f t="shared" si="8"/>
        <v>0</v>
      </c>
      <c r="H28" s="327">
        <f t="shared" si="9"/>
        <v>0</v>
      </c>
      <c r="I28" s="3323"/>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5">
        <f t="shared" si="11"/>
        <v>0</v>
      </c>
      <c r="AW28" s="2205">
        <f t="shared" si="12"/>
        <v>0</v>
      </c>
      <c r="AX28" s="2205">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7" t="s">
        <v>3049</v>
      </c>
      <c r="E29" s="324">
        <f t="shared" si="7"/>
        <v>0</v>
      </c>
      <c r="F29" s="325"/>
      <c r="G29" s="326">
        <f t="shared" si="8"/>
        <v>0</v>
      </c>
      <c r="H29" s="327">
        <f t="shared" si="9"/>
        <v>0</v>
      </c>
      <c r="I29" s="3323"/>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5">
        <f t="shared" si="11"/>
        <v>0</v>
      </c>
      <c r="AW29" s="2205">
        <f t="shared" si="12"/>
        <v>0</v>
      </c>
      <c r="AX29" s="2205">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t="s">
        <v>3049</v>
      </c>
      <c r="E30" s="324">
        <f t="shared" si="7"/>
        <v>0</v>
      </c>
      <c r="F30" s="325"/>
      <c r="G30" s="326">
        <f t="shared" si="8"/>
        <v>0</v>
      </c>
      <c r="H30" s="327">
        <f t="shared" si="9"/>
        <v>0</v>
      </c>
      <c r="I30" s="3323"/>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5">
        <f t="shared" si="11"/>
        <v>0</v>
      </c>
      <c r="AW30" s="2205">
        <f t="shared" si="12"/>
        <v>0</v>
      </c>
      <c r="AX30" s="2205">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t="s">
        <v>3049</v>
      </c>
      <c r="E31" s="324">
        <f t="shared" si="7"/>
        <v>0</v>
      </c>
      <c r="F31" s="325"/>
      <c r="G31" s="326">
        <f t="shared" si="8"/>
        <v>0</v>
      </c>
      <c r="H31" s="327">
        <f t="shared" si="9"/>
        <v>0</v>
      </c>
      <c r="I31" s="3323"/>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5">
        <f t="shared" si="11"/>
        <v>0</v>
      </c>
      <c r="AW31" s="2205">
        <f t="shared" si="12"/>
        <v>0</v>
      </c>
      <c r="AX31" s="2205">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t="s">
        <v>3049</v>
      </c>
      <c r="E32" s="324">
        <f t="shared" si="7"/>
        <v>0</v>
      </c>
      <c r="F32" s="325"/>
      <c r="G32" s="326">
        <f t="shared" si="8"/>
        <v>0</v>
      </c>
      <c r="H32" s="327">
        <f t="shared" si="9"/>
        <v>0</v>
      </c>
      <c r="I32" s="3323"/>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5">
        <f t="shared" si="11"/>
        <v>0</v>
      </c>
      <c r="AW32" s="2205">
        <f t="shared" si="12"/>
        <v>0</v>
      </c>
      <c r="AX32" s="2205">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t="s">
        <v>3049</v>
      </c>
      <c r="E33" s="324">
        <f t="shared" si="7"/>
        <v>0</v>
      </c>
      <c r="F33" s="325"/>
      <c r="G33" s="326">
        <f t="shared" si="8"/>
        <v>0</v>
      </c>
      <c r="H33" s="327">
        <f t="shared" si="9"/>
        <v>0</v>
      </c>
      <c r="I33" s="3323"/>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5">
        <f t="shared" si="11"/>
        <v>0</v>
      </c>
      <c r="AW33" s="2205">
        <f t="shared" si="12"/>
        <v>0</v>
      </c>
      <c r="AX33" s="2205">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t="s">
        <v>3049</v>
      </c>
      <c r="E34" s="324">
        <f t="shared" si="7"/>
        <v>0</v>
      </c>
      <c r="F34" s="325"/>
      <c r="G34" s="326">
        <f t="shared" si="8"/>
        <v>0</v>
      </c>
      <c r="H34" s="327">
        <f t="shared" si="9"/>
        <v>0</v>
      </c>
      <c r="I34" s="3323"/>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5">
        <f t="shared" si="11"/>
        <v>0</v>
      </c>
      <c r="AW34" s="2205">
        <f t="shared" si="12"/>
        <v>0</v>
      </c>
      <c r="AX34" s="2205">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t="s">
        <v>3049</v>
      </c>
      <c r="E35" s="324">
        <f t="shared" si="7"/>
        <v>0</v>
      </c>
      <c r="F35" s="325"/>
      <c r="G35" s="326">
        <f t="shared" si="8"/>
        <v>0</v>
      </c>
      <c r="H35" s="327">
        <f t="shared" si="9"/>
        <v>0</v>
      </c>
      <c r="I35" s="3323"/>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5">
        <f t="shared" si="11"/>
        <v>0</v>
      </c>
      <c r="AW35" s="2205">
        <f t="shared" si="12"/>
        <v>0</v>
      </c>
      <c r="AX35" s="2205">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t="s">
        <v>3049</v>
      </c>
      <c r="E36" s="324">
        <f t="shared" si="7"/>
        <v>0</v>
      </c>
      <c r="F36" s="325"/>
      <c r="G36" s="326">
        <f t="shared" si="8"/>
        <v>0</v>
      </c>
      <c r="H36" s="327">
        <f t="shared" si="9"/>
        <v>0</v>
      </c>
      <c r="I36" s="3323"/>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5">
        <f t="shared" si="11"/>
        <v>0</v>
      </c>
      <c r="AW36" s="2205">
        <f t="shared" si="12"/>
        <v>0</v>
      </c>
      <c r="AX36" s="2205">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t="s">
        <v>3049</v>
      </c>
      <c r="E37" s="324">
        <f t="shared" si="7"/>
        <v>0</v>
      </c>
      <c r="F37" s="325"/>
      <c r="G37" s="326">
        <f t="shared" si="8"/>
        <v>0</v>
      </c>
      <c r="H37" s="327">
        <f t="shared" si="9"/>
        <v>0</v>
      </c>
      <c r="I37" s="3323"/>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5">
        <f t="shared" si="11"/>
        <v>0</v>
      </c>
      <c r="AW37" s="2205">
        <f t="shared" si="12"/>
        <v>0</v>
      </c>
      <c r="AX37" s="2205">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t="s">
        <v>3049</v>
      </c>
      <c r="E38" s="324">
        <f t="shared" si="7"/>
        <v>0</v>
      </c>
      <c r="F38" s="325"/>
      <c r="G38" s="326">
        <f t="shared" si="8"/>
        <v>0</v>
      </c>
      <c r="H38" s="327">
        <f t="shared" si="9"/>
        <v>0</v>
      </c>
      <c r="I38" s="3323"/>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5">
        <f t="shared" si="11"/>
        <v>0</v>
      </c>
      <c r="AW38" s="2205">
        <f t="shared" si="12"/>
        <v>0</v>
      </c>
      <c r="AX38" s="2205">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17" t="s">
        <v>3049</v>
      </c>
      <c r="E39" s="324">
        <f t="shared" si="7"/>
        <v>0</v>
      </c>
      <c r="F39" s="325"/>
      <c r="G39" s="326">
        <f t="shared" si="8"/>
        <v>0</v>
      </c>
      <c r="H39" s="327">
        <f t="shared" si="9"/>
        <v>0</v>
      </c>
      <c r="I39" s="3323"/>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5">
        <f t="shared" si="11"/>
        <v>0</v>
      </c>
      <c r="AW39" s="2205">
        <f t="shared" si="12"/>
        <v>0</v>
      </c>
      <c r="AX39" s="2205">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17" t="s">
        <v>3049</v>
      </c>
      <c r="E40" s="324">
        <f t="shared" si="7"/>
        <v>0</v>
      </c>
      <c r="F40" s="325"/>
      <c r="G40" s="326">
        <f t="shared" si="8"/>
        <v>0</v>
      </c>
      <c r="H40" s="327">
        <f t="shared" si="9"/>
        <v>0</v>
      </c>
      <c r="I40" s="3323"/>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5">
        <f t="shared" si="11"/>
        <v>0</v>
      </c>
      <c r="AW40" s="2205">
        <f t="shared" si="12"/>
        <v>0</v>
      </c>
      <c r="AX40" s="2205">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17" t="s">
        <v>3049</v>
      </c>
      <c r="E41" s="324">
        <f t="shared" si="7"/>
        <v>0</v>
      </c>
      <c r="F41" s="325"/>
      <c r="G41" s="326">
        <f t="shared" si="8"/>
        <v>0</v>
      </c>
      <c r="H41" s="327">
        <f t="shared" si="9"/>
        <v>0</v>
      </c>
      <c r="I41" s="3323"/>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5">
        <f t="shared" si="11"/>
        <v>0</v>
      </c>
      <c r="AW41" s="2205">
        <f t="shared" si="12"/>
        <v>0</v>
      </c>
      <c r="AX41" s="2205">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17" t="s">
        <v>3049</v>
      </c>
      <c r="E42" s="324">
        <f t="shared" si="7"/>
        <v>0</v>
      </c>
      <c r="F42" s="325"/>
      <c r="G42" s="326">
        <f t="shared" si="8"/>
        <v>0</v>
      </c>
      <c r="H42" s="327">
        <f t="shared" si="9"/>
        <v>0</v>
      </c>
      <c r="I42" s="3323"/>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5">
        <f t="shared" si="11"/>
        <v>0</v>
      </c>
      <c r="AW42" s="2205">
        <f t="shared" si="12"/>
        <v>0</v>
      </c>
      <c r="AX42" s="2205">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17" t="s">
        <v>3049</v>
      </c>
      <c r="E43" s="324">
        <f t="shared" si="7"/>
        <v>0</v>
      </c>
      <c r="F43" s="325"/>
      <c r="G43" s="326">
        <f t="shared" si="8"/>
        <v>0</v>
      </c>
      <c r="H43" s="327">
        <f t="shared" si="9"/>
        <v>0</v>
      </c>
      <c r="I43" s="3323"/>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5">
        <f t="shared" si="11"/>
        <v>0</v>
      </c>
      <c r="AW43" s="2205">
        <f t="shared" si="12"/>
        <v>0</v>
      </c>
      <c r="AX43" s="2205">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17" t="s">
        <v>3049</v>
      </c>
      <c r="E44" s="324">
        <f t="shared" si="7"/>
        <v>0</v>
      </c>
      <c r="F44" s="325"/>
      <c r="G44" s="326">
        <f t="shared" si="8"/>
        <v>0</v>
      </c>
      <c r="H44" s="327">
        <f t="shared" si="9"/>
        <v>0</v>
      </c>
      <c r="I44" s="3323"/>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5">
        <f t="shared" si="11"/>
        <v>0</v>
      </c>
      <c r="AW44" s="2205">
        <f t="shared" si="12"/>
        <v>0</v>
      </c>
      <c r="AX44" s="2205">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17" t="s">
        <v>3049</v>
      </c>
      <c r="E45" s="324">
        <f t="shared" si="7"/>
        <v>0</v>
      </c>
      <c r="F45" s="325"/>
      <c r="G45" s="326">
        <f t="shared" si="8"/>
        <v>0</v>
      </c>
      <c r="H45" s="327">
        <f t="shared" si="9"/>
        <v>0</v>
      </c>
      <c r="I45" s="3323"/>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5">
        <f t="shared" si="11"/>
        <v>0</v>
      </c>
      <c r="AW45" s="2205">
        <f t="shared" si="12"/>
        <v>0</v>
      </c>
      <c r="AX45" s="2205">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17" t="s">
        <v>3049</v>
      </c>
      <c r="E46" s="324">
        <f t="shared" si="7"/>
        <v>0</v>
      </c>
      <c r="F46" s="325"/>
      <c r="G46" s="326">
        <f t="shared" si="8"/>
        <v>0</v>
      </c>
      <c r="H46" s="327">
        <f t="shared" si="9"/>
        <v>0</v>
      </c>
      <c r="I46" s="3323"/>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5">
        <f t="shared" si="11"/>
        <v>0</v>
      </c>
      <c r="AW46" s="2205">
        <f t="shared" si="12"/>
        <v>0</v>
      </c>
      <c r="AX46" s="2205">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17" t="s">
        <v>3049</v>
      </c>
      <c r="E47" s="324">
        <f t="shared" si="7"/>
        <v>0</v>
      </c>
      <c r="F47" s="325"/>
      <c r="G47" s="326">
        <f t="shared" si="8"/>
        <v>0</v>
      </c>
      <c r="H47" s="327">
        <f t="shared" si="9"/>
        <v>0</v>
      </c>
      <c r="I47" s="3323"/>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5">
        <f t="shared" si="11"/>
        <v>0</v>
      </c>
      <c r="AW47" s="2205">
        <f t="shared" si="12"/>
        <v>0</v>
      </c>
      <c r="AX47" s="2205">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17" t="s">
        <v>3049</v>
      </c>
      <c r="E48" s="324">
        <f t="shared" si="7"/>
        <v>0</v>
      </c>
      <c r="F48" s="325"/>
      <c r="G48" s="326">
        <f t="shared" si="8"/>
        <v>0</v>
      </c>
      <c r="H48" s="327">
        <f t="shared" si="9"/>
        <v>0</v>
      </c>
      <c r="I48" s="3323"/>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5">
        <f t="shared" si="11"/>
        <v>0</v>
      </c>
      <c r="AW48" s="2205">
        <f t="shared" si="12"/>
        <v>0</v>
      </c>
      <c r="AX48" s="2205">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17" t="s">
        <v>3049</v>
      </c>
      <c r="E49" s="324">
        <f t="shared" si="7"/>
        <v>0</v>
      </c>
      <c r="F49" s="325"/>
      <c r="G49" s="326">
        <f t="shared" si="8"/>
        <v>0</v>
      </c>
      <c r="H49" s="327">
        <f t="shared" si="9"/>
        <v>0</v>
      </c>
      <c r="I49" s="3323"/>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5">
        <f t="shared" si="11"/>
        <v>0</v>
      </c>
      <c r="AW49" s="2205">
        <f t="shared" si="12"/>
        <v>0</v>
      </c>
      <c r="AX49" s="2205">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17" t="s">
        <v>3049</v>
      </c>
      <c r="E50" s="324">
        <f t="shared" si="7"/>
        <v>0</v>
      </c>
      <c r="F50" s="325"/>
      <c r="G50" s="326">
        <f t="shared" si="8"/>
        <v>0</v>
      </c>
      <c r="H50" s="327">
        <f t="shared" si="9"/>
        <v>0</v>
      </c>
      <c r="I50" s="3323"/>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5">
        <f t="shared" si="11"/>
        <v>0</v>
      </c>
      <c r="AW50" s="2205">
        <f t="shared" si="12"/>
        <v>0</v>
      </c>
      <c r="AX50" s="2205">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17" t="s">
        <v>3049</v>
      </c>
      <c r="E51" s="324">
        <f t="shared" si="7"/>
        <v>0</v>
      </c>
      <c r="F51" s="325"/>
      <c r="G51" s="326">
        <f t="shared" si="8"/>
        <v>0</v>
      </c>
      <c r="H51" s="327">
        <f t="shared" si="9"/>
        <v>0</v>
      </c>
      <c r="I51" s="3323"/>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5">
        <f t="shared" si="11"/>
        <v>0</v>
      </c>
      <c r="AW51" s="2205">
        <f t="shared" si="12"/>
        <v>0</v>
      </c>
      <c r="AX51" s="2205">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17" t="s">
        <v>3049</v>
      </c>
      <c r="E52" s="324">
        <f t="shared" si="7"/>
        <v>0</v>
      </c>
      <c r="F52" s="325"/>
      <c r="G52" s="326">
        <f t="shared" si="8"/>
        <v>0</v>
      </c>
      <c r="H52" s="327">
        <f t="shared" si="9"/>
        <v>0</v>
      </c>
      <c r="I52" s="3323"/>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5">
        <f t="shared" si="11"/>
        <v>0</v>
      </c>
      <c r="AW52" s="2205">
        <f t="shared" si="12"/>
        <v>0</v>
      </c>
      <c r="AX52" s="2205">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17" t="s">
        <v>3049</v>
      </c>
      <c r="E53" s="324">
        <f t="shared" si="7"/>
        <v>0</v>
      </c>
      <c r="F53" s="325"/>
      <c r="G53" s="326">
        <f t="shared" si="8"/>
        <v>0</v>
      </c>
      <c r="H53" s="327">
        <f t="shared" si="9"/>
        <v>0</v>
      </c>
      <c r="I53" s="3323"/>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5">
        <f t="shared" si="11"/>
        <v>0</v>
      </c>
      <c r="AW53" s="2205">
        <f t="shared" si="12"/>
        <v>0</v>
      </c>
      <c r="AX53" s="2205">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17" t="s">
        <v>3049</v>
      </c>
      <c r="E54" s="324">
        <f t="shared" si="7"/>
        <v>0</v>
      </c>
      <c r="F54" s="325"/>
      <c r="G54" s="326">
        <f t="shared" si="8"/>
        <v>0</v>
      </c>
      <c r="H54" s="327">
        <f t="shared" si="9"/>
        <v>0</v>
      </c>
      <c r="I54" s="3323"/>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5">
        <f t="shared" si="11"/>
        <v>0</v>
      </c>
      <c r="AW54" s="2205">
        <f t="shared" si="12"/>
        <v>0</v>
      </c>
      <c r="AX54" s="2205">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17" t="s">
        <v>3049</v>
      </c>
      <c r="E55" s="324">
        <f t="shared" si="7"/>
        <v>0</v>
      </c>
      <c r="F55" s="325"/>
      <c r="G55" s="326">
        <f t="shared" si="8"/>
        <v>0</v>
      </c>
      <c r="H55" s="327">
        <f t="shared" si="9"/>
        <v>0</v>
      </c>
      <c r="I55" s="3323"/>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5">
        <f t="shared" si="11"/>
        <v>0</v>
      </c>
      <c r="AW55" s="2205">
        <f t="shared" si="12"/>
        <v>0</v>
      </c>
      <c r="AX55" s="2205">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17" t="s">
        <v>3049</v>
      </c>
      <c r="E56" s="324">
        <f t="shared" si="7"/>
        <v>0</v>
      </c>
      <c r="F56" s="325"/>
      <c r="G56" s="326">
        <f t="shared" si="8"/>
        <v>0</v>
      </c>
      <c r="H56" s="327">
        <f t="shared" si="9"/>
        <v>0</v>
      </c>
      <c r="I56" s="3323"/>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5">
        <f t="shared" si="11"/>
        <v>0</v>
      </c>
      <c r="AW56" s="2205">
        <f t="shared" si="12"/>
        <v>0</v>
      </c>
      <c r="AX56" s="2205">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17" t="s">
        <v>3049</v>
      </c>
      <c r="E57" s="324">
        <f t="shared" si="7"/>
        <v>0</v>
      </c>
      <c r="F57" s="325"/>
      <c r="G57" s="326">
        <f t="shared" si="8"/>
        <v>0</v>
      </c>
      <c r="H57" s="327">
        <f t="shared" si="9"/>
        <v>0</v>
      </c>
      <c r="I57" s="3323"/>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5">
        <f t="shared" si="11"/>
        <v>0</v>
      </c>
      <c r="AW57" s="2205">
        <f t="shared" si="12"/>
        <v>0</v>
      </c>
      <c r="AX57" s="2205">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17" t="s">
        <v>3049</v>
      </c>
      <c r="E58" s="324">
        <f t="shared" si="7"/>
        <v>0</v>
      </c>
      <c r="F58" s="325"/>
      <c r="G58" s="326">
        <f t="shared" si="8"/>
        <v>0</v>
      </c>
      <c r="H58" s="327">
        <f t="shared" si="9"/>
        <v>0</v>
      </c>
      <c r="I58" s="3323"/>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5">
        <f t="shared" si="11"/>
        <v>0</v>
      </c>
      <c r="AW58" s="2205">
        <f t="shared" si="12"/>
        <v>0</v>
      </c>
      <c r="AX58" s="2205">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17" t="s">
        <v>3049</v>
      </c>
      <c r="E59" s="324">
        <f t="shared" si="7"/>
        <v>0</v>
      </c>
      <c r="F59" s="325"/>
      <c r="G59" s="326">
        <f t="shared" si="8"/>
        <v>0</v>
      </c>
      <c r="H59" s="327">
        <f t="shared" si="9"/>
        <v>0</v>
      </c>
      <c r="I59" s="3323"/>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5">
        <f t="shared" si="11"/>
        <v>0</v>
      </c>
      <c r="AW59" s="2205">
        <f t="shared" si="12"/>
        <v>0</v>
      </c>
      <c r="AX59" s="2205">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17" t="s">
        <v>3049</v>
      </c>
      <c r="E60" s="324">
        <f t="shared" si="7"/>
        <v>0</v>
      </c>
      <c r="F60" s="325"/>
      <c r="G60" s="326">
        <f t="shared" si="8"/>
        <v>0</v>
      </c>
      <c r="H60" s="327">
        <f t="shared" si="9"/>
        <v>0</v>
      </c>
      <c r="I60" s="3323"/>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5">
        <f t="shared" si="11"/>
        <v>0</v>
      </c>
      <c r="AW60" s="2205">
        <f t="shared" si="12"/>
        <v>0</v>
      </c>
      <c r="AX60" s="2205">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17" t="s">
        <v>3049</v>
      </c>
      <c r="E61" s="324">
        <f t="shared" si="7"/>
        <v>0</v>
      </c>
      <c r="F61" s="325"/>
      <c r="G61" s="326">
        <f t="shared" si="8"/>
        <v>0</v>
      </c>
      <c r="H61" s="327">
        <f t="shared" si="9"/>
        <v>0</v>
      </c>
      <c r="I61" s="3323"/>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5">
        <f t="shared" si="11"/>
        <v>0</v>
      </c>
      <c r="AW61" s="2205">
        <f t="shared" si="12"/>
        <v>0</v>
      </c>
      <c r="AX61" s="2205">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17" t="s">
        <v>3049</v>
      </c>
      <c r="E62" s="324">
        <f t="shared" si="7"/>
        <v>0</v>
      </c>
      <c r="F62" s="325"/>
      <c r="G62" s="326">
        <f t="shared" si="8"/>
        <v>0</v>
      </c>
      <c r="H62" s="327">
        <f t="shared" si="9"/>
        <v>0</v>
      </c>
      <c r="I62" s="3323"/>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5">
        <f t="shared" si="11"/>
        <v>0</v>
      </c>
      <c r="AW62" s="2205">
        <f t="shared" si="12"/>
        <v>0</v>
      </c>
      <c r="AX62" s="2205">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17" t="s">
        <v>3049</v>
      </c>
      <c r="E63" s="324">
        <f t="shared" si="7"/>
        <v>0</v>
      </c>
      <c r="F63" s="325"/>
      <c r="G63" s="326">
        <f t="shared" si="8"/>
        <v>0</v>
      </c>
      <c r="H63" s="327">
        <f t="shared" si="9"/>
        <v>0</v>
      </c>
      <c r="I63" s="3323"/>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5">
        <f t="shared" si="11"/>
        <v>0</v>
      </c>
      <c r="AW63" s="2205">
        <f t="shared" si="12"/>
        <v>0</v>
      </c>
      <c r="AX63" s="2205">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17" t="s">
        <v>3049</v>
      </c>
      <c r="E64" s="324">
        <f t="shared" si="7"/>
        <v>0</v>
      </c>
      <c r="F64" s="325"/>
      <c r="G64" s="326">
        <f t="shared" si="8"/>
        <v>0</v>
      </c>
      <c r="H64" s="327">
        <f t="shared" si="9"/>
        <v>0</v>
      </c>
      <c r="I64" s="3323"/>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5">
        <f t="shared" si="11"/>
        <v>0</v>
      </c>
      <c r="AW64" s="2205">
        <f t="shared" si="12"/>
        <v>0</v>
      </c>
      <c r="AX64" s="2205">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17" t="s">
        <v>3049</v>
      </c>
      <c r="E65" s="324">
        <f t="shared" si="7"/>
        <v>0</v>
      </c>
      <c r="F65" s="325"/>
      <c r="G65" s="326">
        <f t="shared" si="8"/>
        <v>0</v>
      </c>
      <c r="H65" s="327">
        <f t="shared" si="9"/>
        <v>0</v>
      </c>
      <c r="I65" s="3323"/>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5">
        <f t="shared" si="11"/>
        <v>0</v>
      </c>
      <c r="AW65" s="2205">
        <f t="shared" si="12"/>
        <v>0</v>
      </c>
      <c r="AX65" s="2205">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17" t="s">
        <v>3049</v>
      </c>
      <c r="E66" s="324">
        <f t="shared" si="7"/>
        <v>0</v>
      </c>
      <c r="F66" s="325"/>
      <c r="G66" s="326">
        <f t="shared" si="8"/>
        <v>0</v>
      </c>
      <c r="H66" s="327">
        <f t="shared" si="9"/>
        <v>0</v>
      </c>
      <c r="I66" s="3323"/>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5">
        <f t="shared" si="11"/>
        <v>0</v>
      </c>
      <c r="AW66" s="2205">
        <f t="shared" si="12"/>
        <v>0</v>
      </c>
      <c r="AX66" s="2205">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17" t="s">
        <v>3049</v>
      </c>
      <c r="E67" s="324">
        <f t="shared" si="7"/>
        <v>0</v>
      </c>
      <c r="F67" s="325"/>
      <c r="G67" s="326">
        <f t="shared" si="8"/>
        <v>0</v>
      </c>
      <c r="H67" s="327">
        <f t="shared" si="9"/>
        <v>0</v>
      </c>
      <c r="I67" s="3323"/>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5">
        <f t="shared" si="11"/>
        <v>0</v>
      </c>
      <c r="AW67" s="2205">
        <f t="shared" si="12"/>
        <v>0</v>
      </c>
      <c r="AX67" s="2205">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17" t="s">
        <v>3049</v>
      </c>
      <c r="E68" s="324">
        <f t="shared" si="7"/>
        <v>0</v>
      </c>
      <c r="F68" s="325"/>
      <c r="G68" s="326">
        <f t="shared" si="8"/>
        <v>0</v>
      </c>
      <c r="H68" s="327">
        <f t="shared" si="9"/>
        <v>0</v>
      </c>
      <c r="I68" s="3323"/>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5">
        <f t="shared" si="11"/>
        <v>0</v>
      </c>
      <c r="AW68" s="2205">
        <f t="shared" si="12"/>
        <v>0</v>
      </c>
      <c r="AX68" s="2205">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17" t="s">
        <v>3049</v>
      </c>
      <c r="E69" s="324">
        <f t="shared" si="7"/>
        <v>0</v>
      </c>
      <c r="F69" s="325"/>
      <c r="G69" s="326">
        <f t="shared" si="8"/>
        <v>0</v>
      </c>
      <c r="H69" s="327">
        <f t="shared" si="9"/>
        <v>0</v>
      </c>
      <c r="I69" s="3323"/>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5">
        <f t="shared" si="11"/>
        <v>0</v>
      </c>
      <c r="AW69" s="2205">
        <f t="shared" si="12"/>
        <v>0</v>
      </c>
      <c r="AX69" s="2205">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17" t="s">
        <v>3049</v>
      </c>
      <c r="E70" s="324">
        <f t="shared" si="7"/>
        <v>0</v>
      </c>
      <c r="F70" s="325"/>
      <c r="G70" s="326">
        <f t="shared" si="8"/>
        <v>0</v>
      </c>
      <c r="H70" s="327">
        <f t="shared" si="9"/>
        <v>0</v>
      </c>
      <c r="I70" s="3323"/>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5">
        <f t="shared" si="11"/>
        <v>0</v>
      </c>
      <c r="AW70" s="2205">
        <f t="shared" si="12"/>
        <v>0</v>
      </c>
      <c r="AX70" s="2205">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17" t="s">
        <v>3049</v>
      </c>
      <c r="E71" s="324">
        <f t="shared" si="7"/>
        <v>0</v>
      </c>
      <c r="F71" s="325"/>
      <c r="G71" s="326">
        <f t="shared" si="8"/>
        <v>0</v>
      </c>
      <c r="H71" s="327">
        <f t="shared" si="9"/>
        <v>0</v>
      </c>
      <c r="I71" s="3323"/>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5">
        <f t="shared" si="11"/>
        <v>0</v>
      </c>
      <c r="AW71" s="2205">
        <f t="shared" si="12"/>
        <v>0</v>
      </c>
      <c r="AX71" s="2205">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17" t="s">
        <v>3049</v>
      </c>
      <c r="E72" s="324">
        <f t="shared" si="7"/>
        <v>0</v>
      </c>
      <c r="F72" s="325"/>
      <c r="G72" s="326">
        <f t="shared" si="8"/>
        <v>0</v>
      </c>
      <c r="H72" s="327">
        <f t="shared" si="9"/>
        <v>0</v>
      </c>
      <c r="I72" s="3323"/>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5">
        <f t="shared" si="11"/>
        <v>0</v>
      </c>
      <c r="AW72" s="2205">
        <f t="shared" si="12"/>
        <v>0</v>
      </c>
      <c r="AX72" s="2205">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17" t="s">
        <v>3049</v>
      </c>
      <c r="E73" s="324">
        <f t="shared" si="7"/>
        <v>0</v>
      </c>
      <c r="F73" s="325"/>
      <c r="G73" s="326">
        <f t="shared" si="8"/>
        <v>0</v>
      </c>
      <c r="H73" s="327">
        <f t="shared" si="9"/>
        <v>0</v>
      </c>
      <c r="I73" s="3323"/>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5">
        <f t="shared" si="11"/>
        <v>0</v>
      </c>
      <c r="AW73" s="2205">
        <f t="shared" si="12"/>
        <v>0</v>
      </c>
      <c r="AX73" s="2205">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17" t="s">
        <v>3049</v>
      </c>
      <c r="E74" s="324">
        <f t="shared" si="7"/>
        <v>0</v>
      </c>
      <c r="F74" s="325"/>
      <c r="G74" s="326">
        <f t="shared" si="8"/>
        <v>0</v>
      </c>
      <c r="H74" s="327">
        <f t="shared" si="9"/>
        <v>0</v>
      </c>
      <c r="I74" s="3323"/>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5">
        <f t="shared" si="11"/>
        <v>0</v>
      </c>
      <c r="AW74" s="2205">
        <f t="shared" si="12"/>
        <v>0</v>
      </c>
      <c r="AX74" s="2205">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17" t="s">
        <v>3049</v>
      </c>
      <c r="E75" s="324">
        <f t="shared" si="7"/>
        <v>0</v>
      </c>
      <c r="F75" s="325"/>
      <c r="G75" s="326">
        <f t="shared" si="8"/>
        <v>0</v>
      </c>
      <c r="H75" s="327">
        <f t="shared" si="9"/>
        <v>0</v>
      </c>
      <c r="I75" s="3323"/>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5">
        <f t="shared" si="11"/>
        <v>0</v>
      </c>
      <c r="AW75" s="2205">
        <f t="shared" si="12"/>
        <v>0</v>
      </c>
      <c r="AX75" s="2205">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17" t="s">
        <v>3049</v>
      </c>
      <c r="E76" s="324">
        <f t="shared" si="7"/>
        <v>0</v>
      </c>
      <c r="F76" s="325"/>
      <c r="G76" s="326">
        <f t="shared" si="8"/>
        <v>0</v>
      </c>
      <c r="H76" s="327">
        <f t="shared" si="9"/>
        <v>0</v>
      </c>
      <c r="I76" s="3323"/>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5">
        <f t="shared" si="11"/>
        <v>0</v>
      </c>
      <c r="AW76" s="2205">
        <f t="shared" si="12"/>
        <v>0</v>
      </c>
      <c r="AX76" s="2205">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17" t="s">
        <v>3049</v>
      </c>
      <c r="E77" s="324">
        <f t="shared" si="7"/>
        <v>0</v>
      </c>
      <c r="F77" s="325"/>
      <c r="G77" s="326">
        <f t="shared" si="8"/>
        <v>0</v>
      </c>
      <c r="H77" s="327">
        <f t="shared" si="9"/>
        <v>0</v>
      </c>
      <c r="I77" s="3323"/>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5">
        <f t="shared" si="11"/>
        <v>0</v>
      </c>
      <c r="AW77" s="2205">
        <f t="shared" si="12"/>
        <v>0</v>
      </c>
      <c r="AX77" s="2205">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17" t="s">
        <v>3049</v>
      </c>
      <c r="E78" s="324">
        <f t="shared" si="7"/>
        <v>0</v>
      </c>
      <c r="F78" s="325"/>
      <c r="G78" s="326">
        <f t="shared" si="8"/>
        <v>0</v>
      </c>
      <c r="H78" s="327">
        <f t="shared" si="9"/>
        <v>0</v>
      </c>
      <c r="I78" s="3323"/>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5">
        <f t="shared" si="11"/>
        <v>0</v>
      </c>
      <c r="AW78" s="2205">
        <f t="shared" si="12"/>
        <v>0</v>
      </c>
      <c r="AX78" s="2205">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17" t="s">
        <v>3049</v>
      </c>
      <c r="E79" s="324">
        <f t="shared" si="7"/>
        <v>0</v>
      </c>
      <c r="F79" s="325"/>
      <c r="G79" s="326">
        <f t="shared" si="8"/>
        <v>0</v>
      </c>
      <c r="H79" s="327">
        <f t="shared" si="9"/>
        <v>0</v>
      </c>
      <c r="I79" s="3323"/>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5">
        <f t="shared" si="11"/>
        <v>0</v>
      </c>
      <c r="AW79" s="2205">
        <f t="shared" si="12"/>
        <v>0</v>
      </c>
      <c r="AX79" s="2205">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17" t="s">
        <v>3049</v>
      </c>
      <c r="E80" s="324">
        <f t="shared" si="7"/>
        <v>0</v>
      </c>
      <c r="F80" s="325"/>
      <c r="G80" s="326">
        <f t="shared" si="8"/>
        <v>0</v>
      </c>
      <c r="H80" s="327">
        <f t="shared" si="9"/>
        <v>0</v>
      </c>
      <c r="I80" s="3323"/>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5">
        <f t="shared" si="11"/>
        <v>0</v>
      </c>
      <c r="AW80" s="2205">
        <f t="shared" si="12"/>
        <v>0</v>
      </c>
      <c r="AX80" s="2205">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17" t="s">
        <v>3049</v>
      </c>
      <c r="E81" s="324">
        <f t="shared" si="7"/>
        <v>0</v>
      </c>
      <c r="F81" s="325"/>
      <c r="G81" s="326">
        <f t="shared" si="8"/>
        <v>0</v>
      </c>
      <c r="H81" s="327">
        <f t="shared" si="9"/>
        <v>0</v>
      </c>
      <c r="I81" s="3323"/>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5">
        <f t="shared" si="11"/>
        <v>0</v>
      </c>
      <c r="AW81" s="2205">
        <f t="shared" si="12"/>
        <v>0</v>
      </c>
      <c r="AX81" s="2205">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17" t="s">
        <v>3049</v>
      </c>
      <c r="E82" s="324">
        <f t="shared" si="7"/>
        <v>0</v>
      </c>
      <c r="F82" s="325"/>
      <c r="G82" s="326">
        <f t="shared" si="8"/>
        <v>0</v>
      </c>
      <c r="H82" s="327">
        <f t="shared" si="9"/>
        <v>0</v>
      </c>
      <c r="I82" s="3323"/>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5">
        <f t="shared" si="11"/>
        <v>0</v>
      </c>
      <c r="AW82" s="2205">
        <f t="shared" si="12"/>
        <v>0</v>
      </c>
      <c r="AX82" s="2205">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17" t="s">
        <v>3049</v>
      </c>
      <c r="E83" s="324">
        <f t="shared" si="7"/>
        <v>0</v>
      </c>
      <c r="F83" s="325"/>
      <c r="G83" s="326">
        <f t="shared" si="8"/>
        <v>0</v>
      </c>
      <c r="H83" s="327">
        <f t="shared" si="9"/>
        <v>0</v>
      </c>
      <c r="I83" s="3323"/>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5">
        <f t="shared" si="11"/>
        <v>0</v>
      </c>
      <c r="AW83" s="2205">
        <f t="shared" si="12"/>
        <v>0</v>
      </c>
      <c r="AX83" s="2205">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17" t="s">
        <v>3049</v>
      </c>
      <c r="E84" s="324">
        <f t="shared" si="7"/>
        <v>0</v>
      </c>
      <c r="F84" s="325"/>
      <c r="G84" s="326">
        <f t="shared" si="8"/>
        <v>0</v>
      </c>
      <c r="H84" s="327">
        <f t="shared" si="9"/>
        <v>0</v>
      </c>
      <c r="I84" s="3323"/>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5">
        <f t="shared" si="11"/>
        <v>0</v>
      </c>
      <c r="AW84" s="2205">
        <f t="shared" si="12"/>
        <v>0</v>
      </c>
      <c r="AX84" s="2205">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17" t="s">
        <v>3049</v>
      </c>
      <c r="E85" s="324">
        <f t="shared" si="7"/>
        <v>0</v>
      </c>
      <c r="F85" s="325"/>
      <c r="G85" s="326">
        <f t="shared" si="8"/>
        <v>0</v>
      </c>
      <c r="H85" s="327">
        <f t="shared" si="9"/>
        <v>0</v>
      </c>
      <c r="I85" s="3323"/>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5">
        <f t="shared" si="11"/>
        <v>0</v>
      </c>
      <c r="AW85" s="2205">
        <f t="shared" si="12"/>
        <v>0</v>
      </c>
      <c r="AX85" s="2205">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17" t="s">
        <v>3049</v>
      </c>
      <c r="E86" s="324">
        <f t="shared" si="7"/>
        <v>0</v>
      </c>
      <c r="F86" s="325"/>
      <c r="G86" s="326">
        <f t="shared" si="8"/>
        <v>0</v>
      </c>
      <c r="H86" s="327">
        <f t="shared" si="9"/>
        <v>0</v>
      </c>
      <c r="I86" s="3323"/>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5">
        <f t="shared" si="11"/>
        <v>0</v>
      </c>
      <c r="AW86" s="2205">
        <f t="shared" si="12"/>
        <v>0</v>
      </c>
      <c r="AX86" s="2205">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17" t="s">
        <v>3049</v>
      </c>
      <c r="E87" s="324">
        <f t="shared" si="7"/>
        <v>0</v>
      </c>
      <c r="F87" s="325"/>
      <c r="G87" s="326">
        <f t="shared" si="8"/>
        <v>0</v>
      </c>
      <c r="H87" s="327">
        <f t="shared" si="9"/>
        <v>0</v>
      </c>
      <c r="I87" s="3323"/>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5">
        <f t="shared" si="11"/>
        <v>0</v>
      </c>
      <c r="AW87" s="2205">
        <f t="shared" si="12"/>
        <v>0</v>
      </c>
      <c r="AX87" s="2205">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17" t="s">
        <v>3049</v>
      </c>
      <c r="E88" s="324">
        <f t="shared" si="7"/>
        <v>0</v>
      </c>
      <c r="F88" s="325"/>
      <c r="G88" s="326">
        <f t="shared" si="8"/>
        <v>0</v>
      </c>
      <c r="H88" s="327">
        <f t="shared" si="9"/>
        <v>0</v>
      </c>
      <c r="I88" s="3323"/>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5">
        <f t="shared" si="11"/>
        <v>0</v>
      </c>
      <c r="AW88" s="2205">
        <f t="shared" si="12"/>
        <v>0</v>
      </c>
      <c r="AX88" s="2205">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17" t="s">
        <v>3049</v>
      </c>
      <c r="E89" s="324">
        <f t="shared" si="7"/>
        <v>0</v>
      </c>
      <c r="F89" s="325"/>
      <c r="G89" s="326">
        <f t="shared" si="8"/>
        <v>0</v>
      </c>
      <c r="H89" s="327">
        <f t="shared" si="9"/>
        <v>0</v>
      </c>
      <c r="I89" s="3323"/>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5">
        <f t="shared" si="11"/>
        <v>0</v>
      </c>
      <c r="AW89" s="2205">
        <f t="shared" si="12"/>
        <v>0</v>
      </c>
      <c r="AX89" s="2205">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17" t="s">
        <v>3049</v>
      </c>
      <c r="E90" s="324">
        <f t="shared" si="7"/>
        <v>0</v>
      </c>
      <c r="F90" s="325"/>
      <c r="G90" s="326">
        <f t="shared" si="8"/>
        <v>0</v>
      </c>
      <c r="H90" s="327">
        <f t="shared" si="9"/>
        <v>0</v>
      </c>
      <c r="I90" s="3323"/>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5">
        <f t="shared" si="11"/>
        <v>0</v>
      </c>
      <c r="AW90" s="2205">
        <f t="shared" si="12"/>
        <v>0</v>
      </c>
      <c r="AX90" s="2205">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17" t="s">
        <v>3049</v>
      </c>
      <c r="E91" s="324">
        <f t="shared" si="7"/>
        <v>0</v>
      </c>
      <c r="F91" s="325"/>
      <c r="G91" s="326">
        <f t="shared" si="8"/>
        <v>0</v>
      </c>
      <c r="H91" s="327">
        <f t="shared" si="9"/>
        <v>0</v>
      </c>
      <c r="I91" s="3323"/>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5">
        <f t="shared" si="11"/>
        <v>0</v>
      </c>
      <c r="AW91" s="2205">
        <f t="shared" si="12"/>
        <v>0</v>
      </c>
      <c r="AX91" s="2205">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17" t="s">
        <v>3049</v>
      </c>
      <c r="E92" s="324">
        <f t="shared" si="7"/>
        <v>0</v>
      </c>
      <c r="F92" s="325"/>
      <c r="G92" s="326">
        <f t="shared" si="8"/>
        <v>0</v>
      </c>
      <c r="H92" s="327">
        <f t="shared" si="9"/>
        <v>0</v>
      </c>
      <c r="I92" s="3323"/>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5">
        <f t="shared" si="11"/>
        <v>0</v>
      </c>
      <c r="AW92" s="2205">
        <f t="shared" si="12"/>
        <v>0</v>
      </c>
      <c r="AX92" s="2205">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17" t="s">
        <v>3049</v>
      </c>
      <c r="E93" s="324">
        <f t="shared" si="7"/>
        <v>0</v>
      </c>
      <c r="F93" s="325"/>
      <c r="G93" s="326">
        <f t="shared" si="8"/>
        <v>0</v>
      </c>
      <c r="H93" s="327">
        <f t="shared" si="9"/>
        <v>0</v>
      </c>
      <c r="I93" s="3323"/>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5">
        <f t="shared" si="11"/>
        <v>0</v>
      </c>
      <c r="AW93" s="2205">
        <f t="shared" si="12"/>
        <v>0</v>
      </c>
      <c r="AX93" s="2205">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17" t="s">
        <v>3049</v>
      </c>
      <c r="E94" s="324">
        <f t="shared" si="7"/>
        <v>0</v>
      </c>
      <c r="F94" s="325"/>
      <c r="G94" s="326">
        <f t="shared" si="8"/>
        <v>0</v>
      </c>
      <c r="H94" s="327">
        <f t="shared" si="9"/>
        <v>0</v>
      </c>
      <c r="I94" s="3323"/>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5">
        <f t="shared" si="11"/>
        <v>0</v>
      </c>
      <c r="AW94" s="2205">
        <f t="shared" si="12"/>
        <v>0</v>
      </c>
      <c r="AX94" s="2205">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17" t="s">
        <v>3049</v>
      </c>
      <c r="E95" s="324">
        <f t="shared" si="7"/>
        <v>0</v>
      </c>
      <c r="F95" s="325"/>
      <c r="G95" s="326">
        <f t="shared" si="8"/>
        <v>0</v>
      </c>
      <c r="H95" s="327">
        <f t="shared" si="9"/>
        <v>0</v>
      </c>
      <c r="I95" s="3323"/>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5">
        <f t="shared" si="11"/>
        <v>0</v>
      </c>
      <c r="AW95" s="2205">
        <f t="shared" si="12"/>
        <v>0</v>
      </c>
      <c r="AX95" s="2205">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17" t="s">
        <v>3049</v>
      </c>
      <c r="E96" s="324">
        <f t="shared" si="7"/>
        <v>0</v>
      </c>
      <c r="F96" s="325"/>
      <c r="G96" s="326">
        <f t="shared" si="8"/>
        <v>0</v>
      </c>
      <c r="H96" s="327">
        <f t="shared" si="9"/>
        <v>0</v>
      </c>
      <c r="I96" s="3323"/>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5">
        <f t="shared" si="11"/>
        <v>0</v>
      </c>
      <c r="AW96" s="2205">
        <f t="shared" si="12"/>
        <v>0</v>
      </c>
      <c r="AX96" s="2205">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17" t="s">
        <v>3049</v>
      </c>
      <c r="E97" s="324">
        <f t="shared" si="7"/>
        <v>0</v>
      </c>
      <c r="F97" s="325"/>
      <c r="G97" s="326">
        <f t="shared" si="8"/>
        <v>0</v>
      </c>
      <c r="H97" s="327">
        <f t="shared" si="9"/>
        <v>0</v>
      </c>
      <c r="I97" s="3323"/>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5">
        <f t="shared" si="11"/>
        <v>0</v>
      </c>
      <c r="AW97" s="2205">
        <f t="shared" si="12"/>
        <v>0</v>
      </c>
      <c r="AX97" s="2205">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17" t="s">
        <v>3049</v>
      </c>
      <c r="E98" s="324">
        <f t="shared" si="7"/>
        <v>0</v>
      </c>
      <c r="F98" s="325"/>
      <c r="G98" s="326">
        <f t="shared" si="8"/>
        <v>0</v>
      </c>
      <c r="H98" s="327">
        <f t="shared" si="9"/>
        <v>0</v>
      </c>
      <c r="I98" s="3323"/>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5">
        <f t="shared" si="11"/>
        <v>0</v>
      </c>
      <c r="AW98" s="2205">
        <f t="shared" si="12"/>
        <v>0</v>
      </c>
      <c r="AX98" s="2205">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17" t="s">
        <v>3049</v>
      </c>
      <c r="E99" s="324">
        <f t="shared" si="7"/>
        <v>0</v>
      </c>
      <c r="F99" s="325"/>
      <c r="G99" s="326">
        <f t="shared" si="8"/>
        <v>0</v>
      </c>
      <c r="H99" s="327">
        <f t="shared" si="9"/>
        <v>0</v>
      </c>
      <c r="I99" s="3323"/>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5">
        <f t="shared" si="11"/>
        <v>0</v>
      </c>
      <c r="AW99" s="2205">
        <f t="shared" si="12"/>
        <v>0</v>
      </c>
      <c r="AX99" s="2205">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17" t="s">
        <v>3049</v>
      </c>
      <c r="E100" s="324">
        <f t="shared" si="7"/>
        <v>0</v>
      </c>
      <c r="F100" s="325"/>
      <c r="G100" s="326">
        <f t="shared" si="8"/>
        <v>0</v>
      </c>
      <c r="H100" s="327">
        <f t="shared" si="9"/>
        <v>0</v>
      </c>
      <c r="I100" s="3323"/>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5">
        <f t="shared" si="11"/>
        <v>0</v>
      </c>
      <c r="AW100" s="2205">
        <f t="shared" si="12"/>
        <v>0</v>
      </c>
      <c r="AX100" s="2205">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17" t="s">
        <v>3049</v>
      </c>
      <c r="E101" s="324">
        <f t="shared" si="7"/>
        <v>0</v>
      </c>
      <c r="F101" s="325"/>
      <c r="G101" s="326">
        <f t="shared" si="8"/>
        <v>0</v>
      </c>
      <c r="H101" s="327">
        <f t="shared" si="9"/>
        <v>0</v>
      </c>
      <c r="I101" s="3323"/>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5">
        <f t="shared" si="11"/>
        <v>0</v>
      </c>
      <c r="AW101" s="2205">
        <f t="shared" si="12"/>
        <v>0</v>
      </c>
      <c r="AX101" s="2205">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17" t="s">
        <v>3049</v>
      </c>
      <c r="E102" s="324">
        <f t="shared" si="7"/>
        <v>0</v>
      </c>
      <c r="F102" s="325"/>
      <c r="G102" s="326">
        <f t="shared" si="8"/>
        <v>0</v>
      </c>
      <c r="H102" s="327">
        <f t="shared" si="9"/>
        <v>0</v>
      </c>
      <c r="I102" s="3323"/>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5">
        <f t="shared" si="11"/>
        <v>0</v>
      </c>
      <c r="AW102" s="2205">
        <f t="shared" si="12"/>
        <v>0</v>
      </c>
      <c r="AX102" s="2205">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17" t="s">
        <v>3049</v>
      </c>
      <c r="E103" s="324">
        <f t="shared" si="7"/>
        <v>0</v>
      </c>
      <c r="F103" s="325"/>
      <c r="G103" s="326">
        <f t="shared" si="8"/>
        <v>0</v>
      </c>
      <c r="H103" s="327">
        <f t="shared" si="9"/>
        <v>0</v>
      </c>
      <c r="I103" s="3323"/>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5">
        <f t="shared" si="11"/>
        <v>0</v>
      </c>
      <c r="AW103" s="2205">
        <f t="shared" si="12"/>
        <v>0</v>
      </c>
      <c r="AX103" s="2205">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17" t="s">
        <v>3049</v>
      </c>
      <c r="E104" s="324">
        <f t="shared" si="7"/>
        <v>0</v>
      </c>
      <c r="F104" s="325"/>
      <c r="G104" s="326">
        <f t="shared" si="8"/>
        <v>0</v>
      </c>
      <c r="H104" s="327">
        <f t="shared" si="9"/>
        <v>0</v>
      </c>
      <c r="I104" s="3323"/>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5">
        <f t="shared" si="11"/>
        <v>0</v>
      </c>
      <c r="AW104" s="2205">
        <f t="shared" si="12"/>
        <v>0</v>
      </c>
      <c r="AX104" s="2205">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17" t="s">
        <v>3049</v>
      </c>
      <c r="E105" s="324">
        <f t="shared" si="7"/>
        <v>0</v>
      </c>
      <c r="F105" s="325"/>
      <c r="G105" s="326">
        <f t="shared" si="8"/>
        <v>0</v>
      </c>
      <c r="H105" s="327">
        <f t="shared" si="9"/>
        <v>0</v>
      </c>
      <c r="I105" s="3323"/>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5">
        <f t="shared" si="11"/>
        <v>0</v>
      </c>
      <c r="AW105" s="2205">
        <f t="shared" si="12"/>
        <v>0</v>
      </c>
      <c r="AX105" s="2205">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17" t="s">
        <v>3049</v>
      </c>
      <c r="E106" s="324">
        <f t="shared" si="7"/>
        <v>0</v>
      </c>
      <c r="F106" s="325"/>
      <c r="G106" s="326">
        <f t="shared" si="8"/>
        <v>0</v>
      </c>
      <c r="H106" s="327">
        <f t="shared" si="9"/>
        <v>0</v>
      </c>
      <c r="I106" s="3323"/>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5">
        <f t="shared" si="11"/>
        <v>0</v>
      </c>
      <c r="AW106" s="2205">
        <f t="shared" si="12"/>
        <v>0</v>
      </c>
      <c r="AX106" s="2205">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17" t="s">
        <v>3049</v>
      </c>
      <c r="E107" s="324">
        <f t="shared" si="7"/>
        <v>0</v>
      </c>
      <c r="F107" s="325"/>
      <c r="G107" s="326">
        <f t="shared" si="8"/>
        <v>0</v>
      </c>
      <c r="H107" s="327">
        <f t="shared" si="9"/>
        <v>0</v>
      </c>
      <c r="I107" s="3323"/>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5">
        <f t="shared" si="11"/>
        <v>0</v>
      </c>
      <c r="AW107" s="2205">
        <f t="shared" si="12"/>
        <v>0</v>
      </c>
      <c r="AX107" s="2205">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17" t="s">
        <v>3049</v>
      </c>
      <c r="E108" s="324">
        <f t="shared" si="7"/>
        <v>0</v>
      </c>
      <c r="F108" s="325"/>
      <c r="G108" s="326">
        <f t="shared" si="8"/>
        <v>0</v>
      </c>
      <c r="H108" s="327">
        <f t="shared" si="9"/>
        <v>0</v>
      </c>
      <c r="I108" s="3323"/>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5">
        <f t="shared" si="11"/>
        <v>0</v>
      </c>
      <c r="AW108" s="2205">
        <f t="shared" si="12"/>
        <v>0</v>
      </c>
      <c r="AX108" s="2205">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17" t="s">
        <v>3049</v>
      </c>
      <c r="E109" s="324">
        <f t="shared" si="7"/>
        <v>0</v>
      </c>
      <c r="F109" s="325"/>
      <c r="G109" s="326">
        <f t="shared" si="8"/>
        <v>0</v>
      </c>
      <c r="H109" s="327">
        <f t="shared" si="9"/>
        <v>0</v>
      </c>
      <c r="I109" s="3323"/>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5">
        <f t="shared" si="11"/>
        <v>0</v>
      </c>
      <c r="AW109" s="2205">
        <f t="shared" si="12"/>
        <v>0</v>
      </c>
      <c r="AX109" s="2205">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17" t="s">
        <v>3049</v>
      </c>
      <c r="E110" s="324">
        <f t="shared" si="7"/>
        <v>0</v>
      </c>
      <c r="F110" s="333"/>
      <c r="G110" s="326">
        <f t="shared" ref="G110:G141" si="36">H110+AC110+AT110</f>
        <v>0</v>
      </c>
      <c r="H110" s="327">
        <f t="shared" ref="H110:H141" si="37">SUMIF(I$12:AB$12,"总值",I110:AB110)</f>
        <v>0</v>
      </c>
      <c r="I110" s="3323"/>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5">
        <f t="shared" si="11"/>
        <v>0</v>
      </c>
      <c r="AW110" s="2205">
        <f t="shared" si="12"/>
        <v>0</v>
      </c>
      <c r="AX110" s="2205">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17" t="s">
        <v>3049</v>
      </c>
      <c r="E111" s="324">
        <f t="shared" si="7"/>
        <v>0</v>
      </c>
      <c r="F111" s="333"/>
      <c r="G111" s="326">
        <f t="shared" si="36"/>
        <v>0</v>
      </c>
      <c r="H111" s="327">
        <f t="shared" si="37"/>
        <v>0</v>
      </c>
      <c r="I111" s="3323"/>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5">
        <f t="shared" si="11"/>
        <v>0</v>
      </c>
      <c r="AW111" s="2205">
        <f t="shared" si="12"/>
        <v>0</v>
      </c>
      <c r="AX111" s="2205">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17" t="s">
        <v>3049</v>
      </c>
      <c r="E112" s="324">
        <f t="shared" si="7"/>
        <v>0</v>
      </c>
      <c r="F112" s="333"/>
      <c r="G112" s="326">
        <f t="shared" si="36"/>
        <v>0</v>
      </c>
      <c r="H112" s="327">
        <f t="shared" si="37"/>
        <v>0</v>
      </c>
      <c r="I112" s="3323"/>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5">
        <f t="shared" si="11"/>
        <v>0</v>
      </c>
      <c r="AW112" s="2205">
        <f t="shared" si="12"/>
        <v>0</v>
      </c>
      <c r="AX112" s="2205">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17" t="s">
        <v>3049</v>
      </c>
      <c r="E113" s="324">
        <f t="shared" ref="E113:E144" si="61">IF($C$3="是",ROUND($A$3*G113/$B$3,2),ROUND($A$3*(G113-AT113)/$B$3,2))</f>
        <v>0</v>
      </c>
      <c r="F113" s="325"/>
      <c r="G113" s="326">
        <f t="shared" si="36"/>
        <v>0</v>
      </c>
      <c r="H113" s="327">
        <f t="shared" si="37"/>
        <v>0</v>
      </c>
      <c r="I113" s="3323"/>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5">
        <f t="shared" ref="AV113:AV144" si="62">A113</f>
        <v>0</v>
      </c>
      <c r="AW113" s="2205">
        <f t="shared" ref="AW113:AW144" si="63">B113</f>
        <v>0</v>
      </c>
      <c r="AX113" s="2205">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17" t="s">
        <v>3049</v>
      </c>
      <c r="E114" s="324">
        <f t="shared" si="61"/>
        <v>0</v>
      </c>
      <c r="F114" s="325"/>
      <c r="G114" s="326">
        <f t="shared" si="36"/>
        <v>0</v>
      </c>
      <c r="H114" s="327">
        <f t="shared" si="37"/>
        <v>0</v>
      </c>
      <c r="I114" s="3323"/>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5">
        <f t="shared" si="62"/>
        <v>0</v>
      </c>
      <c r="AW114" s="2205">
        <f t="shared" si="63"/>
        <v>0</v>
      </c>
      <c r="AX114" s="2205">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17" t="s">
        <v>3049</v>
      </c>
      <c r="E115" s="324">
        <f t="shared" si="61"/>
        <v>0</v>
      </c>
      <c r="F115" s="325"/>
      <c r="G115" s="326">
        <f t="shared" si="36"/>
        <v>0</v>
      </c>
      <c r="H115" s="327">
        <f t="shared" si="37"/>
        <v>0</v>
      </c>
      <c r="I115" s="3323"/>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5">
        <f t="shared" si="62"/>
        <v>0</v>
      </c>
      <c r="AW115" s="2205">
        <f t="shared" si="63"/>
        <v>0</v>
      </c>
      <c r="AX115" s="2205">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17" t="s">
        <v>3049</v>
      </c>
      <c r="E116" s="324">
        <f t="shared" si="61"/>
        <v>0</v>
      </c>
      <c r="F116" s="325"/>
      <c r="G116" s="326">
        <f t="shared" si="36"/>
        <v>0</v>
      </c>
      <c r="H116" s="327">
        <f t="shared" si="37"/>
        <v>0</v>
      </c>
      <c r="I116" s="3323"/>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5">
        <f t="shared" si="62"/>
        <v>0</v>
      </c>
      <c r="AW116" s="2205">
        <f t="shared" si="63"/>
        <v>0</v>
      </c>
      <c r="AX116" s="2205">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17" t="s">
        <v>3049</v>
      </c>
      <c r="E117" s="324">
        <f t="shared" si="61"/>
        <v>0</v>
      </c>
      <c r="F117" s="325"/>
      <c r="G117" s="326">
        <f t="shared" si="36"/>
        <v>0</v>
      </c>
      <c r="H117" s="327">
        <f t="shared" si="37"/>
        <v>0</v>
      </c>
      <c r="I117" s="3323"/>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5">
        <f t="shared" si="62"/>
        <v>0</v>
      </c>
      <c r="AW117" s="2205">
        <f t="shared" si="63"/>
        <v>0</v>
      </c>
      <c r="AX117" s="2205">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17" t="s">
        <v>3049</v>
      </c>
      <c r="E118" s="324">
        <f t="shared" si="61"/>
        <v>0</v>
      </c>
      <c r="F118" s="325"/>
      <c r="G118" s="326">
        <f t="shared" si="36"/>
        <v>0</v>
      </c>
      <c r="H118" s="327">
        <f t="shared" si="37"/>
        <v>0</v>
      </c>
      <c r="I118" s="3323"/>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5">
        <f t="shared" si="62"/>
        <v>0</v>
      </c>
      <c r="AW118" s="2205">
        <f t="shared" si="63"/>
        <v>0</v>
      </c>
      <c r="AX118" s="2205">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17" t="s">
        <v>3049</v>
      </c>
      <c r="E119" s="324">
        <f t="shared" si="61"/>
        <v>0</v>
      </c>
      <c r="F119" s="325"/>
      <c r="G119" s="326">
        <f t="shared" si="36"/>
        <v>0</v>
      </c>
      <c r="H119" s="327">
        <f t="shared" si="37"/>
        <v>0</v>
      </c>
      <c r="I119" s="3323"/>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5">
        <f t="shared" si="62"/>
        <v>0</v>
      </c>
      <c r="AW119" s="2205">
        <f t="shared" si="63"/>
        <v>0</v>
      </c>
      <c r="AX119" s="2205">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17" t="s">
        <v>3049</v>
      </c>
      <c r="E120" s="324">
        <f t="shared" si="61"/>
        <v>0</v>
      </c>
      <c r="F120" s="325"/>
      <c r="G120" s="326">
        <f t="shared" si="36"/>
        <v>0</v>
      </c>
      <c r="H120" s="327">
        <f t="shared" si="37"/>
        <v>0</v>
      </c>
      <c r="I120" s="3323"/>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5">
        <f t="shared" si="62"/>
        <v>0</v>
      </c>
      <c r="AW120" s="2205">
        <f t="shared" si="63"/>
        <v>0</v>
      </c>
      <c r="AX120" s="2205">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17" t="s">
        <v>3049</v>
      </c>
      <c r="E121" s="324">
        <f t="shared" si="61"/>
        <v>0</v>
      </c>
      <c r="F121" s="325"/>
      <c r="G121" s="326">
        <f t="shared" si="36"/>
        <v>0</v>
      </c>
      <c r="H121" s="327">
        <f t="shared" si="37"/>
        <v>0</v>
      </c>
      <c r="I121" s="3323"/>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5">
        <f t="shared" si="62"/>
        <v>0</v>
      </c>
      <c r="AW121" s="2205">
        <f t="shared" si="63"/>
        <v>0</v>
      </c>
      <c r="AX121" s="2205">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17" t="s">
        <v>3049</v>
      </c>
      <c r="E122" s="324">
        <f t="shared" si="61"/>
        <v>0</v>
      </c>
      <c r="F122" s="325"/>
      <c r="G122" s="326">
        <f t="shared" si="36"/>
        <v>0</v>
      </c>
      <c r="H122" s="327">
        <f t="shared" si="37"/>
        <v>0</v>
      </c>
      <c r="I122" s="3323"/>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5">
        <f t="shared" si="62"/>
        <v>0</v>
      </c>
      <c r="AW122" s="2205">
        <f t="shared" si="63"/>
        <v>0</v>
      </c>
      <c r="AX122" s="2205">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17" t="s">
        <v>3049</v>
      </c>
      <c r="E123" s="324">
        <f t="shared" si="61"/>
        <v>0</v>
      </c>
      <c r="F123" s="325"/>
      <c r="G123" s="326">
        <f t="shared" si="36"/>
        <v>0</v>
      </c>
      <c r="H123" s="327">
        <f t="shared" si="37"/>
        <v>0</v>
      </c>
      <c r="I123" s="3323"/>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5">
        <f t="shared" si="62"/>
        <v>0</v>
      </c>
      <c r="AW123" s="2205">
        <f t="shared" si="63"/>
        <v>0</v>
      </c>
      <c r="AX123" s="2205">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17" t="s">
        <v>3049</v>
      </c>
      <c r="E124" s="324">
        <f t="shared" si="61"/>
        <v>0</v>
      </c>
      <c r="F124" s="325"/>
      <c r="G124" s="326">
        <f t="shared" si="36"/>
        <v>0</v>
      </c>
      <c r="H124" s="327">
        <f t="shared" si="37"/>
        <v>0</v>
      </c>
      <c r="I124" s="3323"/>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5">
        <f t="shared" si="62"/>
        <v>0</v>
      </c>
      <c r="AW124" s="2205">
        <f t="shared" si="63"/>
        <v>0</v>
      </c>
      <c r="AX124" s="2205">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17" t="s">
        <v>3049</v>
      </c>
      <c r="E125" s="324">
        <f t="shared" si="61"/>
        <v>0</v>
      </c>
      <c r="F125" s="325"/>
      <c r="G125" s="326">
        <f t="shared" si="36"/>
        <v>0</v>
      </c>
      <c r="H125" s="327">
        <f t="shared" si="37"/>
        <v>0</v>
      </c>
      <c r="I125" s="3323"/>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5">
        <f t="shared" si="62"/>
        <v>0</v>
      </c>
      <c r="AW125" s="2205">
        <f t="shared" si="63"/>
        <v>0</v>
      </c>
      <c r="AX125" s="2205">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17" t="s">
        <v>3049</v>
      </c>
      <c r="E126" s="324">
        <f t="shared" si="61"/>
        <v>0</v>
      </c>
      <c r="F126" s="325"/>
      <c r="G126" s="326">
        <f t="shared" si="36"/>
        <v>0</v>
      </c>
      <c r="H126" s="327">
        <f t="shared" si="37"/>
        <v>0</v>
      </c>
      <c r="I126" s="3323"/>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5">
        <f t="shared" si="62"/>
        <v>0</v>
      </c>
      <c r="AW126" s="2205">
        <f t="shared" si="63"/>
        <v>0</v>
      </c>
      <c r="AX126" s="2205">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17" t="s">
        <v>3049</v>
      </c>
      <c r="E127" s="324">
        <f t="shared" si="61"/>
        <v>0</v>
      </c>
      <c r="F127" s="325"/>
      <c r="G127" s="326">
        <f t="shared" si="36"/>
        <v>0</v>
      </c>
      <c r="H127" s="327">
        <f t="shared" si="37"/>
        <v>0</v>
      </c>
      <c r="I127" s="3323"/>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5">
        <f t="shared" si="62"/>
        <v>0</v>
      </c>
      <c r="AW127" s="2205">
        <f t="shared" si="63"/>
        <v>0</v>
      </c>
      <c r="AX127" s="2205">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17" t="s">
        <v>3049</v>
      </c>
      <c r="E128" s="324">
        <f t="shared" si="61"/>
        <v>0</v>
      </c>
      <c r="F128" s="325"/>
      <c r="G128" s="326">
        <f t="shared" si="36"/>
        <v>0</v>
      </c>
      <c r="H128" s="327">
        <f t="shared" si="37"/>
        <v>0</v>
      </c>
      <c r="I128" s="3323"/>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5">
        <f t="shared" si="62"/>
        <v>0</v>
      </c>
      <c r="AW128" s="2205">
        <f t="shared" si="63"/>
        <v>0</v>
      </c>
      <c r="AX128" s="2205">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17" t="s">
        <v>3049</v>
      </c>
      <c r="E129" s="324">
        <f t="shared" si="61"/>
        <v>0</v>
      </c>
      <c r="F129" s="325"/>
      <c r="G129" s="326">
        <f t="shared" si="36"/>
        <v>0</v>
      </c>
      <c r="H129" s="327">
        <f t="shared" si="37"/>
        <v>0</v>
      </c>
      <c r="I129" s="3323"/>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5">
        <f t="shared" si="62"/>
        <v>0</v>
      </c>
      <c r="AW129" s="2205">
        <f t="shared" si="63"/>
        <v>0</v>
      </c>
      <c r="AX129" s="2205">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17" t="s">
        <v>3049</v>
      </c>
      <c r="E130" s="324">
        <f t="shared" si="61"/>
        <v>0</v>
      </c>
      <c r="F130" s="325"/>
      <c r="G130" s="326">
        <f t="shared" si="36"/>
        <v>0</v>
      </c>
      <c r="H130" s="327">
        <f t="shared" si="37"/>
        <v>0</v>
      </c>
      <c r="I130" s="3323"/>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5">
        <f t="shared" si="62"/>
        <v>0</v>
      </c>
      <c r="AW130" s="2205">
        <f t="shared" si="63"/>
        <v>0</v>
      </c>
      <c r="AX130" s="2205">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17" t="s">
        <v>3049</v>
      </c>
      <c r="E131" s="324">
        <f t="shared" si="61"/>
        <v>0</v>
      </c>
      <c r="F131" s="325"/>
      <c r="G131" s="326">
        <f t="shared" si="36"/>
        <v>0</v>
      </c>
      <c r="H131" s="327">
        <f t="shared" si="37"/>
        <v>0</v>
      </c>
      <c r="I131" s="3323"/>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5">
        <f t="shared" si="62"/>
        <v>0</v>
      </c>
      <c r="AW131" s="2205">
        <f t="shared" si="63"/>
        <v>0</v>
      </c>
      <c r="AX131" s="2205">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17" t="s">
        <v>3049</v>
      </c>
      <c r="E132" s="324">
        <f t="shared" si="61"/>
        <v>0</v>
      </c>
      <c r="F132" s="325"/>
      <c r="G132" s="326">
        <f t="shared" si="36"/>
        <v>0</v>
      </c>
      <c r="H132" s="327">
        <f t="shared" si="37"/>
        <v>0</v>
      </c>
      <c r="I132" s="3323"/>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5">
        <f t="shared" si="62"/>
        <v>0</v>
      </c>
      <c r="AW132" s="2205">
        <f t="shared" si="63"/>
        <v>0</v>
      </c>
      <c r="AX132" s="2205">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17" t="s">
        <v>3049</v>
      </c>
      <c r="E133" s="324">
        <f t="shared" si="61"/>
        <v>0</v>
      </c>
      <c r="F133" s="325"/>
      <c r="G133" s="326">
        <f t="shared" si="36"/>
        <v>0</v>
      </c>
      <c r="H133" s="327">
        <f t="shared" si="37"/>
        <v>0</v>
      </c>
      <c r="I133" s="3323"/>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5">
        <f t="shared" si="62"/>
        <v>0</v>
      </c>
      <c r="AW133" s="2205">
        <f t="shared" si="63"/>
        <v>0</v>
      </c>
      <c r="AX133" s="2205">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17" t="s">
        <v>3049</v>
      </c>
      <c r="E134" s="324">
        <f t="shared" si="61"/>
        <v>0</v>
      </c>
      <c r="F134" s="325"/>
      <c r="G134" s="326">
        <f t="shared" si="36"/>
        <v>0</v>
      </c>
      <c r="H134" s="327">
        <f t="shared" si="37"/>
        <v>0</v>
      </c>
      <c r="I134" s="3323"/>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5">
        <f t="shared" si="62"/>
        <v>0</v>
      </c>
      <c r="AW134" s="2205">
        <f t="shared" si="63"/>
        <v>0</v>
      </c>
      <c r="AX134" s="2205">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17" t="s">
        <v>3049</v>
      </c>
      <c r="E135" s="324">
        <f t="shared" si="61"/>
        <v>0</v>
      </c>
      <c r="F135" s="325"/>
      <c r="G135" s="326">
        <f t="shared" si="36"/>
        <v>0</v>
      </c>
      <c r="H135" s="327">
        <f t="shared" si="37"/>
        <v>0</v>
      </c>
      <c r="I135" s="3323"/>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5">
        <f t="shared" si="62"/>
        <v>0</v>
      </c>
      <c r="AW135" s="2205">
        <f t="shared" si="63"/>
        <v>0</v>
      </c>
      <c r="AX135" s="2205">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17" t="s">
        <v>3049</v>
      </c>
      <c r="E136" s="324">
        <f t="shared" si="61"/>
        <v>0</v>
      </c>
      <c r="F136" s="325"/>
      <c r="G136" s="326">
        <f t="shared" si="36"/>
        <v>0</v>
      </c>
      <c r="H136" s="327">
        <f t="shared" si="37"/>
        <v>0</v>
      </c>
      <c r="I136" s="3323"/>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5">
        <f t="shared" si="62"/>
        <v>0</v>
      </c>
      <c r="AW136" s="2205">
        <f t="shared" si="63"/>
        <v>0</v>
      </c>
      <c r="AX136" s="2205">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17" t="s">
        <v>3049</v>
      </c>
      <c r="E137" s="324">
        <f t="shared" si="61"/>
        <v>0</v>
      </c>
      <c r="F137" s="325"/>
      <c r="G137" s="326">
        <f t="shared" si="36"/>
        <v>0</v>
      </c>
      <c r="H137" s="327">
        <f t="shared" si="37"/>
        <v>0</v>
      </c>
      <c r="I137" s="3323"/>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5">
        <f t="shared" si="62"/>
        <v>0</v>
      </c>
      <c r="AW137" s="2205">
        <f t="shared" si="63"/>
        <v>0</v>
      </c>
      <c r="AX137" s="2205">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17" t="s">
        <v>3049</v>
      </c>
      <c r="E138" s="324">
        <f t="shared" si="61"/>
        <v>0</v>
      </c>
      <c r="F138" s="325"/>
      <c r="G138" s="326">
        <f t="shared" si="36"/>
        <v>0</v>
      </c>
      <c r="H138" s="327">
        <f t="shared" si="37"/>
        <v>0</v>
      </c>
      <c r="I138" s="3323"/>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5">
        <f t="shared" si="62"/>
        <v>0</v>
      </c>
      <c r="AW138" s="2205">
        <f t="shared" si="63"/>
        <v>0</v>
      </c>
      <c r="AX138" s="2205">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17" t="s">
        <v>3049</v>
      </c>
      <c r="E139" s="324">
        <f t="shared" si="61"/>
        <v>0</v>
      </c>
      <c r="F139" s="325"/>
      <c r="G139" s="326">
        <f t="shared" si="36"/>
        <v>0</v>
      </c>
      <c r="H139" s="327">
        <f t="shared" si="37"/>
        <v>0</v>
      </c>
      <c r="I139" s="3323"/>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5">
        <f t="shared" si="62"/>
        <v>0</v>
      </c>
      <c r="AW139" s="2205">
        <f t="shared" si="63"/>
        <v>0</v>
      </c>
      <c r="AX139" s="2205">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17" t="s">
        <v>3049</v>
      </c>
      <c r="E140" s="324">
        <f t="shared" si="61"/>
        <v>0</v>
      </c>
      <c r="F140" s="325"/>
      <c r="G140" s="326">
        <f t="shared" si="36"/>
        <v>0</v>
      </c>
      <c r="H140" s="327">
        <f t="shared" si="37"/>
        <v>0</v>
      </c>
      <c r="I140" s="3323"/>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5">
        <f t="shared" si="62"/>
        <v>0</v>
      </c>
      <c r="AW140" s="2205">
        <f t="shared" si="63"/>
        <v>0</v>
      </c>
      <c r="AX140" s="2205">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17" t="s">
        <v>3049</v>
      </c>
      <c r="E141" s="324">
        <f t="shared" si="61"/>
        <v>0</v>
      </c>
      <c r="F141" s="325"/>
      <c r="G141" s="326">
        <f t="shared" si="36"/>
        <v>0</v>
      </c>
      <c r="H141" s="327">
        <f t="shared" si="37"/>
        <v>0</v>
      </c>
      <c r="I141" s="3323"/>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5">
        <f t="shared" si="62"/>
        <v>0</v>
      </c>
      <c r="AW141" s="2205">
        <f t="shared" si="63"/>
        <v>0</v>
      </c>
      <c r="AX141" s="2205">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17" t="s">
        <v>3049</v>
      </c>
      <c r="E142" s="324">
        <f t="shared" si="61"/>
        <v>0</v>
      </c>
      <c r="F142" s="325"/>
      <c r="G142" s="326">
        <f t="shared" ref="G142:G173" si="65">H142+AC142+AT142</f>
        <v>0</v>
      </c>
      <c r="H142" s="327">
        <f t="shared" ref="H142:H173" si="66">SUMIF(I$12:AB$12,"总值",I142:AB142)</f>
        <v>0</v>
      </c>
      <c r="I142" s="3323"/>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5">
        <f t="shared" si="62"/>
        <v>0</v>
      </c>
      <c r="AW142" s="2205">
        <f t="shared" si="63"/>
        <v>0</v>
      </c>
      <c r="AX142" s="2205">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17" t="s">
        <v>3049</v>
      </c>
      <c r="E143" s="324">
        <f t="shared" si="61"/>
        <v>0</v>
      </c>
      <c r="F143" s="325"/>
      <c r="G143" s="326">
        <f t="shared" si="65"/>
        <v>0</v>
      </c>
      <c r="H143" s="327">
        <f t="shared" si="66"/>
        <v>0</v>
      </c>
      <c r="I143" s="3323"/>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5">
        <f t="shared" si="62"/>
        <v>0</v>
      </c>
      <c r="AW143" s="2205">
        <f t="shared" si="63"/>
        <v>0</v>
      </c>
      <c r="AX143" s="2205">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17" t="s">
        <v>3049</v>
      </c>
      <c r="E144" s="324">
        <f t="shared" si="61"/>
        <v>0</v>
      </c>
      <c r="F144" s="325"/>
      <c r="G144" s="326">
        <f t="shared" si="65"/>
        <v>0</v>
      </c>
      <c r="H144" s="327">
        <f t="shared" si="66"/>
        <v>0</v>
      </c>
      <c r="I144" s="3323"/>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5">
        <f t="shared" si="62"/>
        <v>0</v>
      </c>
      <c r="AW144" s="2205">
        <f t="shared" si="63"/>
        <v>0</v>
      </c>
      <c r="AX144" s="2205">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17" t="s">
        <v>3049</v>
      </c>
      <c r="E145" s="324">
        <f t="shared" ref="E145:E176" si="90">IF($C$3="是",ROUND($A$3*G145/$B$3,2),ROUND($A$3*(G145-AT145)/$B$3,2))</f>
        <v>0</v>
      </c>
      <c r="F145" s="325"/>
      <c r="G145" s="326">
        <f t="shared" si="65"/>
        <v>0</v>
      </c>
      <c r="H145" s="327">
        <f t="shared" si="66"/>
        <v>0</v>
      </c>
      <c r="I145" s="3323"/>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5">
        <f t="shared" ref="AV145:AV176" si="91">A145</f>
        <v>0</v>
      </c>
      <c r="AW145" s="2205">
        <f t="shared" ref="AW145:AW176" si="92">B145</f>
        <v>0</v>
      </c>
      <c r="AX145" s="2205">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17" t="s">
        <v>3049</v>
      </c>
      <c r="E146" s="324">
        <f t="shared" si="90"/>
        <v>0</v>
      </c>
      <c r="F146" s="325"/>
      <c r="G146" s="326">
        <f t="shared" si="65"/>
        <v>0</v>
      </c>
      <c r="H146" s="327">
        <f t="shared" si="66"/>
        <v>0</v>
      </c>
      <c r="I146" s="3323"/>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5">
        <f t="shared" si="91"/>
        <v>0</v>
      </c>
      <c r="AW146" s="2205">
        <f t="shared" si="92"/>
        <v>0</v>
      </c>
      <c r="AX146" s="2205">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17" t="s">
        <v>3049</v>
      </c>
      <c r="E147" s="324">
        <f t="shared" si="90"/>
        <v>0</v>
      </c>
      <c r="F147" s="325"/>
      <c r="G147" s="326">
        <f t="shared" si="65"/>
        <v>0</v>
      </c>
      <c r="H147" s="327">
        <f t="shared" si="66"/>
        <v>0</v>
      </c>
      <c r="I147" s="3323"/>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5">
        <f t="shared" si="91"/>
        <v>0</v>
      </c>
      <c r="AW147" s="2205">
        <f t="shared" si="92"/>
        <v>0</v>
      </c>
      <c r="AX147" s="2205">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17" t="s">
        <v>3049</v>
      </c>
      <c r="E148" s="324">
        <f t="shared" si="90"/>
        <v>0</v>
      </c>
      <c r="F148" s="325"/>
      <c r="G148" s="326">
        <f t="shared" si="65"/>
        <v>0</v>
      </c>
      <c r="H148" s="327">
        <f t="shared" si="66"/>
        <v>0</v>
      </c>
      <c r="I148" s="3323"/>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5">
        <f t="shared" si="91"/>
        <v>0</v>
      </c>
      <c r="AW148" s="2205">
        <f t="shared" si="92"/>
        <v>0</v>
      </c>
      <c r="AX148" s="2205">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17" t="s">
        <v>3049</v>
      </c>
      <c r="E149" s="324">
        <f t="shared" si="90"/>
        <v>0</v>
      </c>
      <c r="F149" s="325"/>
      <c r="G149" s="326">
        <f t="shared" si="65"/>
        <v>0</v>
      </c>
      <c r="H149" s="327">
        <f t="shared" si="66"/>
        <v>0</v>
      </c>
      <c r="I149" s="3323"/>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5">
        <f t="shared" si="91"/>
        <v>0</v>
      </c>
      <c r="AW149" s="2205">
        <f t="shared" si="92"/>
        <v>0</v>
      </c>
      <c r="AX149" s="2205">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17" t="s">
        <v>3049</v>
      </c>
      <c r="E150" s="324">
        <f t="shared" si="90"/>
        <v>0</v>
      </c>
      <c r="F150" s="325"/>
      <c r="G150" s="326">
        <f t="shared" si="65"/>
        <v>0</v>
      </c>
      <c r="H150" s="327">
        <f t="shared" si="66"/>
        <v>0</v>
      </c>
      <c r="I150" s="3323"/>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5">
        <f t="shared" si="91"/>
        <v>0</v>
      </c>
      <c r="AW150" s="2205">
        <f t="shared" si="92"/>
        <v>0</v>
      </c>
      <c r="AX150" s="2205">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17" t="s">
        <v>3049</v>
      </c>
      <c r="E151" s="324">
        <f t="shared" si="90"/>
        <v>0</v>
      </c>
      <c r="F151" s="325"/>
      <c r="G151" s="326">
        <f t="shared" si="65"/>
        <v>0</v>
      </c>
      <c r="H151" s="327">
        <f t="shared" si="66"/>
        <v>0</v>
      </c>
      <c r="I151" s="3323"/>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5">
        <f t="shared" si="91"/>
        <v>0</v>
      </c>
      <c r="AW151" s="2205">
        <f t="shared" si="92"/>
        <v>0</v>
      </c>
      <c r="AX151" s="2205">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17" t="s">
        <v>3049</v>
      </c>
      <c r="E152" s="324">
        <f t="shared" si="90"/>
        <v>0</v>
      </c>
      <c r="F152" s="325"/>
      <c r="G152" s="326">
        <f t="shared" si="65"/>
        <v>0</v>
      </c>
      <c r="H152" s="327">
        <f t="shared" si="66"/>
        <v>0</v>
      </c>
      <c r="I152" s="3323"/>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5">
        <f t="shared" si="91"/>
        <v>0</v>
      </c>
      <c r="AW152" s="2205">
        <f t="shared" si="92"/>
        <v>0</v>
      </c>
      <c r="AX152" s="2205">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17" t="s">
        <v>3049</v>
      </c>
      <c r="E153" s="324">
        <f t="shared" si="90"/>
        <v>0</v>
      </c>
      <c r="F153" s="325"/>
      <c r="G153" s="326">
        <f t="shared" si="65"/>
        <v>0</v>
      </c>
      <c r="H153" s="327">
        <f t="shared" si="66"/>
        <v>0</v>
      </c>
      <c r="I153" s="3323"/>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5">
        <f t="shared" si="91"/>
        <v>0</v>
      </c>
      <c r="AW153" s="2205">
        <f t="shared" si="92"/>
        <v>0</v>
      </c>
      <c r="AX153" s="2205">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17" t="s">
        <v>3049</v>
      </c>
      <c r="E154" s="324">
        <f t="shared" si="90"/>
        <v>0</v>
      </c>
      <c r="F154" s="325"/>
      <c r="G154" s="326">
        <f t="shared" si="65"/>
        <v>0</v>
      </c>
      <c r="H154" s="327">
        <f t="shared" si="66"/>
        <v>0</v>
      </c>
      <c r="I154" s="3323"/>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5">
        <f t="shared" si="91"/>
        <v>0</v>
      </c>
      <c r="AW154" s="2205">
        <f t="shared" si="92"/>
        <v>0</v>
      </c>
      <c r="AX154" s="2205">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17" t="s">
        <v>3049</v>
      </c>
      <c r="E155" s="324">
        <f t="shared" si="90"/>
        <v>0</v>
      </c>
      <c r="F155" s="325"/>
      <c r="G155" s="326">
        <f t="shared" si="65"/>
        <v>0</v>
      </c>
      <c r="H155" s="327">
        <f t="shared" si="66"/>
        <v>0</v>
      </c>
      <c r="I155" s="3323"/>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5">
        <f t="shared" si="91"/>
        <v>0</v>
      </c>
      <c r="AW155" s="2205">
        <f t="shared" si="92"/>
        <v>0</v>
      </c>
      <c r="AX155" s="2205">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17" t="s">
        <v>3049</v>
      </c>
      <c r="E156" s="324">
        <f t="shared" si="90"/>
        <v>0</v>
      </c>
      <c r="F156" s="325"/>
      <c r="G156" s="326">
        <f t="shared" si="65"/>
        <v>0</v>
      </c>
      <c r="H156" s="327">
        <f t="shared" si="66"/>
        <v>0</v>
      </c>
      <c r="I156" s="3323"/>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5">
        <f t="shared" si="91"/>
        <v>0</v>
      </c>
      <c r="AW156" s="2205">
        <f t="shared" si="92"/>
        <v>0</v>
      </c>
      <c r="AX156" s="2205">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17" t="s">
        <v>3049</v>
      </c>
      <c r="E157" s="324">
        <f t="shared" si="90"/>
        <v>0</v>
      </c>
      <c r="F157" s="325"/>
      <c r="G157" s="326">
        <f t="shared" si="65"/>
        <v>0</v>
      </c>
      <c r="H157" s="327">
        <f t="shared" si="66"/>
        <v>0</v>
      </c>
      <c r="I157" s="3323"/>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5">
        <f t="shared" si="91"/>
        <v>0</v>
      </c>
      <c r="AW157" s="2205">
        <f t="shared" si="92"/>
        <v>0</v>
      </c>
      <c r="AX157" s="2205">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17" t="s">
        <v>3049</v>
      </c>
      <c r="E158" s="324">
        <f t="shared" si="90"/>
        <v>0</v>
      </c>
      <c r="F158" s="325"/>
      <c r="G158" s="326">
        <f t="shared" si="65"/>
        <v>0</v>
      </c>
      <c r="H158" s="327">
        <f t="shared" si="66"/>
        <v>0</v>
      </c>
      <c r="I158" s="3323"/>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5">
        <f t="shared" si="91"/>
        <v>0</v>
      </c>
      <c r="AW158" s="2205">
        <f t="shared" si="92"/>
        <v>0</v>
      </c>
      <c r="AX158" s="2205">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17" t="s">
        <v>3049</v>
      </c>
      <c r="E159" s="324">
        <f t="shared" si="90"/>
        <v>0</v>
      </c>
      <c r="F159" s="325"/>
      <c r="G159" s="326">
        <f t="shared" si="65"/>
        <v>0</v>
      </c>
      <c r="H159" s="327">
        <f t="shared" si="66"/>
        <v>0</v>
      </c>
      <c r="I159" s="3323"/>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5">
        <f t="shared" si="91"/>
        <v>0</v>
      </c>
      <c r="AW159" s="2205">
        <f t="shared" si="92"/>
        <v>0</v>
      </c>
      <c r="AX159" s="2205">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17" t="s">
        <v>3049</v>
      </c>
      <c r="E160" s="324">
        <f t="shared" si="90"/>
        <v>0</v>
      </c>
      <c r="F160" s="325"/>
      <c r="G160" s="326">
        <f t="shared" si="65"/>
        <v>0</v>
      </c>
      <c r="H160" s="327">
        <f t="shared" si="66"/>
        <v>0</v>
      </c>
      <c r="I160" s="3323"/>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5">
        <f t="shared" si="91"/>
        <v>0</v>
      </c>
      <c r="AW160" s="2205">
        <f t="shared" si="92"/>
        <v>0</v>
      </c>
      <c r="AX160" s="2205">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17" t="s">
        <v>3049</v>
      </c>
      <c r="E161" s="324">
        <f t="shared" si="90"/>
        <v>0</v>
      </c>
      <c r="F161" s="325"/>
      <c r="G161" s="326">
        <f t="shared" si="65"/>
        <v>0</v>
      </c>
      <c r="H161" s="327">
        <f t="shared" si="66"/>
        <v>0</v>
      </c>
      <c r="I161" s="3323"/>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5">
        <f t="shared" si="91"/>
        <v>0</v>
      </c>
      <c r="AW161" s="2205">
        <f t="shared" si="92"/>
        <v>0</v>
      </c>
      <c r="AX161" s="2205">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17" t="s">
        <v>3049</v>
      </c>
      <c r="E162" s="324">
        <f t="shared" si="90"/>
        <v>0</v>
      </c>
      <c r="F162" s="325"/>
      <c r="G162" s="326">
        <f t="shared" si="65"/>
        <v>0</v>
      </c>
      <c r="H162" s="327">
        <f t="shared" si="66"/>
        <v>0</v>
      </c>
      <c r="I162" s="3323"/>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5">
        <f t="shared" si="91"/>
        <v>0</v>
      </c>
      <c r="AW162" s="2205">
        <f t="shared" si="92"/>
        <v>0</v>
      </c>
      <c r="AX162" s="2205">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17" t="s">
        <v>3049</v>
      </c>
      <c r="E163" s="324">
        <f t="shared" si="90"/>
        <v>0</v>
      </c>
      <c r="F163" s="325"/>
      <c r="G163" s="326">
        <f t="shared" si="65"/>
        <v>0</v>
      </c>
      <c r="H163" s="327">
        <f t="shared" si="66"/>
        <v>0</v>
      </c>
      <c r="I163" s="3323"/>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5">
        <f t="shared" si="91"/>
        <v>0</v>
      </c>
      <c r="AW163" s="2205">
        <f t="shared" si="92"/>
        <v>0</v>
      </c>
      <c r="AX163" s="2205">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17" t="s">
        <v>3049</v>
      </c>
      <c r="E164" s="324">
        <f t="shared" si="90"/>
        <v>0</v>
      </c>
      <c r="F164" s="325"/>
      <c r="G164" s="326">
        <f t="shared" si="65"/>
        <v>0</v>
      </c>
      <c r="H164" s="327">
        <f t="shared" si="66"/>
        <v>0</v>
      </c>
      <c r="I164" s="3323"/>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5">
        <f t="shared" si="91"/>
        <v>0</v>
      </c>
      <c r="AW164" s="2205">
        <f t="shared" si="92"/>
        <v>0</v>
      </c>
      <c r="AX164" s="2205">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17" t="s">
        <v>3049</v>
      </c>
      <c r="E165" s="324">
        <f t="shared" si="90"/>
        <v>0</v>
      </c>
      <c r="F165" s="325"/>
      <c r="G165" s="326">
        <f t="shared" si="65"/>
        <v>0</v>
      </c>
      <c r="H165" s="327">
        <f t="shared" si="66"/>
        <v>0</v>
      </c>
      <c r="I165" s="3323"/>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5">
        <f t="shared" si="91"/>
        <v>0</v>
      </c>
      <c r="AW165" s="2205">
        <f t="shared" si="92"/>
        <v>0</v>
      </c>
      <c r="AX165" s="2205">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17" t="s">
        <v>3049</v>
      </c>
      <c r="E166" s="324">
        <f t="shared" si="90"/>
        <v>0</v>
      </c>
      <c r="F166" s="325"/>
      <c r="G166" s="326">
        <f t="shared" si="65"/>
        <v>0</v>
      </c>
      <c r="H166" s="327">
        <f t="shared" si="66"/>
        <v>0</v>
      </c>
      <c r="I166" s="3323"/>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5">
        <f t="shared" si="91"/>
        <v>0</v>
      </c>
      <c r="AW166" s="2205">
        <f t="shared" si="92"/>
        <v>0</v>
      </c>
      <c r="AX166" s="2205">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17" t="s">
        <v>3049</v>
      </c>
      <c r="E167" s="324">
        <f t="shared" si="90"/>
        <v>0</v>
      </c>
      <c r="F167" s="325"/>
      <c r="G167" s="326">
        <f t="shared" si="65"/>
        <v>0</v>
      </c>
      <c r="H167" s="327">
        <f t="shared" si="66"/>
        <v>0</v>
      </c>
      <c r="I167" s="3323"/>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5">
        <f t="shared" si="91"/>
        <v>0</v>
      </c>
      <c r="AW167" s="2205">
        <f t="shared" si="92"/>
        <v>0</v>
      </c>
      <c r="AX167" s="2205">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17" t="s">
        <v>3049</v>
      </c>
      <c r="E168" s="324">
        <f t="shared" si="90"/>
        <v>0</v>
      </c>
      <c r="F168" s="325"/>
      <c r="G168" s="326">
        <f t="shared" si="65"/>
        <v>0</v>
      </c>
      <c r="H168" s="327">
        <f t="shared" si="66"/>
        <v>0</v>
      </c>
      <c r="I168" s="3323"/>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5">
        <f t="shared" si="91"/>
        <v>0</v>
      </c>
      <c r="AW168" s="2205">
        <f t="shared" si="92"/>
        <v>0</v>
      </c>
      <c r="AX168" s="2205">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17" t="s">
        <v>3049</v>
      </c>
      <c r="E169" s="324">
        <f t="shared" si="90"/>
        <v>0</v>
      </c>
      <c r="F169" s="325"/>
      <c r="G169" s="326">
        <f t="shared" si="65"/>
        <v>0</v>
      </c>
      <c r="H169" s="327">
        <f t="shared" si="66"/>
        <v>0</v>
      </c>
      <c r="I169" s="3323"/>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5">
        <f t="shared" si="91"/>
        <v>0</v>
      </c>
      <c r="AW169" s="2205">
        <f t="shared" si="92"/>
        <v>0</v>
      </c>
      <c r="AX169" s="2205">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17" t="s">
        <v>3049</v>
      </c>
      <c r="E170" s="324">
        <f t="shared" si="90"/>
        <v>0</v>
      </c>
      <c r="F170" s="325"/>
      <c r="G170" s="326">
        <f t="shared" si="65"/>
        <v>0</v>
      </c>
      <c r="H170" s="327">
        <f t="shared" si="66"/>
        <v>0</v>
      </c>
      <c r="I170" s="3323"/>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5">
        <f t="shared" si="91"/>
        <v>0</v>
      </c>
      <c r="AW170" s="2205">
        <f t="shared" si="92"/>
        <v>0</v>
      </c>
      <c r="AX170" s="2205">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17" t="s">
        <v>3049</v>
      </c>
      <c r="E171" s="324">
        <f t="shared" si="90"/>
        <v>0</v>
      </c>
      <c r="F171" s="325"/>
      <c r="G171" s="326">
        <f t="shared" si="65"/>
        <v>0</v>
      </c>
      <c r="H171" s="327">
        <f t="shared" si="66"/>
        <v>0</v>
      </c>
      <c r="I171" s="3323"/>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5">
        <f t="shared" si="91"/>
        <v>0</v>
      </c>
      <c r="AW171" s="2205">
        <f t="shared" si="92"/>
        <v>0</v>
      </c>
      <c r="AX171" s="2205">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17" t="s">
        <v>3049</v>
      </c>
      <c r="E172" s="324">
        <f t="shared" si="90"/>
        <v>0</v>
      </c>
      <c r="F172" s="325"/>
      <c r="G172" s="326">
        <f t="shared" si="65"/>
        <v>0</v>
      </c>
      <c r="H172" s="327">
        <f t="shared" si="66"/>
        <v>0</v>
      </c>
      <c r="I172" s="3323"/>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5">
        <f t="shared" si="91"/>
        <v>0</v>
      </c>
      <c r="AW172" s="2205">
        <f t="shared" si="92"/>
        <v>0</v>
      </c>
      <c r="AX172" s="2205">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17" t="s">
        <v>3049</v>
      </c>
      <c r="E173" s="324">
        <f t="shared" si="90"/>
        <v>0</v>
      </c>
      <c r="F173" s="325"/>
      <c r="G173" s="326">
        <f t="shared" si="65"/>
        <v>0</v>
      </c>
      <c r="H173" s="327">
        <f t="shared" si="66"/>
        <v>0</v>
      </c>
      <c r="I173" s="3323"/>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5">
        <f t="shared" si="91"/>
        <v>0</v>
      </c>
      <c r="AW173" s="2205">
        <f t="shared" si="92"/>
        <v>0</v>
      </c>
      <c r="AX173" s="2205">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17" t="s">
        <v>3049</v>
      </c>
      <c r="E174" s="324">
        <f t="shared" si="90"/>
        <v>0</v>
      </c>
      <c r="F174" s="325"/>
      <c r="G174" s="326">
        <f t="shared" ref="G174:G205" si="94">H174+AC174+AT174</f>
        <v>0</v>
      </c>
      <c r="H174" s="327">
        <f t="shared" ref="H174:H205" si="95">SUMIF(I$12:AB$12,"总值",I174:AB174)</f>
        <v>0</v>
      </c>
      <c r="I174" s="3323"/>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5">
        <f t="shared" si="91"/>
        <v>0</v>
      </c>
      <c r="AW174" s="2205">
        <f t="shared" si="92"/>
        <v>0</v>
      </c>
      <c r="AX174" s="2205">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17" t="s">
        <v>3049</v>
      </c>
      <c r="E175" s="324">
        <f t="shared" si="90"/>
        <v>0</v>
      </c>
      <c r="F175" s="325"/>
      <c r="G175" s="326">
        <f t="shared" si="94"/>
        <v>0</v>
      </c>
      <c r="H175" s="327">
        <f t="shared" si="95"/>
        <v>0</v>
      </c>
      <c r="I175" s="3323"/>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5">
        <f t="shared" si="91"/>
        <v>0</v>
      </c>
      <c r="AW175" s="2205">
        <f t="shared" si="92"/>
        <v>0</v>
      </c>
      <c r="AX175" s="2205">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17" t="s">
        <v>3049</v>
      </c>
      <c r="E176" s="324">
        <f t="shared" si="90"/>
        <v>0</v>
      </c>
      <c r="F176" s="325"/>
      <c r="G176" s="326">
        <f t="shared" si="94"/>
        <v>0</v>
      </c>
      <c r="H176" s="327">
        <f t="shared" si="95"/>
        <v>0</v>
      </c>
      <c r="I176" s="3323"/>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5">
        <f t="shared" si="91"/>
        <v>0</v>
      </c>
      <c r="AW176" s="2205">
        <f t="shared" si="92"/>
        <v>0</v>
      </c>
      <c r="AX176" s="2205">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17" t="s">
        <v>3049</v>
      </c>
      <c r="E177" s="324">
        <f t="shared" ref="E177:E207" si="119">IF($C$3="是",ROUND($A$3*G177/$B$3,2),ROUND($A$3*(G177-AT177)/$B$3,2))</f>
        <v>0</v>
      </c>
      <c r="F177" s="325"/>
      <c r="G177" s="326">
        <f t="shared" si="94"/>
        <v>0</v>
      </c>
      <c r="H177" s="327">
        <f t="shared" si="95"/>
        <v>0</v>
      </c>
      <c r="I177" s="3323"/>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5">
        <f t="shared" ref="AV177:AV207" si="120">A177</f>
        <v>0</v>
      </c>
      <c r="AW177" s="2205">
        <f t="shared" ref="AW177:AW207" si="121">B177</f>
        <v>0</v>
      </c>
      <c r="AX177" s="2205">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17" t="s">
        <v>3049</v>
      </c>
      <c r="E178" s="324">
        <f t="shared" si="119"/>
        <v>0</v>
      </c>
      <c r="F178" s="325"/>
      <c r="G178" s="326">
        <f t="shared" si="94"/>
        <v>0</v>
      </c>
      <c r="H178" s="327">
        <f t="shared" si="95"/>
        <v>0</v>
      </c>
      <c r="I178" s="3323"/>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5">
        <f t="shared" si="120"/>
        <v>0</v>
      </c>
      <c r="AW178" s="2205">
        <f t="shared" si="121"/>
        <v>0</v>
      </c>
      <c r="AX178" s="2205">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17" t="s">
        <v>3049</v>
      </c>
      <c r="E179" s="324">
        <f t="shared" si="119"/>
        <v>0</v>
      </c>
      <c r="F179" s="325"/>
      <c r="G179" s="326">
        <f t="shared" si="94"/>
        <v>0</v>
      </c>
      <c r="H179" s="327">
        <f t="shared" si="95"/>
        <v>0</v>
      </c>
      <c r="I179" s="3323"/>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5">
        <f t="shared" si="120"/>
        <v>0</v>
      </c>
      <c r="AW179" s="2205">
        <f t="shared" si="121"/>
        <v>0</v>
      </c>
      <c r="AX179" s="2205">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17" t="s">
        <v>3049</v>
      </c>
      <c r="E180" s="324">
        <f t="shared" si="119"/>
        <v>0</v>
      </c>
      <c r="F180" s="325"/>
      <c r="G180" s="326">
        <f t="shared" si="94"/>
        <v>0</v>
      </c>
      <c r="H180" s="327">
        <f t="shared" si="95"/>
        <v>0</v>
      </c>
      <c r="I180" s="3323"/>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5">
        <f t="shared" si="120"/>
        <v>0</v>
      </c>
      <c r="AW180" s="2205">
        <f t="shared" si="121"/>
        <v>0</v>
      </c>
      <c r="AX180" s="2205">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17" t="s">
        <v>3049</v>
      </c>
      <c r="E181" s="324">
        <f t="shared" si="119"/>
        <v>0</v>
      </c>
      <c r="F181" s="325"/>
      <c r="G181" s="326">
        <f t="shared" si="94"/>
        <v>0</v>
      </c>
      <c r="H181" s="327">
        <f t="shared" si="95"/>
        <v>0</v>
      </c>
      <c r="I181" s="3323"/>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5">
        <f t="shared" si="120"/>
        <v>0</v>
      </c>
      <c r="AW181" s="2205">
        <f t="shared" si="121"/>
        <v>0</v>
      </c>
      <c r="AX181" s="2205">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17" t="s">
        <v>3049</v>
      </c>
      <c r="E182" s="324">
        <f t="shared" si="119"/>
        <v>0</v>
      </c>
      <c r="F182" s="325"/>
      <c r="G182" s="326">
        <f t="shared" si="94"/>
        <v>0</v>
      </c>
      <c r="H182" s="327">
        <f t="shared" si="95"/>
        <v>0</v>
      </c>
      <c r="I182" s="3323"/>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5">
        <f t="shared" si="120"/>
        <v>0</v>
      </c>
      <c r="AW182" s="2205">
        <f t="shared" si="121"/>
        <v>0</v>
      </c>
      <c r="AX182" s="2205">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17" t="s">
        <v>3049</v>
      </c>
      <c r="E183" s="324">
        <f t="shared" si="119"/>
        <v>0</v>
      </c>
      <c r="F183" s="325"/>
      <c r="G183" s="326">
        <f t="shared" si="94"/>
        <v>0</v>
      </c>
      <c r="H183" s="327">
        <f t="shared" si="95"/>
        <v>0</v>
      </c>
      <c r="I183" s="3323"/>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5">
        <f t="shared" si="120"/>
        <v>0</v>
      </c>
      <c r="AW183" s="2205">
        <f t="shared" si="121"/>
        <v>0</v>
      </c>
      <c r="AX183" s="2205">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17" t="s">
        <v>3049</v>
      </c>
      <c r="E184" s="324">
        <f t="shared" si="119"/>
        <v>0</v>
      </c>
      <c r="F184" s="325"/>
      <c r="G184" s="326">
        <f t="shared" si="94"/>
        <v>0</v>
      </c>
      <c r="H184" s="327">
        <f t="shared" si="95"/>
        <v>0</v>
      </c>
      <c r="I184" s="3323"/>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5">
        <f t="shared" si="120"/>
        <v>0</v>
      </c>
      <c r="AW184" s="2205">
        <f t="shared" si="121"/>
        <v>0</v>
      </c>
      <c r="AX184" s="2205">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17" t="s">
        <v>3049</v>
      </c>
      <c r="E185" s="324">
        <f t="shared" si="119"/>
        <v>0</v>
      </c>
      <c r="F185" s="325"/>
      <c r="G185" s="326">
        <f t="shared" si="94"/>
        <v>0</v>
      </c>
      <c r="H185" s="327">
        <f t="shared" si="95"/>
        <v>0</v>
      </c>
      <c r="I185" s="3323"/>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5">
        <f t="shared" si="120"/>
        <v>0</v>
      </c>
      <c r="AW185" s="2205">
        <f t="shared" si="121"/>
        <v>0</v>
      </c>
      <c r="AX185" s="2205">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17" t="s">
        <v>3049</v>
      </c>
      <c r="E186" s="324">
        <f t="shared" si="119"/>
        <v>0</v>
      </c>
      <c r="F186" s="325"/>
      <c r="G186" s="326">
        <f t="shared" si="94"/>
        <v>0</v>
      </c>
      <c r="H186" s="327">
        <f t="shared" si="95"/>
        <v>0</v>
      </c>
      <c r="I186" s="3323"/>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5">
        <f t="shared" si="120"/>
        <v>0</v>
      </c>
      <c r="AW186" s="2205">
        <f t="shared" si="121"/>
        <v>0</v>
      </c>
      <c r="AX186" s="2205">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17" t="s">
        <v>3049</v>
      </c>
      <c r="E187" s="324">
        <f t="shared" si="119"/>
        <v>0</v>
      </c>
      <c r="F187" s="325"/>
      <c r="G187" s="326">
        <f t="shared" si="94"/>
        <v>0</v>
      </c>
      <c r="H187" s="327">
        <f t="shared" si="95"/>
        <v>0</v>
      </c>
      <c r="I187" s="3323"/>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5">
        <f t="shared" si="120"/>
        <v>0</v>
      </c>
      <c r="AW187" s="2205">
        <f t="shared" si="121"/>
        <v>0</v>
      </c>
      <c r="AX187" s="2205">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17" t="s">
        <v>3049</v>
      </c>
      <c r="E188" s="324">
        <f t="shared" si="119"/>
        <v>0</v>
      </c>
      <c r="F188" s="325"/>
      <c r="G188" s="326">
        <f t="shared" si="94"/>
        <v>0</v>
      </c>
      <c r="H188" s="327">
        <f t="shared" si="95"/>
        <v>0</v>
      </c>
      <c r="I188" s="3323"/>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5">
        <f t="shared" si="120"/>
        <v>0</v>
      </c>
      <c r="AW188" s="2205">
        <f t="shared" si="121"/>
        <v>0</v>
      </c>
      <c r="AX188" s="2205">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17" t="s">
        <v>3049</v>
      </c>
      <c r="E189" s="324">
        <f t="shared" si="119"/>
        <v>0</v>
      </c>
      <c r="F189" s="325"/>
      <c r="G189" s="326">
        <f t="shared" si="94"/>
        <v>0</v>
      </c>
      <c r="H189" s="327">
        <f t="shared" si="95"/>
        <v>0</v>
      </c>
      <c r="I189" s="3323"/>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5">
        <f t="shared" si="120"/>
        <v>0</v>
      </c>
      <c r="AW189" s="2205">
        <f t="shared" si="121"/>
        <v>0</v>
      </c>
      <c r="AX189" s="2205">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17" t="s">
        <v>3049</v>
      </c>
      <c r="E190" s="324">
        <f t="shared" si="119"/>
        <v>0</v>
      </c>
      <c r="F190" s="325"/>
      <c r="G190" s="326">
        <f t="shared" si="94"/>
        <v>0</v>
      </c>
      <c r="H190" s="327">
        <f t="shared" si="95"/>
        <v>0</v>
      </c>
      <c r="I190" s="3323"/>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5">
        <f t="shared" si="120"/>
        <v>0</v>
      </c>
      <c r="AW190" s="2205">
        <f t="shared" si="121"/>
        <v>0</v>
      </c>
      <c r="AX190" s="2205">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17" t="s">
        <v>3049</v>
      </c>
      <c r="E191" s="324">
        <f t="shared" si="119"/>
        <v>0</v>
      </c>
      <c r="F191" s="325"/>
      <c r="G191" s="326">
        <f t="shared" si="94"/>
        <v>0</v>
      </c>
      <c r="H191" s="327">
        <f t="shared" si="95"/>
        <v>0</v>
      </c>
      <c r="I191" s="3323"/>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5">
        <f t="shared" si="120"/>
        <v>0</v>
      </c>
      <c r="AW191" s="2205">
        <f t="shared" si="121"/>
        <v>0</v>
      </c>
      <c r="AX191" s="2205">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17" t="s">
        <v>3049</v>
      </c>
      <c r="E192" s="324">
        <f t="shared" si="119"/>
        <v>0</v>
      </c>
      <c r="F192" s="325"/>
      <c r="G192" s="326">
        <f t="shared" si="94"/>
        <v>0</v>
      </c>
      <c r="H192" s="327">
        <f t="shared" si="95"/>
        <v>0</v>
      </c>
      <c r="I192" s="3323"/>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5">
        <f t="shared" si="120"/>
        <v>0</v>
      </c>
      <c r="AW192" s="2205">
        <f t="shared" si="121"/>
        <v>0</v>
      </c>
      <c r="AX192" s="2205">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17" t="s">
        <v>3049</v>
      </c>
      <c r="E193" s="324">
        <f t="shared" si="119"/>
        <v>0</v>
      </c>
      <c r="F193" s="325"/>
      <c r="G193" s="326">
        <f t="shared" si="94"/>
        <v>0</v>
      </c>
      <c r="H193" s="327">
        <f t="shared" si="95"/>
        <v>0</v>
      </c>
      <c r="I193" s="3323"/>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5">
        <f t="shared" si="120"/>
        <v>0</v>
      </c>
      <c r="AW193" s="2205">
        <f t="shared" si="121"/>
        <v>0</v>
      </c>
      <c r="AX193" s="2205">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17" t="s">
        <v>3049</v>
      </c>
      <c r="E194" s="324">
        <f t="shared" si="119"/>
        <v>0</v>
      </c>
      <c r="F194" s="325"/>
      <c r="G194" s="326">
        <f t="shared" si="94"/>
        <v>0</v>
      </c>
      <c r="H194" s="327">
        <f t="shared" si="95"/>
        <v>0</v>
      </c>
      <c r="I194" s="3323"/>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5">
        <f t="shared" si="120"/>
        <v>0</v>
      </c>
      <c r="AW194" s="2205">
        <f t="shared" si="121"/>
        <v>0</v>
      </c>
      <c r="AX194" s="2205">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17" t="s">
        <v>3049</v>
      </c>
      <c r="E195" s="324">
        <f t="shared" si="119"/>
        <v>0</v>
      </c>
      <c r="F195" s="325"/>
      <c r="G195" s="326">
        <f t="shared" si="94"/>
        <v>0</v>
      </c>
      <c r="H195" s="327">
        <f t="shared" si="95"/>
        <v>0</v>
      </c>
      <c r="I195" s="3323"/>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5">
        <f t="shared" si="120"/>
        <v>0</v>
      </c>
      <c r="AW195" s="2205">
        <f t="shared" si="121"/>
        <v>0</v>
      </c>
      <c r="AX195" s="2205">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17" t="s">
        <v>3049</v>
      </c>
      <c r="E196" s="324">
        <f t="shared" si="119"/>
        <v>0</v>
      </c>
      <c r="F196" s="325"/>
      <c r="G196" s="326">
        <f t="shared" si="94"/>
        <v>0</v>
      </c>
      <c r="H196" s="327">
        <f t="shared" si="95"/>
        <v>0</v>
      </c>
      <c r="I196" s="3323"/>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5">
        <f t="shared" si="120"/>
        <v>0</v>
      </c>
      <c r="AW196" s="2205">
        <f t="shared" si="121"/>
        <v>0</v>
      </c>
      <c r="AX196" s="2205">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17" t="s">
        <v>3049</v>
      </c>
      <c r="E197" s="324">
        <f t="shared" si="119"/>
        <v>0</v>
      </c>
      <c r="F197" s="325"/>
      <c r="G197" s="326">
        <f t="shared" si="94"/>
        <v>0</v>
      </c>
      <c r="H197" s="327">
        <f t="shared" si="95"/>
        <v>0</v>
      </c>
      <c r="I197" s="3323"/>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5">
        <f t="shared" si="120"/>
        <v>0</v>
      </c>
      <c r="AW197" s="2205">
        <f t="shared" si="121"/>
        <v>0</v>
      </c>
      <c r="AX197" s="2205">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17" t="s">
        <v>3049</v>
      </c>
      <c r="E198" s="324">
        <f t="shared" si="119"/>
        <v>0</v>
      </c>
      <c r="F198" s="325"/>
      <c r="G198" s="326">
        <f t="shared" si="94"/>
        <v>0</v>
      </c>
      <c r="H198" s="327">
        <f t="shared" si="95"/>
        <v>0</v>
      </c>
      <c r="I198" s="3323"/>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5">
        <f t="shared" si="120"/>
        <v>0</v>
      </c>
      <c r="AW198" s="2205">
        <f t="shared" si="121"/>
        <v>0</v>
      </c>
      <c r="AX198" s="2205">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17" t="s">
        <v>3049</v>
      </c>
      <c r="E199" s="324">
        <f t="shared" si="119"/>
        <v>0</v>
      </c>
      <c r="F199" s="325"/>
      <c r="G199" s="326">
        <f t="shared" si="94"/>
        <v>0</v>
      </c>
      <c r="H199" s="327">
        <f t="shared" si="95"/>
        <v>0</v>
      </c>
      <c r="I199" s="3323"/>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5">
        <f t="shared" si="120"/>
        <v>0</v>
      </c>
      <c r="AW199" s="2205">
        <f t="shared" si="121"/>
        <v>0</v>
      </c>
      <c r="AX199" s="2205">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17" t="s">
        <v>3049</v>
      </c>
      <c r="E200" s="324">
        <f t="shared" si="119"/>
        <v>0</v>
      </c>
      <c r="F200" s="325"/>
      <c r="G200" s="326">
        <f t="shared" si="94"/>
        <v>0</v>
      </c>
      <c r="H200" s="327">
        <f t="shared" si="95"/>
        <v>0</v>
      </c>
      <c r="I200" s="3323"/>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5">
        <f t="shared" si="120"/>
        <v>0</v>
      </c>
      <c r="AW200" s="2205">
        <f t="shared" si="121"/>
        <v>0</v>
      </c>
      <c r="AX200" s="2205">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17" t="s">
        <v>3049</v>
      </c>
      <c r="E201" s="324">
        <f t="shared" si="119"/>
        <v>0</v>
      </c>
      <c r="F201" s="325"/>
      <c r="G201" s="326">
        <f t="shared" si="94"/>
        <v>0</v>
      </c>
      <c r="H201" s="327">
        <f t="shared" si="95"/>
        <v>0</v>
      </c>
      <c r="I201" s="3323"/>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5">
        <f t="shared" si="120"/>
        <v>0</v>
      </c>
      <c r="AW201" s="2205">
        <f t="shared" si="121"/>
        <v>0</v>
      </c>
      <c r="AX201" s="2205">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17" t="s">
        <v>3049</v>
      </c>
      <c r="E202" s="324">
        <f t="shared" si="119"/>
        <v>0</v>
      </c>
      <c r="F202" s="325"/>
      <c r="G202" s="326">
        <f t="shared" si="94"/>
        <v>0</v>
      </c>
      <c r="H202" s="327">
        <f t="shared" si="95"/>
        <v>0</v>
      </c>
      <c r="I202" s="3323"/>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5">
        <f t="shared" si="120"/>
        <v>0</v>
      </c>
      <c r="AW202" s="2205">
        <f t="shared" si="121"/>
        <v>0</v>
      </c>
      <c r="AX202" s="2205">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17" t="s">
        <v>3049</v>
      </c>
      <c r="E203" s="324">
        <f t="shared" si="119"/>
        <v>0</v>
      </c>
      <c r="F203" s="325"/>
      <c r="G203" s="326">
        <f t="shared" si="94"/>
        <v>0</v>
      </c>
      <c r="H203" s="327">
        <f t="shared" si="95"/>
        <v>0</v>
      </c>
      <c r="I203" s="3323"/>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5">
        <f t="shared" si="120"/>
        <v>0</v>
      </c>
      <c r="AW203" s="2205">
        <f t="shared" si="121"/>
        <v>0</v>
      </c>
      <c r="AX203" s="2205">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17" t="s">
        <v>3049</v>
      </c>
      <c r="E204" s="324">
        <f t="shared" si="119"/>
        <v>0</v>
      </c>
      <c r="F204" s="325"/>
      <c r="G204" s="326">
        <f t="shared" si="94"/>
        <v>0</v>
      </c>
      <c r="H204" s="327">
        <f t="shared" si="95"/>
        <v>0</v>
      </c>
      <c r="I204" s="3323"/>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5">
        <f t="shared" si="120"/>
        <v>0</v>
      </c>
      <c r="AW204" s="2205">
        <f t="shared" si="121"/>
        <v>0</v>
      </c>
      <c r="AX204" s="2205">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17" t="s">
        <v>3049</v>
      </c>
      <c r="E205" s="324">
        <f t="shared" si="119"/>
        <v>0</v>
      </c>
      <c r="F205" s="333"/>
      <c r="G205" s="326">
        <f t="shared" si="94"/>
        <v>0</v>
      </c>
      <c r="H205" s="327">
        <f t="shared" si="95"/>
        <v>0</v>
      </c>
      <c r="I205" s="3323"/>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5">
        <f t="shared" si="120"/>
        <v>0</v>
      </c>
      <c r="AW205" s="2205">
        <f t="shared" si="121"/>
        <v>0</v>
      </c>
      <c r="AX205" s="2205">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17" t="s">
        <v>3049</v>
      </c>
      <c r="E206" s="324">
        <f t="shared" si="119"/>
        <v>0</v>
      </c>
      <c r="F206" s="333"/>
      <c r="G206" s="326">
        <f>H206+AC206+AT206</f>
        <v>0</v>
      </c>
      <c r="H206" s="327">
        <f>SUMIF(I$12:AB$12,"总值",I206:AB206)</f>
        <v>0</v>
      </c>
      <c r="I206" s="3323"/>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5">
        <f t="shared" si="120"/>
        <v>0</v>
      </c>
      <c r="AW206" s="2205">
        <f t="shared" si="121"/>
        <v>0</v>
      </c>
      <c r="AX206" s="2205">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17" t="s">
        <v>3049</v>
      </c>
      <c r="E207" s="324">
        <f t="shared" si="119"/>
        <v>0</v>
      </c>
      <c r="F207" s="333"/>
      <c r="G207" s="326">
        <f>H207+AC207+AT207</f>
        <v>0</v>
      </c>
      <c r="H207" s="327">
        <f>SUMIF(I$12:AB$12,"总值",I207:AB207)</f>
        <v>0</v>
      </c>
      <c r="I207" s="3323"/>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5">
        <f t="shared" si="120"/>
        <v>0</v>
      </c>
      <c r="AW207" s="2205">
        <f t="shared" si="121"/>
        <v>0</v>
      </c>
      <c r="AX207" s="2205">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17" t="s">
        <v>3049</v>
      </c>
      <c r="E208" s="324">
        <f t="shared" ref="E208:E302" si="123">IF($C$3="是",ROUND($A$3*G208/$B$3,2),ROUND($A$3*(G208-AT208)/$B$3,2))</f>
        <v>0</v>
      </c>
      <c r="F208" s="325"/>
      <c r="G208" s="326">
        <f t="shared" ref="G208:G299" si="124">H208+AC208+AT208</f>
        <v>0</v>
      </c>
      <c r="H208" s="327">
        <f t="shared" ref="H208:H299" si="125">SUMIF(I$12:AB$12,"总值",I208:AB208)</f>
        <v>0</v>
      </c>
      <c r="I208" s="3323"/>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5">
        <f t="shared" ref="AV208:AV302" si="127">A208</f>
        <v>0</v>
      </c>
      <c r="AW208" s="2205">
        <f t="shared" ref="AW208:AW302" si="128">B208</f>
        <v>0</v>
      </c>
      <c r="AX208" s="2205">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17" t="s">
        <v>3049</v>
      </c>
      <c r="E209" s="324">
        <f t="shared" si="123"/>
        <v>0</v>
      </c>
      <c r="F209" s="325"/>
      <c r="G209" s="326">
        <f t="shared" si="124"/>
        <v>0</v>
      </c>
      <c r="H209" s="327">
        <f t="shared" si="125"/>
        <v>0</v>
      </c>
      <c r="I209" s="3323"/>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5">
        <f t="shared" si="127"/>
        <v>0</v>
      </c>
      <c r="AW209" s="2205">
        <f t="shared" si="128"/>
        <v>0</v>
      </c>
      <c r="AX209" s="2205">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17" t="s">
        <v>3049</v>
      </c>
      <c r="E210" s="324">
        <f t="shared" si="123"/>
        <v>0</v>
      </c>
      <c r="F210" s="325"/>
      <c r="G210" s="326">
        <f t="shared" si="124"/>
        <v>0</v>
      </c>
      <c r="H210" s="327">
        <f t="shared" si="125"/>
        <v>0</v>
      </c>
      <c r="I210" s="3323"/>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5">
        <f t="shared" si="127"/>
        <v>0</v>
      </c>
      <c r="AW210" s="2205">
        <f t="shared" si="128"/>
        <v>0</v>
      </c>
      <c r="AX210" s="2205">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17" t="s">
        <v>3049</v>
      </c>
      <c r="E211" s="324">
        <f t="shared" si="123"/>
        <v>0</v>
      </c>
      <c r="F211" s="325"/>
      <c r="G211" s="326">
        <f t="shared" si="124"/>
        <v>0</v>
      </c>
      <c r="H211" s="327">
        <f t="shared" si="125"/>
        <v>0</v>
      </c>
      <c r="I211" s="3323"/>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5">
        <f t="shared" si="127"/>
        <v>0</v>
      </c>
      <c r="AW211" s="2205">
        <f t="shared" si="128"/>
        <v>0</v>
      </c>
      <c r="AX211" s="2205">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17" t="s">
        <v>3049</v>
      </c>
      <c r="E212" s="324">
        <f t="shared" si="123"/>
        <v>0</v>
      </c>
      <c r="F212" s="325"/>
      <c r="G212" s="326">
        <f t="shared" si="124"/>
        <v>0</v>
      </c>
      <c r="H212" s="327">
        <f t="shared" si="125"/>
        <v>0</v>
      </c>
      <c r="I212" s="3323"/>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5">
        <f t="shared" si="127"/>
        <v>0</v>
      </c>
      <c r="AW212" s="2205">
        <f t="shared" si="128"/>
        <v>0</v>
      </c>
      <c r="AX212" s="2205">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17" t="s">
        <v>3049</v>
      </c>
      <c r="E213" s="324">
        <f t="shared" si="123"/>
        <v>0</v>
      </c>
      <c r="F213" s="325"/>
      <c r="G213" s="326">
        <f t="shared" si="124"/>
        <v>0</v>
      </c>
      <c r="H213" s="327">
        <f t="shared" si="125"/>
        <v>0</v>
      </c>
      <c r="I213" s="3323"/>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5">
        <f t="shared" si="127"/>
        <v>0</v>
      </c>
      <c r="AW213" s="2205">
        <f t="shared" si="128"/>
        <v>0</v>
      </c>
      <c r="AX213" s="2205">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17" t="s">
        <v>3049</v>
      </c>
      <c r="E214" s="324">
        <f t="shared" si="123"/>
        <v>0</v>
      </c>
      <c r="F214" s="325"/>
      <c r="G214" s="326">
        <f t="shared" si="124"/>
        <v>0</v>
      </c>
      <c r="H214" s="327">
        <f t="shared" si="125"/>
        <v>0</v>
      </c>
      <c r="I214" s="3323"/>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5">
        <f t="shared" si="127"/>
        <v>0</v>
      </c>
      <c r="AW214" s="2205">
        <f t="shared" si="128"/>
        <v>0</v>
      </c>
      <c r="AX214" s="2205">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17" t="s">
        <v>3049</v>
      </c>
      <c r="E215" s="324">
        <f t="shared" si="123"/>
        <v>0</v>
      </c>
      <c r="F215" s="325"/>
      <c r="G215" s="326">
        <f t="shared" si="124"/>
        <v>0</v>
      </c>
      <c r="H215" s="327">
        <f t="shared" si="125"/>
        <v>0</v>
      </c>
      <c r="I215" s="3323"/>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5">
        <f t="shared" si="127"/>
        <v>0</v>
      </c>
      <c r="AW215" s="2205">
        <f t="shared" si="128"/>
        <v>0</v>
      </c>
      <c r="AX215" s="2205">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17" t="s">
        <v>3049</v>
      </c>
      <c r="E216" s="324">
        <f t="shared" si="123"/>
        <v>0</v>
      </c>
      <c r="F216" s="325"/>
      <c r="G216" s="326">
        <f t="shared" si="124"/>
        <v>0</v>
      </c>
      <c r="H216" s="327">
        <f t="shared" si="125"/>
        <v>0</v>
      </c>
      <c r="I216" s="3323"/>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5">
        <f t="shared" si="127"/>
        <v>0</v>
      </c>
      <c r="AW216" s="2205">
        <f t="shared" si="128"/>
        <v>0</v>
      </c>
      <c r="AX216" s="2205">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17" t="s">
        <v>3049</v>
      </c>
      <c r="E217" s="324">
        <f t="shared" si="123"/>
        <v>0</v>
      </c>
      <c r="F217" s="325"/>
      <c r="G217" s="326">
        <f t="shared" si="124"/>
        <v>0</v>
      </c>
      <c r="H217" s="327">
        <f t="shared" si="125"/>
        <v>0</v>
      </c>
      <c r="I217" s="3323"/>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5">
        <f t="shared" si="127"/>
        <v>0</v>
      </c>
      <c r="AW217" s="2205">
        <f t="shared" si="128"/>
        <v>0</v>
      </c>
      <c r="AX217" s="2205">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17" t="s">
        <v>3049</v>
      </c>
      <c r="E218" s="324">
        <f t="shared" si="123"/>
        <v>0</v>
      </c>
      <c r="F218" s="325"/>
      <c r="G218" s="326">
        <f t="shared" si="124"/>
        <v>0</v>
      </c>
      <c r="H218" s="327">
        <f t="shared" si="125"/>
        <v>0</v>
      </c>
      <c r="I218" s="3323"/>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5">
        <f t="shared" si="127"/>
        <v>0</v>
      </c>
      <c r="AW218" s="2205">
        <f t="shared" si="128"/>
        <v>0</v>
      </c>
      <c r="AX218" s="2205">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17" t="s">
        <v>3049</v>
      </c>
      <c r="E219" s="324">
        <f t="shared" si="123"/>
        <v>0</v>
      </c>
      <c r="F219" s="325"/>
      <c r="G219" s="326">
        <f t="shared" si="124"/>
        <v>0</v>
      </c>
      <c r="H219" s="327">
        <f t="shared" si="125"/>
        <v>0</v>
      </c>
      <c r="I219" s="3323"/>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5">
        <f t="shared" si="127"/>
        <v>0</v>
      </c>
      <c r="AW219" s="2205">
        <f t="shared" si="128"/>
        <v>0</v>
      </c>
      <c r="AX219" s="2205">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17" t="s">
        <v>3049</v>
      </c>
      <c r="E220" s="324">
        <f t="shared" si="123"/>
        <v>0</v>
      </c>
      <c r="F220" s="325"/>
      <c r="G220" s="326">
        <f t="shared" si="124"/>
        <v>0</v>
      </c>
      <c r="H220" s="327">
        <f t="shared" si="125"/>
        <v>0</v>
      </c>
      <c r="I220" s="3323"/>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5">
        <f t="shared" si="127"/>
        <v>0</v>
      </c>
      <c r="AW220" s="2205">
        <f t="shared" si="128"/>
        <v>0</v>
      </c>
      <c r="AX220" s="2205">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17" t="s">
        <v>3049</v>
      </c>
      <c r="E221" s="324">
        <f t="shared" si="123"/>
        <v>0</v>
      </c>
      <c r="F221" s="325"/>
      <c r="G221" s="326">
        <f t="shared" si="124"/>
        <v>0</v>
      </c>
      <c r="H221" s="327">
        <f t="shared" si="125"/>
        <v>0</v>
      </c>
      <c r="I221" s="3323"/>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5">
        <f t="shared" si="127"/>
        <v>0</v>
      </c>
      <c r="AW221" s="2205">
        <f t="shared" si="128"/>
        <v>0</v>
      </c>
      <c r="AX221" s="2205">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17" t="s">
        <v>3049</v>
      </c>
      <c r="E222" s="324">
        <f t="shared" si="123"/>
        <v>0</v>
      </c>
      <c r="F222" s="325"/>
      <c r="G222" s="326">
        <f t="shared" si="124"/>
        <v>0</v>
      </c>
      <c r="H222" s="327">
        <f t="shared" si="125"/>
        <v>0</v>
      </c>
      <c r="I222" s="3323"/>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5">
        <f t="shared" si="127"/>
        <v>0</v>
      </c>
      <c r="AW222" s="2205">
        <f t="shared" si="128"/>
        <v>0</v>
      </c>
      <c r="AX222" s="2205">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17" t="s">
        <v>3049</v>
      </c>
      <c r="E223" s="324">
        <f t="shared" si="123"/>
        <v>0</v>
      </c>
      <c r="F223" s="325"/>
      <c r="G223" s="326">
        <f t="shared" si="124"/>
        <v>0</v>
      </c>
      <c r="H223" s="327">
        <f t="shared" si="125"/>
        <v>0</v>
      </c>
      <c r="I223" s="3323"/>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5">
        <f t="shared" si="127"/>
        <v>0</v>
      </c>
      <c r="AW223" s="2205">
        <f t="shared" si="128"/>
        <v>0</v>
      </c>
      <c r="AX223" s="2205">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17" t="s">
        <v>3049</v>
      </c>
      <c r="E224" s="324">
        <f t="shared" si="123"/>
        <v>0</v>
      </c>
      <c r="F224" s="325"/>
      <c r="G224" s="326">
        <f t="shared" si="124"/>
        <v>0</v>
      </c>
      <c r="H224" s="327">
        <f t="shared" si="125"/>
        <v>0</v>
      </c>
      <c r="I224" s="3323"/>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5">
        <f t="shared" si="127"/>
        <v>0</v>
      </c>
      <c r="AW224" s="2205">
        <f t="shared" si="128"/>
        <v>0</v>
      </c>
      <c r="AX224" s="2205">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17" t="s">
        <v>3049</v>
      </c>
      <c r="E225" s="324">
        <f t="shared" si="123"/>
        <v>0</v>
      </c>
      <c r="F225" s="325"/>
      <c r="G225" s="326">
        <f t="shared" si="124"/>
        <v>0</v>
      </c>
      <c r="H225" s="327">
        <f t="shared" si="125"/>
        <v>0</v>
      </c>
      <c r="I225" s="3323"/>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5">
        <f t="shared" si="127"/>
        <v>0</v>
      </c>
      <c r="AW225" s="2205">
        <f t="shared" si="128"/>
        <v>0</v>
      </c>
      <c r="AX225" s="2205">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17" t="s">
        <v>3049</v>
      </c>
      <c r="E226" s="324">
        <f t="shared" si="123"/>
        <v>0</v>
      </c>
      <c r="F226" s="325"/>
      <c r="G226" s="326">
        <f t="shared" si="124"/>
        <v>0</v>
      </c>
      <c r="H226" s="327">
        <f t="shared" si="125"/>
        <v>0</v>
      </c>
      <c r="I226" s="3323"/>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5">
        <f t="shared" si="127"/>
        <v>0</v>
      </c>
      <c r="AW226" s="2205">
        <f t="shared" si="128"/>
        <v>0</v>
      </c>
      <c r="AX226" s="2205">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17" t="s">
        <v>3049</v>
      </c>
      <c r="E227" s="324">
        <f t="shared" si="123"/>
        <v>0</v>
      </c>
      <c r="F227" s="325"/>
      <c r="G227" s="326">
        <f t="shared" si="124"/>
        <v>0</v>
      </c>
      <c r="H227" s="327">
        <f t="shared" si="125"/>
        <v>0</v>
      </c>
      <c r="I227" s="3323"/>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5">
        <f t="shared" si="127"/>
        <v>0</v>
      </c>
      <c r="AW227" s="2205">
        <f t="shared" si="128"/>
        <v>0</v>
      </c>
      <c r="AX227" s="2205">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17" t="s">
        <v>3049</v>
      </c>
      <c r="E228" s="324">
        <f t="shared" si="123"/>
        <v>0</v>
      </c>
      <c r="F228" s="325"/>
      <c r="G228" s="326">
        <f t="shared" si="124"/>
        <v>0</v>
      </c>
      <c r="H228" s="327">
        <f t="shared" si="125"/>
        <v>0</v>
      </c>
      <c r="I228" s="3323"/>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5">
        <f t="shared" si="127"/>
        <v>0</v>
      </c>
      <c r="AW228" s="2205">
        <f t="shared" si="128"/>
        <v>0</v>
      </c>
      <c r="AX228" s="2205">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17" t="s">
        <v>3049</v>
      </c>
      <c r="E229" s="324">
        <f t="shared" si="123"/>
        <v>0</v>
      </c>
      <c r="F229" s="325"/>
      <c r="G229" s="326">
        <f t="shared" si="124"/>
        <v>0</v>
      </c>
      <c r="H229" s="327">
        <f t="shared" si="125"/>
        <v>0</v>
      </c>
      <c r="I229" s="3323"/>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5">
        <f t="shared" si="127"/>
        <v>0</v>
      </c>
      <c r="AW229" s="2205">
        <f t="shared" si="128"/>
        <v>0</v>
      </c>
      <c r="AX229" s="2205">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17" t="s">
        <v>3049</v>
      </c>
      <c r="E230" s="324">
        <f t="shared" si="123"/>
        <v>0</v>
      </c>
      <c r="F230" s="325"/>
      <c r="G230" s="326">
        <f t="shared" si="124"/>
        <v>0</v>
      </c>
      <c r="H230" s="327">
        <f t="shared" si="125"/>
        <v>0</v>
      </c>
      <c r="I230" s="3323"/>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5">
        <f t="shared" si="127"/>
        <v>0</v>
      </c>
      <c r="AW230" s="2205">
        <f t="shared" si="128"/>
        <v>0</v>
      </c>
      <c r="AX230" s="2205">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17" t="s">
        <v>3049</v>
      </c>
      <c r="E231" s="324">
        <f t="shared" si="123"/>
        <v>0</v>
      </c>
      <c r="F231" s="325"/>
      <c r="G231" s="326">
        <f t="shared" si="124"/>
        <v>0</v>
      </c>
      <c r="H231" s="327">
        <f t="shared" si="125"/>
        <v>0</v>
      </c>
      <c r="I231" s="3323"/>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5">
        <f t="shared" si="127"/>
        <v>0</v>
      </c>
      <c r="AW231" s="2205">
        <f t="shared" si="128"/>
        <v>0</v>
      </c>
      <c r="AX231" s="2205">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17" t="s">
        <v>3049</v>
      </c>
      <c r="E232" s="324">
        <f t="shared" si="123"/>
        <v>0</v>
      </c>
      <c r="F232" s="325"/>
      <c r="G232" s="326">
        <f t="shared" si="124"/>
        <v>0</v>
      </c>
      <c r="H232" s="327">
        <f t="shared" si="125"/>
        <v>0</v>
      </c>
      <c r="I232" s="3323"/>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5">
        <f t="shared" si="127"/>
        <v>0</v>
      </c>
      <c r="AW232" s="2205">
        <f t="shared" si="128"/>
        <v>0</v>
      </c>
      <c r="AX232" s="2205">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17" t="s">
        <v>3049</v>
      </c>
      <c r="E233" s="324">
        <f t="shared" si="123"/>
        <v>0</v>
      </c>
      <c r="F233" s="325"/>
      <c r="G233" s="326">
        <f t="shared" si="124"/>
        <v>0</v>
      </c>
      <c r="H233" s="327">
        <f t="shared" si="125"/>
        <v>0</v>
      </c>
      <c r="I233" s="3323"/>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5">
        <f t="shared" si="127"/>
        <v>0</v>
      </c>
      <c r="AW233" s="2205">
        <f t="shared" si="128"/>
        <v>0</v>
      </c>
      <c r="AX233" s="2205">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17" t="s">
        <v>3049</v>
      </c>
      <c r="E234" s="324">
        <f t="shared" si="123"/>
        <v>0</v>
      </c>
      <c r="F234" s="325"/>
      <c r="G234" s="326">
        <f t="shared" si="124"/>
        <v>0</v>
      </c>
      <c r="H234" s="327">
        <f t="shared" si="125"/>
        <v>0</v>
      </c>
      <c r="I234" s="3323"/>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5">
        <f t="shared" si="127"/>
        <v>0</v>
      </c>
      <c r="AW234" s="2205">
        <f t="shared" si="128"/>
        <v>0</v>
      </c>
      <c r="AX234" s="2205">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17" t="s">
        <v>3049</v>
      </c>
      <c r="E235" s="324">
        <f t="shared" si="123"/>
        <v>0</v>
      </c>
      <c r="F235" s="325"/>
      <c r="G235" s="326">
        <f t="shared" si="124"/>
        <v>0</v>
      </c>
      <c r="H235" s="327">
        <f t="shared" si="125"/>
        <v>0</v>
      </c>
      <c r="I235" s="3323"/>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5">
        <f t="shared" si="127"/>
        <v>0</v>
      </c>
      <c r="AW235" s="2205">
        <f t="shared" si="128"/>
        <v>0</v>
      </c>
      <c r="AX235" s="2205">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17" t="s">
        <v>3049</v>
      </c>
      <c r="E236" s="324">
        <f t="shared" si="123"/>
        <v>0</v>
      </c>
      <c r="F236" s="325"/>
      <c r="G236" s="326">
        <f t="shared" si="124"/>
        <v>0</v>
      </c>
      <c r="H236" s="327">
        <f t="shared" si="125"/>
        <v>0</v>
      </c>
      <c r="I236" s="3323"/>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5">
        <f t="shared" si="127"/>
        <v>0</v>
      </c>
      <c r="AW236" s="2205">
        <f t="shared" si="128"/>
        <v>0</v>
      </c>
      <c r="AX236" s="2205">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17" t="s">
        <v>3049</v>
      </c>
      <c r="E237" s="324">
        <f t="shared" si="123"/>
        <v>0</v>
      </c>
      <c r="F237" s="325"/>
      <c r="G237" s="326">
        <f t="shared" si="124"/>
        <v>0</v>
      </c>
      <c r="H237" s="327">
        <f t="shared" si="125"/>
        <v>0</v>
      </c>
      <c r="I237" s="3323"/>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5">
        <f t="shared" si="127"/>
        <v>0</v>
      </c>
      <c r="AW237" s="2205">
        <f t="shared" si="128"/>
        <v>0</v>
      </c>
      <c r="AX237" s="2205">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17" t="s">
        <v>3049</v>
      </c>
      <c r="E238" s="324">
        <f t="shared" si="123"/>
        <v>0</v>
      </c>
      <c r="F238" s="325"/>
      <c r="G238" s="326">
        <f t="shared" si="124"/>
        <v>0</v>
      </c>
      <c r="H238" s="327">
        <f t="shared" si="125"/>
        <v>0</v>
      </c>
      <c r="I238" s="3323"/>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5">
        <f t="shared" si="127"/>
        <v>0</v>
      </c>
      <c r="AW238" s="2205">
        <f t="shared" si="128"/>
        <v>0</v>
      </c>
      <c r="AX238" s="2205">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17" t="s">
        <v>3049</v>
      </c>
      <c r="E239" s="324">
        <f t="shared" si="123"/>
        <v>0</v>
      </c>
      <c r="F239" s="325"/>
      <c r="G239" s="326">
        <f t="shared" si="124"/>
        <v>0</v>
      </c>
      <c r="H239" s="327">
        <f t="shared" si="125"/>
        <v>0</v>
      </c>
      <c r="I239" s="3323"/>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5">
        <f t="shared" si="127"/>
        <v>0</v>
      </c>
      <c r="AW239" s="2205">
        <f t="shared" si="128"/>
        <v>0</v>
      </c>
      <c r="AX239" s="2205">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17" t="s">
        <v>3049</v>
      </c>
      <c r="E240" s="324">
        <f t="shared" si="123"/>
        <v>0</v>
      </c>
      <c r="F240" s="325"/>
      <c r="G240" s="326">
        <f t="shared" si="124"/>
        <v>0</v>
      </c>
      <c r="H240" s="327">
        <f t="shared" si="125"/>
        <v>0</v>
      </c>
      <c r="I240" s="3323"/>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5">
        <f t="shared" si="127"/>
        <v>0</v>
      </c>
      <c r="AW240" s="2205">
        <f t="shared" si="128"/>
        <v>0</v>
      </c>
      <c r="AX240" s="2205">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17" t="s">
        <v>3049</v>
      </c>
      <c r="E241" s="324">
        <f t="shared" si="123"/>
        <v>0</v>
      </c>
      <c r="F241" s="325"/>
      <c r="G241" s="326">
        <f t="shared" si="124"/>
        <v>0</v>
      </c>
      <c r="H241" s="327">
        <f t="shared" si="125"/>
        <v>0</v>
      </c>
      <c r="I241" s="3323"/>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5">
        <f t="shared" si="127"/>
        <v>0</v>
      </c>
      <c r="AW241" s="2205">
        <f t="shared" si="128"/>
        <v>0</v>
      </c>
      <c r="AX241" s="2205">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17" t="s">
        <v>3049</v>
      </c>
      <c r="E242" s="324">
        <f t="shared" si="123"/>
        <v>0</v>
      </c>
      <c r="F242" s="325"/>
      <c r="G242" s="326">
        <f t="shared" si="124"/>
        <v>0</v>
      </c>
      <c r="H242" s="327">
        <f t="shared" si="125"/>
        <v>0</v>
      </c>
      <c r="I242" s="3323"/>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5">
        <f t="shared" si="127"/>
        <v>0</v>
      </c>
      <c r="AW242" s="2205">
        <f t="shared" si="128"/>
        <v>0</v>
      </c>
      <c r="AX242" s="2205">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17" t="s">
        <v>3049</v>
      </c>
      <c r="E243" s="324">
        <f t="shared" si="123"/>
        <v>0</v>
      </c>
      <c r="F243" s="325"/>
      <c r="G243" s="326">
        <f t="shared" si="124"/>
        <v>0</v>
      </c>
      <c r="H243" s="327">
        <f t="shared" si="125"/>
        <v>0</v>
      </c>
      <c r="I243" s="3323"/>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5">
        <f t="shared" si="127"/>
        <v>0</v>
      </c>
      <c r="AW243" s="2205">
        <f t="shared" si="128"/>
        <v>0</v>
      </c>
      <c r="AX243" s="2205">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17" t="s">
        <v>3049</v>
      </c>
      <c r="E244" s="324">
        <f t="shared" si="123"/>
        <v>0</v>
      </c>
      <c r="F244" s="325"/>
      <c r="G244" s="326">
        <f t="shared" si="124"/>
        <v>0</v>
      </c>
      <c r="H244" s="327">
        <f t="shared" si="125"/>
        <v>0</v>
      </c>
      <c r="I244" s="3323"/>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5">
        <f t="shared" si="127"/>
        <v>0</v>
      </c>
      <c r="AW244" s="2205">
        <f t="shared" si="128"/>
        <v>0</v>
      </c>
      <c r="AX244" s="2205">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17" t="s">
        <v>3049</v>
      </c>
      <c r="E245" s="324">
        <f t="shared" si="123"/>
        <v>0</v>
      </c>
      <c r="F245" s="325"/>
      <c r="G245" s="326">
        <f t="shared" si="124"/>
        <v>0</v>
      </c>
      <c r="H245" s="327">
        <f t="shared" si="125"/>
        <v>0</v>
      </c>
      <c r="I245" s="3323"/>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5">
        <f t="shared" si="127"/>
        <v>0</v>
      </c>
      <c r="AW245" s="2205">
        <f t="shared" si="128"/>
        <v>0</v>
      </c>
      <c r="AX245" s="2205">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17" t="s">
        <v>3049</v>
      </c>
      <c r="E246" s="324">
        <f t="shared" si="123"/>
        <v>0</v>
      </c>
      <c r="F246" s="325"/>
      <c r="G246" s="326">
        <f t="shared" si="124"/>
        <v>0</v>
      </c>
      <c r="H246" s="327">
        <f t="shared" si="125"/>
        <v>0</v>
      </c>
      <c r="I246" s="3323"/>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5">
        <f t="shared" si="127"/>
        <v>0</v>
      </c>
      <c r="AW246" s="2205">
        <f t="shared" si="128"/>
        <v>0</v>
      </c>
      <c r="AX246" s="2205">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17" t="s">
        <v>3049</v>
      </c>
      <c r="E247" s="324">
        <f t="shared" si="123"/>
        <v>0</v>
      </c>
      <c r="F247" s="325"/>
      <c r="G247" s="326">
        <f t="shared" si="124"/>
        <v>0</v>
      </c>
      <c r="H247" s="327">
        <f t="shared" si="125"/>
        <v>0</v>
      </c>
      <c r="I247" s="3323"/>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5">
        <f t="shared" si="127"/>
        <v>0</v>
      </c>
      <c r="AW247" s="2205">
        <f t="shared" si="128"/>
        <v>0</v>
      </c>
      <c r="AX247" s="2205">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17" t="s">
        <v>3049</v>
      </c>
      <c r="E248" s="324">
        <f t="shared" si="123"/>
        <v>0</v>
      </c>
      <c r="F248" s="325"/>
      <c r="G248" s="326">
        <f t="shared" si="124"/>
        <v>0</v>
      </c>
      <c r="H248" s="327">
        <f t="shared" si="125"/>
        <v>0</v>
      </c>
      <c r="I248" s="3323"/>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5">
        <f t="shared" si="127"/>
        <v>0</v>
      </c>
      <c r="AW248" s="2205">
        <f t="shared" si="128"/>
        <v>0</v>
      </c>
      <c r="AX248" s="2205">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17" t="s">
        <v>3049</v>
      </c>
      <c r="E249" s="324">
        <f t="shared" si="123"/>
        <v>0</v>
      </c>
      <c r="F249" s="325"/>
      <c r="G249" s="326">
        <f t="shared" si="124"/>
        <v>0</v>
      </c>
      <c r="H249" s="327">
        <f t="shared" si="125"/>
        <v>0</v>
      </c>
      <c r="I249" s="3323"/>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5">
        <f t="shared" si="127"/>
        <v>0</v>
      </c>
      <c r="AW249" s="2205">
        <f t="shared" si="128"/>
        <v>0</v>
      </c>
      <c r="AX249" s="2205">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17" t="s">
        <v>3049</v>
      </c>
      <c r="E250" s="324">
        <f t="shared" si="123"/>
        <v>0</v>
      </c>
      <c r="F250" s="325"/>
      <c r="G250" s="326">
        <f t="shared" si="124"/>
        <v>0</v>
      </c>
      <c r="H250" s="327">
        <f t="shared" si="125"/>
        <v>0</v>
      </c>
      <c r="I250" s="3323"/>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5">
        <f t="shared" si="127"/>
        <v>0</v>
      </c>
      <c r="AW250" s="2205">
        <f t="shared" si="128"/>
        <v>0</v>
      </c>
      <c r="AX250" s="2205">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17" t="s">
        <v>3049</v>
      </c>
      <c r="E251" s="324">
        <f t="shared" si="123"/>
        <v>0</v>
      </c>
      <c r="F251" s="325"/>
      <c r="G251" s="326">
        <f t="shared" si="124"/>
        <v>0</v>
      </c>
      <c r="H251" s="327">
        <f t="shared" si="125"/>
        <v>0</v>
      </c>
      <c r="I251" s="3323"/>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5">
        <f t="shared" si="127"/>
        <v>0</v>
      </c>
      <c r="AW251" s="2205">
        <f t="shared" si="128"/>
        <v>0</v>
      </c>
      <c r="AX251" s="2205">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17" t="s">
        <v>3049</v>
      </c>
      <c r="E252" s="324">
        <f t="shared" si="123"/>
        <v>0</v>
      </c>
      <c r="F252" s="325"/>
      <c r="G252" s="326">
        <f t="shared" si="124"/>
        <v>0</v>
      </c>
      <c r="H252" s="327">
        <f t="shared" si="125"/>
        <v>0</v>
      </c>
      <c r="I252" s="3323"/>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5">
        <f t="shared" si="127"/>
        <v>0</v>
      </c>
      <c r="AW252" s="2205">
        <f t="shared" si="128"/>
        <v>0</v>
      </c>
      <c r="AX252" s="2205">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17" t="s">
        <v>3049</v>
      </c>
      <c r="E253" s="324">
        <f t="shared" si="123"/>
        <v>0</v>
      </c>
      <c r="F253" s="325"/>
      <c r="G253" s="326">
        <f t="shared" si="124"/>
        <v>0</v>
      </c>
      <c r="H253" s="327">
        <f t="shared" si="125"/>
        <v>0</v>
      </c>
      <c r="I253" s="3323"/>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5">
        <f t="shared" si="127"/>
        <v>0</v>
      </c>
      <c r="AW253" s="2205">
        <f t="shared" si="128"/>
        <v>0</v>
      </c>
      <c r="AX253" s="2205">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17" t="s">
        <v>3049</v>
      </c>
      <c r="E254" s="324">
        <f t="shared" si="123"/>
        <v>0</v>
      </c>
      <c r="F254" s="325"/>
      <c r="G254" s="326">
        <f t="shared" si="124"/>
        <v>0</v>
      </c>
      <c r="H254" s="327">
        <f t="shared" si="125"/>
        <v>0</v>
      </c>
      <c r="I254" s="3323"/>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5">
        <f t="shared" si="127"/>
        <v>0</v>
      </c>
      <c r="AW254" s="2205">
        <f t="shared" si="128"/>
        <v>0</v>
      </c>
      <c r="AX254" s="2205">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17" t="s">
        <v>3049</v>
      </c>
      <c r="E255" s="324">
        <f t="shared" si="123"/>
        <v>0</v>
      </c>
      <c r="F255" s="325"/>
      <c r="G255" s="326">
        <f t="shared" si="124"/>
        <v>0</v>
      </c>
      <c r="H255" s="327">
        <f t="shared" si="125"/>
        <v>0</v>
      </c>
      <c r="I255" s="3323"/>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5">
        <f t="shared" si="127"/>
        <v>0</v>
      </c>
      <c r="AW255" s="2205">
        <f t="shared" si="128"/>
        <v>0</v>
      </c>
      <c r="AX255" s="2205">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17" t="s">
        <v>3049</v>
      </c>
      <c r="E256" s="324">
        <f t="shared" si="123"/>
        <v>0</v>
      </c>
      <c r="F256" s="325"/>
      <c r="G256" s="326">
        <f t="shared" si="124"/>
        <v>0</v>
      </c>
      <c r="H256" s="327">
        <f t="shared" si="125"/>
        <v>0</v>
      </c>
      <c r="I256" s="3323"/>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5">
        <f t="shared" si="127"/>
        <v>0</v>
      </c>
      <c r="AW256" s="2205">
        <f t="shared" si="128"/>
        <v>0</v>
      </c>
      <c r="AX256" s="2205">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17" t="s">
        <v>3049</v>
      </c>
      <c r="E257" s="324">
        <f t="shared" si="123"/>
        <v>0</v>
      </c>
      <c r="F257" s="325"/>
      <c r="G257" s="326">
        <f t="shared" si="124"/>
        <v>0</v>
      </c>
      <c r="H257" s="327">
        <f t="shared" si="125"/>
        <v>0</v>
      </c>
      <c r="I257" s="3323"/>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5">
        <f t="shared" si="127"/>
        <v>0</v>
      </c>
      <c r="AW257" s="2205">
        <f t="shared" si="128"/>
        <v>0</v>
      </c>
      <c r="AX257" s="2205">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17" t="s">
        <v>3049</v>
      </c>
      <c r="E258" s="324">
        <f t="shared" si="123"/>
        <v>0</v>
      </c>
      <c r="F258" s="325"/>
      <c r="G258" s="326">
        <f t="shared" si="124"/>
        <v>0</v>
      </c>
      <c r="H258" s="327">
        <f t="shared" si="125"/>
        <v>0</v>
      </c>
      <c r="I258" s="3323"/>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323"/>
      <c r="AM258" s="329"/>
      <c r="AN258" s="329"/>
      <c r="AO258" s="329"/>
      <c r="AP258" s="329"/>
      <c r="AQ258" s="329"/>
      <c r="AR258" s="329"/>
      <c r="AS258" s="329"/>
      <c r="AT258" s="330"/>
      <c r="AU258" s="8"/>
      <c r="AV258" s="2205">
        <f t="shared" si="127"/>
        <v>0</v>
      </c>
      <c r="AW258" s="2205">
        <f t="shared" si="128"/>
        <v>0</v>
      </c>
      <c r="AX258" s="2205">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17" t="s">
        <v>3049</v>
      </c>
      <c r="E259" s="324">
        <f t="shared" si="123"/>
        <v>0</v>
      </c>
      <c r="F259" s="325"/>
      <c r="G259" s="326">
        <f t="shared" si="124"/>
        <v>0</v>
      </c>
      <c r="H259" s="327">
        <f t="shared" si="125"/>
        <v>0</v>
      </c>
      <c r="I259" s="3323"/>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5">
        <f t="shared" si="127"/>
        <v>0</v>
      </c>
      <c r="AW259" s="2205">
        <f t="shared" si="128"/>
        <v>0</v>
      </c>
      <c r="AX259" s="2205">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17" t="s">
        <v>3049</v>
      </c>
      <c r="E260" s="324">
        <f t="shared" si="123"/>
        <v>0</v>
      </c>
      <c r="F260" s="325"/>
      <c r="G260" s="326">
        <f t="shared" si="124"/>
        <v>0</v>
      </c>
      <c r="H260" s="327">
        <f t="shared" si="125"/>
        <v>0</v>
      </c>
      <c r="I260" s="3323"/>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5">
        <f t="shared" si="127"/>
        <v>0</v>
      </c>
      <c r="AW260" s="2205">
        <f t="shared" si="128"/>
        <v>0</v>
      </c>
      <c r="AX260" s="2205">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17" t="s">
        <v>3049</v>
      </c>
      <c r="E261" s="324">
        <f t="shared" si="123"/>
        <v>0</v>
      </c>
      <c r="F261" s="325"/>
      <c r="G261" s="326">
        <f t="shared" si="124"/>
        <v>0</v>
      </c>
      <c r="H261" s="327">
        <f t="shared" si="125"/>
        <v>0</v>
      </c>
      <c r="I261" s="3323"/>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5">
        <f t="shared" si="127"/>
        <v>0</v>
      </c>
      <c r="AW261" s="2205">
        <f t="shared" si="128"/>
        <v>0</v>
      </c>
      <c r="AX261" s="2205">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17" t="s">
        <v>3049</v>
      </c>
      <c r="E262" s="324">
        <f t="shared" si="123"/>
        <v>0</v>
      </c>
      <c r="F262" s="325"/>
      <c r="G262" s="326">
        <f t="shared" si="124"/>
        <v>0</v>
      </c>
      <c r="H262" s="327">
        <f t="shared" si="125"/>
        <v>0</v>
      </c>
      <c r="I262" s="3323"/>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5">
        <f t="shared" si="127"/>
        <v>0</v>
      </c>
      <c r="AW262" s="2205">
        <f t="shared" si="128"/>
        <v>0</v>
      </c>
      <c r="AX262" s="2205">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17" t="s">
        <v>3049</v>
      </c>
      <c r="E263" s="324">
        <f t="shared" si="123"/>
        <v>0</v>
      </c>
      <c r="F263" s="325"/>
      <c r="G263" s="326">
        <f t="shared" si="124"/>
        <v>0</v>
      </c>
      <c r="H263" s="327">
        <f t="shared" si="125"/>
        <v>0</v>
      </c>
      <c r="I263" s="3323"/>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5">
        <f t="shared" si="127"/>
        <v>0</v>
      </c>
      <c r="AW263" s="2205">
        <f t="shared" si="128"/>
        <v>0</v>
      </c>
      <c r="AX263" s="2205">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17" t="s">
        <v>3049</v>
      </c>
      <c r="E264" s="324">
        <f t="shared" si="123"/>
        <v>0</v>
      </c>
      <c r="F264" s="325"/>
      <c r="G264" s="326">
        <f t="shared" si="124"/>
        <v>0</v>
      </c>
      <c r="H264" s="327">
        <f t="shared" si="125"/>
        <v>0</v>
      </c>
      <c r="I264" s="3323"/>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5">
        <f t="shared" si="127"/>
        <v>0</v>
      </c>
      <c r="AW264" s="2205">
        <f t="shared" si="128"/>
        <v>0</v>
      </c>
      <c r="AX264" s="2205">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17" t="s">
        <v>3049</v>
      </c>
      <c r="E265" s="324">
        <f t="shared" si="123"/>
        <v>0</v>
      </c>
      <c r="F265" s="325"/>
      <c r="G265" s="326">
        <f t="shared" si="124"/>
        <v>0</v>
      </c>
      <c r="H265" s="327">
        <f t="shared" si="125"/>
        <v>0</v>
      </c>
      <c r="I265" s="3323"/>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5">
        <f t="shared" si="127"/>
        <v>0</v>
      </c>
      <c r="AW265" s="2205">
        <f t="shared" si="128"/>
        <v>0</v>
      </c>
      <c r="AX265" s="2205">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17" t="s">
        <v>3049</v>
      </c>
      <c r="E266" s="324">
        <f t="shared" si="123"/>
        <v>0</v>
      </c>
      <c r="F266" s="325"/>
      <c r="G266" s="326">
        <f t="shared" si="124"/>
        <v>0</v>
      </c>
      <c r="H266" s="327">
        <f t="shared" si="125"/>
        <v>0</v>
      </c>
      <c r="I266" s="3323"/>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5">
        <f t="shared" si="127"/>
        <v>0</v>
      </c>
      <c r="AW266" s="2205">
        <f t="shared" si="128"/>
        <v>0</v>
      </c>
      <c r="AX266" s="2205">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17" t="s">
        <v>3049</v>
      </c>
      <c r="E267" s="324">
        <f t="shared" si="123"/>
        <v>0</v>
      </c>
      <c r="F267" s="325"/>
      <c r="G267" s="326">
        <f t="shared" si="124"/>
        <v>0</v>
      </c>
      <c r="H267" s="327">
        <f t="shared" si="125"/>
        <v>0</v>
      </c>
      <c r="I267" s="3323"/>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5">
        <f t="shared" si="127"/>
        <v>0</v>
      </c>
      <c r="AW267" s="2205">
        <f t="shared" si="128"/>
        <v>0</v>
      </c>
      <c r="AX267" s="2205">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17" t="s">
        <v>3049</v>
      </c>
      <c r="E268" s="324">
        <f t="shared" si="123"/>
        <v>0</v>
      </c>
      <c r="F268" s="325"/>
      <c r="G268" s="326">
        <f t="shared" si="124"/>
        <v>0</v>
      </c>
      <c r="H268" s="327">
        <f t="shared" si="125"/>
        <v>0</v>
      </c>
      <c r="I268" s="3323"/>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5">
        <f t="shared" si="127"/>
        <v>0</v>
      </c>
      <c r="AW268" s="2205">
        <f t="shared" si="128"/>
        <v>0</v>
      </c>
      <c r="AX268" s="2205">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17" t="s">
        <v>3049</v>
      </c>
      <c r="E269" s="324">
        <f t="shared" si="123"/>
        <v>0</v>
      </c>
      <c r="F269" s="325"/>
      <c r="G269" s="326">
        <f t="shared" si="124"/>
        <v>0</v>
      </c>
      <c r="H269" s="327">
        <f t="shared" si="125"/>
        <v>0</v>
      </c>
      <c r="I269" s="3323"/>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5">
        <f t="shared" si="127"/>
        <v>0</v>
      </c>
      <c r="AW269" s="2205">
        <f t="shared" si="128"/>
        <v>0</v>
      </c>
      <c r="AX269" s="2205">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17" t="s">
        <v>3049</v>
      </c>
      <c r="E270" s="324">
        <f t="shared" si="123"/>
        <v>0</v>
      </c>
      <c r="F270" s="325"/>
      <c r="G270" s="326">
        <f t="shared" si="124"/>
        <v>0</v>
      </c>
      <c r="H270" s="327">
        <f t="shared" si="125"/>
        <v>0</v>
      </c>
      <c r="I270" s="3323"/>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5">
        <f t="shared" si="127"/>
        <v>0</v>
      </c>
      <c r="AW270" s="2205">
        <f t="shared" si="128"/>
        <v>0</v>
      </c>
      <c r="AX270" s="2205">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17" t="s">
        <v>3049</v>
      </c>
      <c r="E271" s="324">
        <f t="shared" si="123"/>
        <v>0</v>
      </c>
      <c r="F271" s="325"/>
      <c r="G271" s="326">
        <f t="shared" si="124"/>
        <v>0</v>
      </c>
      <c r="H271" s="327">
        <f t="shared" si="125"/>
        <v>0</v>
      </c>
      <c r="I271" s="3323"/>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5">
        <f t="shared" si="127"/>
        <v>0</v>
      </c>
      <c r="AW271" s="2205">
        <f t="shared" si="128"/>
        <v>0</v>
      </c>
      <c r="AX271" s="2205">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17" t="s">
        <v>3049</v>
      </c>
      <c r="E272" s="324">
        <f t="shared" si="123"/>
        <v>0</v>
      </c>
      <c r="F272" s="325"/>
      <c r="G272" s="326">
        <f t="shared" si="124"/>
        <v>0</v>
      </c>
      <c r="H272" s="327">
        <f t="shared" si="125"/>
        <v>0</v>
      </c>
      <c r="I272" s="3323"/>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5">
        <f t="shared" si="127"/>
        <v>0</v>
      </c>
      <c r="AW272" s="2205">
        <f t="shared" si="128"/>
        <v>0</v>
      </c>
      <c r="AX272" s="2205">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17" t="s">
        <v>3049</v>
      </c>
      <c r="E273" s="324">
        <f t="shared" si="123"/>
        <v>0</v>
      </c>
      <c r="F273" s="325"/>
      <c r="G273" s="326">
        <f t="shared" si="124"/>
        <v>0</v>
      </c>
      <c r="H273" s="327">
        <f t="shared" si="125"/>
        <v>0</v>
      </c>
      <c r="I273" s="3323"/>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5">
        <f t="shared" si="127"/>
        <v>0</v>
      </c>
      <c r="AW273" s="2205">
        <f t="shared" si="128"/>
        <v>0</v>
      </c>
      <c r="AX273" s="2205">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17" t="s">
        <v>3049</v>
      </c>
      <c r="E274" s="324">
        <f t="shared" si="123"/>
        <v>0</v>
      </c>
      <c r="F274" s="325"/>
      <c r="G274" s="326">
        <f t="shared" si="124"/>
        <v>0</v>
      </c>
      <c r="H274" s="327">
        <f t="shared" si="125"/>
        <v>0</v>
      </c>
      <c r="I274" s="3323"/>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5">
        <f t="shared" si="127"/>
        <v>0</v>
      </c>
      <c r="AW274" s="2205">
        <f t="shared" si="128"/>
        <v>0</v>
      </c>
      <c r="AX274" s="2205">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17" t="s">
        <v>3049</v>
      </c>
      <c r="E275" s="324">
        <f t="shared" si="123"/>
        <v>0</v>
      </c>
      <c r="F275" s="325"/>
      <c r="G275" s="326">
        <f t="shared" si="124"/>
        <v>0</v>
      </c>
      <c r="H275" s="327">
        <f t="shared" si="125"/>
        <v>0</v>
      </c>
      <c r="I275" s="3323"/>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5">
        <f t="shared" si="127"/>
        <v>0</v>
      </c>
      <c r="AW275" s="2205">
        <f t="shared" si="128"/>
        <v>0</v>
      </c>
      <c r="AX275" s="2205">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17" t="s">
        <v>3049</v>
      </c>
      <c r="E276" s="324">
        <f t="shared" si="123"/>
        <v>0</v>
      </c>
      <c r="F276" s="325"/>
      <c r="G276" s="326">
        <f t="shared" si="124"/>
        <v>0</v>
      </c>
      <c r="H276" s="327">
        <f t="shared" si="125"/>
        <v>0</v>
      </c>
      <c r="I276" s="3323"/>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5">
        <f t="shared" si="127"/>
        <v>0</v>
      </c>
      <c r="AW276" s="2205">
        <f t="shared" si="128"/>
        <v>0</v>
      </c>
      <c r="AX276" s="2205">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17" t="s">
        <v>3049</v>
      </c>
      <c r="E277" s="324">
        <f t="shared" si="123"/>
        <v>0</v>
      </c>
      <c r="F277" s="325"/>
      <c r="G277" s="326">
        <f t="shared" si="124"/>
        <v>0</v>
      </c>
      <c r="H277" s="327">
        <f t="shared" si="125"/>
        <v>0</v>
      </c>
      <c r="I277" s="3323"/>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5">
        <f t="shared" si="127"/>
        <v>0</v>
      </c>
      <c r="AW277" s="2205">
        <f t="shared" si="128"/>
        <v>0</v>
      </c>
      <c r="AX277" s="2205">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17" t="s">
        <v>3049</v>
      </c>
      <c r="E278" s="324">
        <f t="shared" si="123"/>
        <v>0</v>
      </c>
      <c r="F278" s="325"/>
      <c r="G278" s="326">
        <f t="shared" si="124"/>
        <v>0</v>
      </c>
      <c r="H278" s="327">
        <f t="shared" si="125"/>
        <v>0</v>
      </c>
      <c r="I278" s="3323"/>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5">
        <f t="shared" si="127"/>
        <v>0</v>
      </c>
      <c r="AW278" s="2205">
        <f t="shared" si="128"/>
        <v>0</v>
      </c>
      <c r="AX278" s="2205">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17" t="s">
        <v>3049</v>
      </c>
      <c r="E279" s="324">
        <f t="shared" si="123"/>
        <v>0</v>
      </c>
      <c r="F279" s="325"/>
      <c r="G279" s="326">
        <f t="shared" si="124"/>
        <v>0</v>
      </c>
      <c r="H279" s="327">
        <f t="shared" si="125"/>
        <v>0</v>
      </c>
      <c r="I279" s="3323"/>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5">
        <f t="shared" si="127"/>
        <v>0</v>
      </c>
      <c r="AW279" s="2205">
        <f t="shared" si="128"/>
        <v>0</v>
      </c>
      <c r="AX279" s="2205">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17" t="s">
        <v>3049</v>
      </c>
      <c r="E280" s="324">
        <f t="shared" si="123"/>
        <v>0</v>
      </c>
      <c r="F280" s="325"/>
      <c r="G280" s="326">
        <f t="shared" si="124"/>
        <v>0</v>
      </c>
      <c r="H280" s="327">
        <f t="shared" si="125"/>
        <v>0</v>
      </c>
      <c r="I280" s="3323"/>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5">
        <f t="shared" si="127"/>
        <v>0</v>
      </c>
      <c r="AW280" s="2205">
        <f t="shared" si="128"/>
        <v>0</v>
      </c>
      <c r="AX280" s="2205">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17" t="s">
        <v>3049</v>
      </c>
      <c r="E281" s="324">
        <f t="shared" si="123"/>
        <v>0</v>
      </c>
      <c r="F281" s="325"/>
      <c r="G281" s="326">
        <f t="shared" si="124"/>
        <v>0</v>
      </c>
      <c r="H281" s="327">
        <f t="shared" si="125"/>
        <v>0</v>
      </c>
      <c r="I281" s="3323"/>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5">
        <f t="shared" si="127"/>
        <v>0</v>
      </c>
      <c r="AW281" s="2205">
        <f t="shared" si="128"/>
        <v>0</v>
      </c>
      <c r="AX281" s="2205">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17" t="s">
        <v>3049</v>
      </c>
      <c r="E282" s="324">
        <f t="shared" si="123"/>
        <v>0</v>
      </c>
      <c r="F282" s="325"/>
      <c r="G282" s="326">
        <f t="shared" si="124"/>
        <v>0</v>
      </c>
      <c r="H282" s="327">
        <f t="shared" si="125"/>
        <v>0</v>
      </c>
      <c r="I282" s="3323"/>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5">
        <f t="shared" si="127"/>
        <v>0</v>
      </c>
      <c r="AW282" s="2205">
        <f t="shared" si="128"/>
        <v>0</v>
      </c>
      <c r="AX282" s="2205">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17" t="s">
        <v>3049</v>
      </c>
      <c r="E283" s="324">
        <f t="shared" si="123"/>
        <v>0</v>
      </c>
      <c r="F283" s="325"/>
      <c r="G283" s="326">
        <f t="shared" si="124"/>
        <v>0</v>
      </c>
      <c r="H283" s="327">
        <f t="shared" si="125"/>
        <v>0</v>
      </c>
      <c r="I283" s="3323"/>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5">
        <f t="shared" si="127"/>
        <v>0</v>
      </c>
      <c r="AW283" s="2205">
        <f t="shared" si="128"/>
        <v>0</v>
      </c>
      <c r="AX283" s="2205">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17" t="s">
        <v>3049</v>
      </c>
      <c r="E284" s="324">
        <f t="shared" si="123"/>
        <v>0</v>
      </c>
      <c r="F284" s="325"/>
      <c r="G284" s="326">
        <f t="shared" si="124"/>
        <v>0</v>
      </c>
      <c r="H284" s="327">
        <f t="shared" si="125"/>
        <v>0</v>
      </c>
      <c r="I284" s="3323"/>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5">
        <f t="shared" si="127"/>
        <v>0</v>
      </c>
      <c r="AW284" s="2205">
        <f t="shared" si="128"/>
        <v>0</v>
      </c>
      <c r="AX284" s="2205">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17" t="s">
        <v>3049</v>
      </c>
      <c r="E285" s="324">
        <f t="shared" si="123"/>
        <v>0</v>
      </c>
      <c r="F285" s="325"/>
      <c r="G285" s="326">
        <f t="shared" si="124"/>
        <v>0</v>
      </c>
      <c r="H285" s="327">
        <f t="shared" si="125"/>
        <v>0</v>
      </c>
      <c r="I285" s="3323"/>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5">
        <f t="shared" si="127"/>
        <v>0</v>
      </c>
      <c r="AW285" s="2205">
        <f t="shared" si="128"/>
        <v>0</v>
      </c>
      <c r="AX285" s="2205">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17" t="s">
        <v>3049</v>
      </c>
      <c r="E286" s="324">
        <f t="shared" si="123"/>
        <v>0</v>
      </c>
      <c r="F286" s="325"/>
      <c r="G286" s="326">
        <f t="shared" si="124"/>
        <v>0</v>
      </c>
      <c r="H286" s="327">
        <f t="shared" si="125"/>
        <v>0</v>
      </c>
      <c r="I286" s="3323"/>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5">
        <f t="shared" si="127"/>
        <v>0</v>
      </c>
      <c r="AW286" s="2205">
        <f t="shared" si="128"/>
        <v>0</v>
      </c>
      <c r="AX286" s="2205">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17" t="s">
        <v>3049</v>
      </c>
      <c r="E287" s="324">
        <f t="shared" si="123"/>
        <v>0</v>
      </c>
      <c r="F287" s="325"/>
      <c r="G287" s="326">
        <f t="shared" si="124"/>
        <v>0</v>
      </c>
      <c r="H287" s="327">
        <f t="shared" si="125"/>
        <v>0</v>
      </c>
      <c r="I287" s="3323"/>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5">
        <f t="shared" si="127"/>
        <v>0</v>
      </c>
      <c r="AW287" s="2205">
        <f t="shared" si="128"/>
        <v>0</v>
      </c>
      <c r="AX287" s="2205">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17" t="s">
        <v>3049</v>
      </c>
      <c r="E288" s="324">
        <f t="shared" si="123"/>
        <v>0</v>
      </c>
      <c r="F288" s="325"/>
      <c r="G288" s="326">
        <f t="shared" si="124"/>
        <v>0</v>
      </c>
      <c r="H288" s="327">
        <f t="shared" si="125"/>
        <v>0</v>
      </c>
      <c r="I288" s="3323"/>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5">
        <f t="shared" si="127"/>
        <v>0</v>
      </c>
      <c r="AW288" s="2205">
        <f t="shared" si="128"/>
        <v>0</v>
      </c>
      <c r="AX288" s="2205">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17" t="s">
        <v>3049</v>
      </c>
      <c r="E289" s="324">
        <f t="shared" si="123"/>
        <v>0</v>
      </c>
      <c r="F289" s="325"/>
      <c r="G289" s="326">
        <f t="shared" si="124"/>
        <v>0</v>
      </c>
      <c r="H289" s="327">
        <f t="shared" si="125"/>
        <v>0</v>
      </c>
      <c r="I289" s="3323"/>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5">
        <f t="shared" si="127"/>
        <v>0</v>
      </c>
      <c r="AW289" s="2205">
        <f t="shared" si="128"/>
        <v>0</v>
      </c>
      <c r="AX289" s="2205">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17" t="s">
        <v>3049</v>
      </c>
      <c r="E290" s="324">
        <f t="shared" si="123"/>
        <v>0</v>
      </c>
      <c r="F290" s="325"/>
      <c r="G290" s="326">
        <f t="shared" si="124"/>
        <v>0</v>
      </c>
      <c r="H290" s="327">
        <f t="shared" si="125"/>
        <v>0</v>
      </c>
      <c r="I290" s="3323"/>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5">
        <f t="shared" si="127"/>
        <v>0</v>
      </c>
      <c r="AW290" s="2205">
        <f t="shared" si="128"/>
        <v>0</v>
      </c>
      <c r="AX290" s="2205">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17" t="s">
        <v>3049</v>
      </c>
      <c r="E291" s="324">
        <f t="shared" si="123"/>
        <v>0</v>
      </c>
      <c r="F291" s="325"/>
      <c r="G291" s="326">
        <f t="shared" si="124"/>
        <v>0</v>
      </c>
      <c r="H291" s="327">
        <f t="shared" si="125"/>
        <v>0</v>
      </c>
      <c r="I291" s="3323"/>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5">
        <f t="shared" si="127"/>
        <v>0</v>
      </c>
      <c r="AW291" s="2205">
        <f t="shared" si="128"/>
        <v>0</v>
      </c>
      <c r="AX291" s="2205">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17" t="s">
        <v>3049</v>
      </c>
      <c r="E292" s="324">
        <f t="shared" si="123"/>
        <v>0</v>
      </c>
      <c r="F292" s="325"/>
      <c r="G292" s="326">
        <f t="shared" si="124"/>
        <v>0</v>
      </c>
      <c r="H292" s="327">
        <f t="shared" si="125"/>
        <v>0</v>
      </c>
      <c r="I292" s="3323"/>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5">
        <f t="shared" si="127"/>
        <v>0</v>
      </c>
      <c r="AW292" s="2205">
        <f t="shared" si="128"/>
        <v>0</v>
      </c>
      <c r="AX292" s="2205">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17" t="s">
        <v>3049</v>
      </c>
      <c r="E293" s="324">
        <f t="shared" si="123"/>
        <v>0</v>
      </c>
      <c r="F293" s="325"/>
      <c r="G293" s="326">
        <f t="shared" si="124"/>
        <v>0</v>
      </c>
      <c r="H293" s="327">
        <f t="shared" si="125"/>
        <v>0</v>
      </c>
      <c r="I293" s="3323"/>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5">
        <f t="shared" si="127"/>
        <v>0</v>
      </c>
      <c r="AW293" s="2205">
        <f t="shared" si="128"/>
        <v>0</v>
      </c>
      <c r="AX293" s="2205">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17" t="s">
        <v>3049</v>
      </c>
      <c r="E294" s="324">
        <f t="shared" si="123"/>
        <v>0</v>
      </c>
      <c r="F294" s="325"/>
      <c r="G294" s="326">
        <f t="shared" si="124"/>
        <v>0</v>
      </c>
      <c r="H294" s="327">
        <f t="shared" si="125"/>
        <v>0</v>
      </c>
      <c r="I294" s="3323"/>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5">
        <f t="shared" si="127"/>
        <v>0</v>
      </c>
      <c r="AW294" s="2205">
        <f t="shared" si="128"/>
        <v>0</v>
      </c>
      <c r="AX294" s="2205">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17" t="s">
        <v>3049</v>
      </c>
      <c r="E295" s="324">
        <f t="shared" si="123"/>
        <v>0</v>
      </c>
      <c r="F295" s="325"/>
      <c r="G295" s="326">
        <f t="shared" si="124"/>
        <v>0</v>
      </c>
      <c r="H295" s="327">
        <f t="shared" si="125"/>
        <v>0</v>
      </c>
      <c r="I295" s="3323"/>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5">
        <f t="shared" si="127"/>
        <v>0</v>
      </c>
      <c r="AW295" s="2205">
        <f t="shared" si="128"/>
        <v>0</v>
      </c>
      <c r="AX295" s="2205">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17" t="s">
        <v>3049</v>
      </c>
      <c r="E296" s="324">
        <f t="shared" si="123"/>
        <v>0</v>
      </c>
      <c r="F296" s="325"/>
      <c r="G296" s="326">
        <f t="shared" si="124"/>
        <v>0</v>
      </c>
      <c r="H296" s="327">
        <f t="shared" si="125"/>
        <v>0</v>
      </c>
      <c r="I296" s="3323"/>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5">
        <f t="shared" si="127"/>
        <v>0</v>
      </c>
      <c r="AW296" s="2205">
        <f t="shared" si="128"/>
        <v>0</v>
      </c>
      <c r="AX296" s="2205">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17" t="s">
        <v>3049</v>
      </c>
      <c r="E297" s="324">
        <f t="shared" si="123"/>
        <v>0</v>
      </c>
      <c r="F297" s="325"/>
      <c r="G297" s="326">
        <f t="shared" si="124"/>
        <v>0</v>
      </c>
      <c r="H297" s="327">
        <f t="shared" si="125"/>
        <v>0</v>
      </c>
      <c r="I297" s="3323"/>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5">
        <f t="shared" si="127"/>
        <v>0</v>
      </c>
      <c r="AW297" s="2205">
        <f t="shared" si="128"/>
        <v>0</v>
      </c>
      <c r="AX297" s="2205">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17" t="s">
        <v>3049</v>
      </c>
      <c r="E298" s="324">
        <f t="shared" si="123"/>
        <v>0</v>
      </c>
      <c r="F298" s="325"/>
      <c r="G298" s="326">
        <f t="shared" si="124"/>
        <v>0</v>
      </c>
      <c r="H298" s="327">
        <f t="shared" si="125"/>
        <v>0</v>
      </c>
      <c r="I298" s="3323"/>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5">
        <f t="shared" si="127"/>
        <v>0</v>
      </c>
      <c r="AW298" s="2205">
        <f t="shared" si="128"/>
        <v>0</v>
      </c>
      <c r="AX298" s="2205">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17" t="s">
        <v>3049</v>
      </c>
      <c r="E299" s="324">
        <f t="shared" si="123"/>
        <v>0</v>
      </c>
      <c r="F299" s="325"/>
      <c r="G299" s="326">
        <f t="shared" si="124"/>
        <v>0</v>
      </c>
      <c r="H299" s="327">
        <f t="shared" si="125"/>
        <v>0</v>
      </c>
      <c r="I299" s="3323"/>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5">
        <f t="shared" si="127"/>
        <v>0</v>
      </c>
      <c r="AW299" s="2205">
        <f t="shared" si="128"/>
        <v>0</v>
      </c>
      <c r="AX299" s="2205">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17" t="s">
        <v>3049</v>
      </c>
      <c r="E300" s="324">
        <f t="shared" si="123"/>
        <v>0</v>
      </c>
      <c r="F300" s="333"/>
      <c r="G300" s="326">
        <f t="shared" ref="G300:G331" si="152">H300+AC300+AT300</f>
        <v>0</v>
      </c>
      <c r="H300" s="327">
        <f t="shared" ref="H300:H331" si="153">SUMIF(I$12:AB$12,"总值",I300:AB300)</f>
        <v>0</v>
      </c>
      <c r="I300" s="3323"/>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5">
        <f t="shared" si="127"/>
        <v>0</v>
      </c>
      <c r="AW300" s="2205">
        <f t="shared" si="128"/>
        <v>0</v>
      </c>
      <c r="AX300" s="2205">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17" t="s">
        <v>3049</v>
      </c>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5">
        <f t="shared" si="127"/>
        <v>0</v>
      </c>
      <c r="AW301" s="2205">
        <f t="shared" si="128"/>
        <v>0</v>
      </c>
      <c r="AX301" s="2205">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17" t="s">
        <v>3049</v>
      </c>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5">
        <f t="shared" si="127"/>
        <v>0</v>
      </c>
      <c r="AW302" s="2205">
        <f t="shared" si="128"/>
        <v>0</v>
      </c>
      <c r="AX302" s="2205">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17" t="s">
        <v>3049</v>
      </c>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5">
        <f t="shared" ref="AV303:AV334" si="178">A303</f>
        <v>0</v>
      </c>
      <c r="AW303" s="2205">
        <f t="shared" ref="AW303:AW334" si="179">B303</f>
        <v>0</v>
      </c>
      <c r="AX303" s="2205">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17" t="s">
        <v>3049</v>
      </c>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5">
        <f t="shared" si="178"/>
        <v>0</v>
      </c>
      <c r="AW304" s="2205">
        <f t="shared" si="179"/>
        <v>0</v>
      </c>
      <c r="AX304" s="2205">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17" t="s">
        <v>3049</v>
      </c>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5">
        <f t="shared" si="178"/>
        <v>0</v>
      </c>
      <c r="AW305" s="2205">
        <f t="shared" si="179"/>
        <v>0</v>
      </c>
      <c r="AX305" s="2205">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17" t="s">
        <v>3049</v>
      </c>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5">
        <f t="shared" si="178"/>
        <v>0</v>
      </c>
      <c r="AW306" s="2205">
        <f t="shared" si="179"/>
        <v>0</v>
      </c>
      <c r="AX306" s="2205">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17" t="s">
        <v>3049</v>
      </c>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5">
        <f t="shared" si="178"/>
        <v>0</v>
      </c>
      <c r="AW307" s="2205">
        <f t="shared" si="179"/>
        <v>0</v>
      </c>
      <c r="AX307" s="2205">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17" t="s">
        <v>3049</v>
      </c>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5">
        <f t="shared" si="178"/>
        <v>0</v>
      </c>
      <c r="AW308" s="2205">
        <f t="shared" si="179"/>
        <v>0</v>
      </c>
      <c r="AX308" s="2205">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17" t="s">
        <v>3049</v>
      </c>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5">
        <f t="shared" si="178"/>
        <v>0</v>
      </c>
      <c r="AW309" s="2205">
        <f t="shared" si="179"/>
        <v>0</v>
      </c>
      <c r="AX309" s="2205">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17" t="s">
        <v>3049</v>
      </c>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5">
        <f t="shared" si="178"/>
        <v>0</v>
      </c>
      <c r="AW310" s="2205">
        <f t="shared" si="179"/>
        <v>0</v>
      </c>
      <c r="AX310" s="2205">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17" t="s">
        <v>3049</v>
      </c>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5">
        <f t="shared" si="178"/>
        <v>0</v>
      </c>
      <c r="AW311" s="2205">
        <f t="shared" si="179"/>
        <v>0</v>
      </c>
      <c r="AX311" s="2205">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17" t="s">
        <v>3049</v>
      </c>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5">
        <f t="shared" si="178"/>
        <v>0</v>
      </c>
      <c r="AW312" s="2205">
        <f t="shared" si="179"/>
        <v>0</v>
      </c>
      <c r="AX312" s="2205">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17" t="s">
        <v>3049</v>
      </c>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5">
        <f t="shared" si="178"/>
        <v>0</v>
      </c>
      <c r="AW313" s="2205">
        <f t="shared" si="179"/>
        <v>0</v>
      </c>
      <c r="AX313" s="2205">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17" t="s">
        <v>3049</v>
      </c>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5">
        <f t="shared" si="178"/>
        <v>0</v>
      </c>
      <c r="AW314" s="2205">
        <f t="shared" si="179"/>
        <v>0</v>
      </c>
      <c r="AX314" s="2205">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17" t="s">
        <v>3049</v>
      </c>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5">
        <f t="shared" si="178"/>
        <v>0</v>
      </c>
      <c r="AW315" s="2205">
        <f t="shared" si="179"/>
        <v>0</v>
      </c>
      <c r="AX315" s="2205">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17" t="s">
        <v>3049</v>
      </c>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5">
        <f t="shared" si="178"/>
        <v>0</v>
      </c>
      <c r="AW316" s="2205">
        <f t="shared" si="179"/>
        <v>0</v>
      </c>
      <c r="AX316" s="2205">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17" t="s">
        <v>3049</v>
      </c>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5">
        <f t="shared" si="178"/>
        <v>0</v>
      </c>
      <c r="AW317" s="2205">
        <f t="shared" si="179"/>
        <v>0</v>
      </c>
      <c r="AX317" s="2205">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17" t="s">
        <v>3049</v>
      </c>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5">
        <f t="shared" si="178"/>
        <v>0</v>
      </c>
      <c r="AW318" s="2205">
        <f t="shared" si="179"/>
        <v>0</v>
      </c>
      <c r="AX318" s="2205">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17" t="s">
        <v>3049</v>
      </c>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5">
        <f t="shared" si="178"/>
        <v>0</v>
      </c>
      <c r="AW319" s="2205">
        <f t="shared" si="179"/>
        <v>0</v>
      </c>
      <c r="AX319" s="2205">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17" t="s">
        <v>3049</v>
      </c>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5">
        <f t="shared" si="178"/>
        <v>0</v>
      </c>
      <c r="AW320" s="2205">
        <f t="shared" si="179"/>
        <v>0</v>
      </c>
      <c r="AX320" s="2205">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17" t="s">
        <v>3049</v>
      </c>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5">
        <f t="shared" si="178"/>
        <v>0</v>
      </c>
      <c r="AW321" s="2205">
        <f t="shared" si="179"/>
        <v>0</v>
      </c>
      <c r="AX321" s="2205">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17" t="s">
        <v>3049</v>
      </c>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5">
        <f t="shared" si="178"/>
        <v>0</v>
      </c>
      <c r="AW322" s="2205">
        <f t="shared" si="179"/>
        <v>0</v>
      </c>
      <c r="AX322" s="2205">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17" t="s">
        <v>3049</v>
      </c>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5">
        <f t="shared" si="178"/>
        <v>0</v>
      </c>
      <c r="AW323" s="2205">
        <f t="shared" si="179"/>
        <v>0</v>
      </c>
      <c r="AX323" s="2205">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17" t="s">
        <v>3049</v>
      </c>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5">
        <f t="shared" si="178"/>
        <v>0</v>
      </c>
      <c r="AW324" s="2205">
        <f t="shared" si="179"/>
        <v>0</v>
      </c>
      <c r="AX324" s="2205">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17" t="s">
        <v>3049</v>
      </c>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5">
        <f t="shared" si="178"/>
        <v>0</v>
      </c>
      <c r="AW325" s="2205">
        <f t="shared" si="179"/>
        <v>0</v>
      </c>
      <c r="AX325" s="2205">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17" t="s">
        <v>3049</v>
      </c>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5">
        <f t="shared" si="178"/>
        <v>0</v>
      </c>
      <c r="AW326" s="2205">
        <f t="shared" si="179"/>
        <v>0</v>
      </c>
      <c r="AX326" s="2205">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17" t="s">
        <v>3049</v>
      </c>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5">
        <f t="shared" si="178"/>
        <v>0</v>
      </c>
      <c r="AW327" s="2205">
        <f t="shared" si="179"/>
        <v>0</v>
      </c>
      <c r="AX327" s="2205">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0"/>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5">
        <f t="shared" si="178"/>
        <v>0</v>
      </c>
      <c r="AW328" s="2205">
        <f t="shared" si="179"/>
        <v>0</v>
      </c>
      <c r="AX328" s="2205">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0"/>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5">
        <f t="shared" si="178"/>
        <v>0</v>
      </c>
      <c r="AW329" s="2205">
        <f t="shared" si="179"/>
        <v>0</v>
      </c>
      <c r="AX329" s="2205">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0"/>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5">
        <f t="shared" si="178"/>
        <v>0</v>
      </c>
      <c r="AW330" s="2205">
        <f t="shared" si="179"/>
        <v>0</v>
      </c>
      <c r="AX330" s="2205">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0"/>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5">
        <f t="shared" si="178"/>
        <v>0</v>
      </c>
      <c r="AW331" s="2205">
        <f t="shared" si="179"/>
        <v>0</v>
      </c>
      <c r="AX331" s="2205">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0"/>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5">
        <f t="shared" si="178"/>
        <v>0</v>
      </c>
      <c r="AW332" s="2205">
        <f t="shared" si="179"/>
        <v>0</v>
      </c>
      <c r="AX332" s="2205">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0"/>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5">
        <f t="shared" si="178"/>
        <v>0</v>
      </c>
      <c r="AW333" s="2205">
        <f t="shared" si="179"/>
        <v>0</v>
      </c>
      <c r="AX333" s="2205">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0"/>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5">
        <f t="shared" si="178"/>
        <v>0</v>
      </c>
      <c r="AW334" s="2205">
        <f t="shared" si="179"/>
        <v>0</v>
      </c>
      <c r="AX334" s="2205">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0"/>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5">
        <f t="shared" ref="AV335:AV366" si="207">A335</f>
        <v>0</v>
      </c>
      <c r="AW335" s="2205">
        <f t="shared" ref="AW335:AW366" si="208">B335</f>
        <v>0</v>
      </c>
      <c r="AX335" s="2205">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0"/>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5">
        <f t="shared" si="207"/>
        <v>0</v>
      </c>
      <c r="AW336" s="2205">
        <f t="shared" si="208"/>
        <v>0</v>
      </c>
      <c r="AX336" s="2205">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0"/>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5">
        <f t="shared" si="207"/>
        <v>0</v>
      </c>
      <c r="AW337" s="2205">
        <f t="shared" si="208"/>
        <v>0</v>
      </c>
      <c r="AX337" s="2205">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0"/>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5">
        <f t="shared" si="207"/>
        <v>0</v>
      </c>
      <c r="AW338" s="2205">
        <f t="shared" si="208"/>
        <v>0</v>
      </c>
      <c r="AX338" s="2205">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0"/>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5">
        <f t="shared" si="207"/>
        <v>0</v>
      </c>
      <c r="AW339" s="2205">
        <f t="shared" si="208"/>
        <v>0</v>
      </c>
      <c r="AX339" s="2205">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0"/>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5">
        <f t="shared" si="207"/>
        <v>0</v>
      </c>
      <c r="AW340" s="2205">
        <f t="shared" si="208"/>
        <v>0</v>
      </c>
      <c r="AX340" s="2205">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0"/>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5">
        <f t="shared" si="207"/>
        <v>0</v>
      </c>
      <c r="AW341" s="2205">
        <f t="shared" si="208"/>
        <v>0</v>
      </c>
      <c r="AX341" s="2205">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0"/>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5">
        <f t="shared" si="207"/>
        <v>0</v>
      </c>
      <c r="AW342" s="2205">
        <f t="shared" si="208"/>
        <v>0</v>
      </c>
      <c r="AX342" s="2205">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0"/>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5">
        <f t="shared" si="207"/>
        <v>0</v>
      </c>
      <c r="AW343" s="2205">
        <f t="shared" si="208"/>
        <v>0</v>
      </c>
      <c r="AX343" s="2205">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0"/>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5">
        <f t="shared" si="207"/>
        <v>0</v>
      </c>
      <c r="AW344" s="2205">
        <f t="shared" si="208"/>
        <v>0</v>
      </c>
      <c r="AX344" s="2205">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0"/>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5">
        <f t="shared" si="207"/>
        <v>0</v>
      </c>
      <c r="AW345" s="2205">
        <f t="shared" si="208"/>
        <v>0</v>
      </c>
      <c r="AX345" s="2205">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0"/>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5">
        <f t="shared" si="207"/>
        <v>0</v>
      </c>
      <c r="AW346" s="2205">
        <f t="shared" si="208"/>
        <v>0</v>
      </c>
      <c r="AX346" s="2205">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0"/>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5">
        <f t="shared" si="207"/>
        <v>0</v>
      </c>
      <c r="AW347" s="2205">
        <f t="shared" si="208"/>
        <v>0</v>
      </c>
      <c r="AX347" s="2205">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0"/>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5">
        <f t="shared" si="207"/>
        <v>0</v>
      </c>
      <c r="AW348" s="2205">
        <f t="shared" si="208"/>
        <v>0</v>
      </c>
      <c r="AX348" s="2205">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0"/>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5">
        <f t="shared" si="207"/>
        <v>0</v>
      </c>
      <c r="AW349" s="2205">
        <f t="shared" si="208"/>
        <v>0</v>
      </c>
      <c r="AX349" s="2205">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0"/>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5">
        <f t="shared" si="207"/>
        <v>0</v>
      </c>
      <c r="AW350" s="2205">
        <f t="shared" si="208"/>
        <v>0</v>
      </c>
      <c r="AX350" s="2205">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0"/>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5">
        <f t="shared" si="207"/>
        <v>0</v>
      </c>
      <c r="AW351" s="2205">
        <f t="shared" si="208"/>
        <v>0</v>
      </c>
      <c r="AX351" s="2205">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0"/>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5">
        <f t="shared" si="207"/>
        <v>0</v>
      </c>
      <c r="AW352" s="2205">
        <f t="shared" si="208"/>
        <v>0</v>
      </c>
      <c r="AX352" s="2205">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0"/>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5">
        <f t="shared" si="207"/>
        <v>0</v>
      </c>
      <c r="AW353" s="2205">
        <f t="shared" si="208"/>
        <v>0</v>
      </c>
      <c r="AX353" s="2205">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0"/>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5">
        <f t="shared" si="207"/>
        <v>0</v>
      </c>
      <c r="AW354" s="2205">
        <f t="shared" si="208"/>
        <v>0</v>
      </c>
      <c r="AX354" s="2205">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0"/>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5">
        <f t="shared" si="207"/>
        <v>0</v>
      </c>
      <c r="AW355" s="2205">
        <f t="shared" si="208"/>
        <v>0</v>
      </c>
      <c r="AX355" s="2205">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0"/>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5">
        <f t="shared" si="207"/>
        <v>0</v>
      </c>
      <c r="AW356" s="2205">
        <f t="shared" si="208"/>
        <v>0</v>
      </c>
      <c r="AX356" s="2205">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0"/>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5">
        <f t="shared" si="207"/>
        <v>0</v>
      </c>
      <c r="AW357" s="2205">
        <f t="shared" si="208"/>
        <v>0</v>
      </c>
      <c r="AX357" s="2205">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0"/>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5">
        <f t="shared" si="207"/>
        <v>0</v>
      </c>
      <c r="AW358" s="2205">
        <f t="shared" si="208"/>
        <v>0</v>
      </c>
      <c r="AX358" s="2205">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0"/>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5">
        <f t="shared" si="207"/>
        <v>0</v>
      </c>
      <c r="AW359" s="2205">
        <f t="shared" si="208"/>
        <v>0</v>
      </c>
      <c r="AX359" s="2205">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0"/>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5">
        <f t="shared" si="207"/>
        <v>0</v>
      </c>
      <c r="AW360" s="2205">
        <f t="shared" si="208"/>
        <v>0</v>
      </c>
      <c r="AX360" s="2205">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0"/>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5">
        <f t="shared" si="207"/>
        <v>0</v>
      </c>
      <c r="AW361" s="2205">
        <f t="shared" si="208"/>
        <v>0</v>
      </c>
      <c r="AX361" s="2205">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0"/>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5">
        <f t="shared" si="207"/>
        <v>0</v>
      </c>
      <c r="AW362" s="2205">
        <f t="shared" si="208"/>
        <v>0</v>
      </c>
      <c r="AX362" s="2205">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0"/>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5">
        <f t="shared" si="207"/>
        <v>0</v>
      </c>
      <c r="AW363" s="2205">
        <f t="shared" si="208"/>
        <v>0</v>
      </c>
      <c r="AX363" s="2205">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0"/>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5">
        <f t="shared" si="207"/>
        <v>0</v>
      </c>
      <c r="AW364" s="2205">
        <f t="shared" si="208"/>
        <v>0</v>
      </c>
      <c r="AX364" s="2205">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0"/>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5">
        <f t="shared" si="207"/>
        <v>0</v>
      </c>
      <c r="AW365" s="2205">
        <f t="shared" si="208"/>
        <v>0</v>
      </c>
      <c r="AX365" s="2205">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0"/>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5">
        <f t="shared" si="207"/>
        <v>0</v>
      </c>
      <c r="AW366" s="2205">
        <f t="shared" si="208"/>
        <v>0</v>
      </c>
      <c r="AX366" s="2205">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0"/>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5">
        <f t="shared" ref="AV367:AV397" si="236">A367</f>
        <v>0</v>
      </c>
      <c r="AW367" s="2205">
        <f t="shared" ref="AW367:AW397" si="237">B367</f>
        <v>0</v>
      </c>
      <c r="AX367" s="2205">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0"/>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5">
        <f t="shared" si="236"/>
        <v>0</v>
      </c>
      <c r="AW368" s="2205">
        <f t="shared" si="237"/>
        <v>0</v>
      </c>
      <c r="AX368" s="2205">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0"/>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5">
        <f t="shared" si="236"/>
        <v>0</v>
      </c>
      <c r="AW369" s="2205">
        <f t="shared" si="237"/>
        <v>0</v>
      </c>
      <c r="AX369" s="2205">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0"/>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5">
        <f t="shared" si="236"/>
        <v>0</v>
      </c>
      <c r="AW370" s="2205">
        <f t="shared" si="237"/>
        <v>0</v>
      </c>
      <c r="AX370" s="2205">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0"/>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5">
        <f t="shared" si="236"/>
        <v>0</v>
      </c>
      <c r="AW371" s="2205">
        <f t="shared" si="237"/>
        <v>0</v>
      </c>
      <c r="AX371" s="2205">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0"/>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5">
        <f t="shared" si="236"/>
        <v>0</v>
      </c>
      <c r="AW372" s="2205">
        <f t="shared" si="237"/>
        <v>0</v>
      </c>
      <c r="AX372" s="2205">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0"/>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5">
        <f t="shared" si="236"/>
        <v>0</v>
      </c>
      <c r="AW373" s="2205">
        <f t="shared" si="237"/>
        <v>0</v>
      </c>
      <c r="AX373" s="2205">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0"/>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5">
        <f t="shared" si="236"/>
        <v>0</v>
      </c>
      <c r="AW374" s="2205">
        <f t="shared" si="237"/>
        <v>0</v>
      </c>
      <c r="AX374" s="2205">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0"/>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5">
        <f t="shared" si="236"/>
        <v>0</v>
      </c>
      <c r="AW375" s="2205">
        <f t="shared" si="237"/>
        <v>0</v>
      </c>
      <c r="AX375" s="2205">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0"/>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5">
        <f t="shared" si="236"/>
        <v>0</v>
      </c>
      <c r="AW376" s="2205">
        <f t="shared" si="237"/>
        <v>0</v>
      </c>
      <c r="AX376" s="2205">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0"/>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5">
        <f t="shared" si="236"/>
        <v>0</v>
      </c>
      <c r="AW377" s="2205">
        <f t="shared" si="237"/>
        <v>0</v>
      </c>
      <c r="AX377" s="2205">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0"/>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5">
        <f t="shared" si="236"/>
        <v>0</v>
      </c>
      <c r="AW378" s="2205">
        <f t="shared" si="237"/>
        <v>0</v>
      </c>
      <c r="AX378" s="2205">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0"/>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5">
        <f t="shared" si="236"/>
        <v>0</v>
      </c>
      <c r="AW379" s="2205">
        <f t="shared" si="237"/>
        <v>0</v>
      </c>
      <c r="AX379" s="2205">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0"/>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5">
        <f t="shared" si="236"/>
        <v>0</v>
      </c>
      <c r="AW380" s="2205">
        <f t="shared" si="237"/>
        <v>0</v>
      </c>
      <c r="AX380" s="2205">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0"/>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5">
        <f t="shared" si="236"/>
        <v>0</v>
      </c>
      <c r="AW381" s="2205">
        <f t="shared" si="237"/>
        <v>0</v>
      </c>
      <c r="AX381" s="2205">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0"/>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5">
        <f t="shared" si="236"/>
        <v>0</v>
      </c>
      <c r="AW382" s="2205">
        <f t="shared" si="237"/>
        <v>0</v>
      </c>
      <c r="AX382" s="2205">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0"/>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5">
        <f t="shared" si="236"/>
        <v>0</v>
      </c>
      <c r="AW383" s="2205">
        <f t="shared" si="237"/>
        <v>0</v>
      </c>
      <c r="AX383" s="2205">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0"/>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5">
        <f t="shared" si="236"/>
        <v>0</v>
      </c>
      <c r="AW384" s="2205">
        <f t="shared" si="237"/>
        <v>0</v>
      </c>
      <c r="AX384" s="2205">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0"/>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5">
        <f t="shared" si="236"/>
        <v>0</v>
      </c>
      <c r="AW385" s="2205">
        <f t="shared" si="237"/>
        <v>0</v>
      </c>
      <c r="AX385" s="2205">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0"/>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5">
        <f t="shared" si="236"/>
        <v>0</v>
      </c>
      <c r="AW386" s="2205">
        <f t="shared" si="237"/>
        <v>0</v>
      </c>
      <c r="AX386" s="2205">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0"/>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5">
        <f t="shared" si="236"/>
        <v>0</v>
      </c>
      <c r="AW387" s="2205">
        <f t="shared" si="237"/>
        <v>0</v>
      </c>
      <c r="AX387" s="2205">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0"/>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5">
        <f t="shared" si="236"/>
        <v>0</v>
      </c>
      <c r="AW388" s="2205">
        <f t="shared" si="237"/>
        <v>0</v>
      </c>
      <c r="AX388" s="2205">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0"/>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5">
        <f t="shared" si="236"/>
        <v>0</v>
      </c>
      <c r="AW389" s="2205">
        <f t="shared" si="237"/>
        <v>0</v>
      </c>
      <c r="AX389" s="2205">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0"/>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5">
        <f t="shared" si="236"/>
        <v>0</v>
      </c>
      <c r="AW390" s="2205">
        <f t="shared" si="237"/>
        <v>0</v>
      </c>
      <c r="AX390" s="2205">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0"/>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5">
        <f t="shared" si="236"/>
        <v>0</v>
      </c>
      <c r="AW391" s="2205">
        <f t="shared" si="237"/>
        <v>0</v>
      </c>
      <c r="AX391" s="2205">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0"/>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5">
        <f t="shared" si="236"/>
        <v>0</v>
      </c>
      <c r="AW392" s="2205">
        <f t="shared" si="237"/>
        <v>0</v>
      </c>
      <c r="AX392" s="2205">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0"/>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5">
        <f t="shared" si="236"/>
        <v>0</v>
      </c>
      <c r="AW393" s="2205">
        <f t="shared" si="237"/>
        <v>0</v>
      </c>
      <c r="AX393" s="2205">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0"/>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5">
        <f t="shared" si="236"/>
        <v>0</v>
      </c>
      <c r="AW394" s="2205">
        <f t="shared" si="237"/>
        <v>0</v>
      </c>
      <c r="AX394" s="2205">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0"/>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5">
        <f t="shared" si="236"/>
        <v>0</v>
      </c>
      <c r="AW395" s="2205">
        <f t="shared" si="237"/>
        <v>0</v>
      </c>
      <c r="AX395" s="2205">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0"/>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5">
        <f t="shared" si="236"/>
        <v>0</v>
      </c>
      <c r="AW396" s="2205">
        <f t="shared" si="237"/>
        <v>0</v>
      </c>
      <c r="AX396" s="2205">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0"/>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5">
        <f t="shared" si="236"/>
        <v>0</v>
      </c>
      <c r="AW397" s="2205">
        <f t="shared" si="237"/>
        <v>0</v>
      </c>
      <c r="AX397" s="2205">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0"/>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5">
        <f t="shared" ref="AV398:AV492" si="243">A398</f>
        <v>0</v>
      </c>
      <c r="AW398" s="2205">
        <f t="shared" ref="AW398:AW492" si="244">B398</f>
        <v>0</v>
      </c>
      <c r="AX398" s="2205">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0"/>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5">
        <f t="shared" si="243"/>
        <v>0</v>
      </c>
      <c r="AW399" s="2205">
        <f t="shared" si="244"/>
        <v>0</v>
      </c>
      <c r="AX399" s="2205">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0"/>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5">
        <f t="shared" si="243"/>
        <v>0</v>
      </c>
      <c r="AW400" s="2205">
        <f t="shared" si="244"/>
        <v>0</v>
      </c>
      <c r="AX400" s="2205">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0"/>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5">
        <f t="shared" si="243"/>
        <v>0</v>
      </c>
      <c r="AW401" s="2205">
        <f t="shared" si="244"/>
        <v>0</v>
      </c>
      <c r="AX401" s="2205">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0"/>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5">
        <f t="shared" si="243"/>
        <v>0</v>
      </c>
      <c r="AW402" s="2205">
        <f t="shared" si="244"/>
        <v>0</v>
      </c>
      <c r="AX402" s="2205">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0"/>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5">
        <f t="shared" si="243"/>
        <v>0</v>
      </c>
      <c r="AW403" s="2205">
        <f t="shared" si="244"/>
        <v>0</v>
      </c>
      <c r="AX403" s="2205">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0"/>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5">
        <f t="shared" si="243"/>
        <v>0</v>
      </c>
      <c r="AW404" s="2205">
        <f t="shared" si="244"/>
        <v>0</v>
      </c>
      <c r="AX404" s="2205">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0"/>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5">
        <f t="shared" si="243"/>
        <v>0</v>
      </c>
      <c r="AW405" s="2205">
        <f t="shared" si="244"/>
        <v>0</v>
      </c>
      <c r="AX405" s="2205">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0"/>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5">
        <f t="shared" si="243"/>
        <v>0</v>
      </c>
      <c r="AW406" s="2205">
        <f t="shared" si="244"/>
        <v>0</v>
      </c>
      <c r="AX406" s="2205">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0"/>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5">
        <f t="shared" si="243"/>
        <v>0</v>
      </c>
      <c r="AW407" s="2205">
        <f t="shared" si="244"/>
        <v>0</v>
      </c>
      <c r="AX407" s="2205">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0"/>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5">
        <f t="shared" si="243"/>
        <v>0</v>
      </c>
      <c r="AW408" s="2205">
        <f t="shared" si="244"/>
        <v>0</v>
      </c>
      <c r="AX408" s="2205">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0"/>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5">
        <f t="shared" si="243"/>
        <v>0</v>
      </c>
      <c r="AW409" s="2205">
        <f t="shared" si="244"/>
        <v>0</v>
      </c>
      <c r="AX409" s="2205">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0"/>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5">
        <f t="shared" si="243"/>
        <v>0</v>
      </c>
      <c r="AW410" s="2205">
        <f t="shared" si="244"/>
        <v>0</v>
      </c>
      <c r="AX410" s="2205">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0"/>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5">
        <f t="shared" si="243"/>
        <v>0</v>
      </c>
      <c r="AW411" s="2205">
        <f t="shared" si="244"/>
        <v>0</v>
      </c>
      <c r="AX411" s="2205">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0"/>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5">
        <f t="shared" si="243"/>
        <v>0</v>
      </c>
      <c r="AW412" s="2205">
        <f t="shared" si="244"/>
        <v>0</v>
      </c>
      <c r="AX412" s="2205">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0"/>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5">
        <f t="shared" si="243"/>
        <v>0</v>
      </c>
      <c r="AW413" s="2205">
        <f t="shared" si="244"/>
        <v>0</v>
      </c>
      <c r="AX413" s="2205">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0"/>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5">
        <f t="shared" si="243"/>
        <v>0</v>
      </c>
      <c r="AW414" s="2205">
        <f t="shared" si="244"/>
        <v>0</v>
      </c>
      <c r="AX414" s="2205">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0"/>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5">
        <f t="shared" si="243"/>
        <v>0</v>
      </c>
      <c r="AW415" s="2205">
        <f t="shared" si="244"/>
        <v>0</v>
      </c>
      <c r="AX415" s="2205">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0"/>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5">
        <f t="shared" si="243"/>
        <v>0</v>
      </c>
      <c r="AW416" s="2205">
        <f t="shared" si="244"/>
        <v>0</v>
      </c>
      <c r="AX416" s="2205">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0"/>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5">
        <f t="shared" si="243"/>
        <v>0</v>
      </c>
      <c r="AW417" s="2205">
        <f t="shared" si="244"/>
        <v>0</v>
      </c>
      <c r="AX417" s="2205">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0"/>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5">
        <f t="shared" si="243"/>
        <v>0</v>
      </c>
      <c r="AW418" s="2205">
        <f t="shared" si="244"/>
        <v>0</v>
      </c>
      <c r="AX418" s="2205">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0"/>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5">
        <f t="shared" si="243"/>
        <v>0</v>
      </c>
      <c r="AW419" s="2205">
        <f t="shared" si="244"/>
        <v>0</v>
      </c>
      <c r="AX419" s="2205">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0"/>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5">
        <f t="shared" si="243"/>
        <v>0</v>
      </c>
      <c r="AW420" s="2205">
        <f t="shared" si="244"/>
        <v>0</v>
      </c>
      <c r="AX420" s="2205">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0"/>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5">
        <f t="shared" si="243"/>
        <v>0</v>
      </c>
      <c r="AW421" s="2205">
        <f t="shared" si="244"/>
        <v>0</v>
      </c>
      <c r="AX421" s="2205">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0"/>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5">
        <f t="shared" si="243"/>
        <v>0</v>
      </c>
      <c r="AW422" s="2205">
        <f t="shared" si="244"/>
        <v>0</v>
      </c>
      <c r="AX422" s="2205">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0"/>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5">
        <f t="shared" si="243"/>
        <v>0</v>
      </c>
      <c r="AW423" s="2205">
        <f t="shared" si="244"/>
        <v>0</v>
      </c>
      <c r="AX423" s="2205">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0"/>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5">
        <f t="shared" si="243"/>
        <v>0</v>
      </c>
      <c r="AW424" s="2205">
        <f t="shared" si="244"/>
        <v>0</v>
      </c>
      <c r="AX424" s="2205">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0"/>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5">
        <f t="shared" si="243"/>
        <v>0</v>
      </c>
      <c r="AW425" s="2205">
        <f t="shared" si="244"/>
        <v>0</v>
      </c>
      <c r="AX425" s="2205">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0"/>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5">
        <f t="shared" si="243"/>
        <v>0</v>
      </c>
      <c r="AW426" s="2205">
        <f t="shared" si="244"/>
        <v>0</v>
      </c>
      <c r="AX426" s="2205">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0"/>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5">
        <f t="shared" si="243"/>
        <v>0</v>
      </c>
      <c r="AW427" s="2205">
        <f t="shared" si="244"/>
        <v>0</v>
      </c>
      <c r="AX427" s="2205">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0"/>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5">
        <f t="shared" si="243"/>
        <v>0</v>
      </c>
      <c r="AW428" s="2205">
        <f t="shared" si="244"/>
        <v>0</v>
      </c>
      <c r="AX428" s="2205">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0"/>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5">
        <f t="shared" si="243"/>
        <v>0</v>
      </c>
      <c r="AW429" s="2205">
        <f t="shared" si="244"/>
        <v>0</v>
      </c>
      <c r="AX429" s="2205">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0"/>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5">
        <f t="shared" si="243"/>
        <v>0</v>
      </c>
      <c r="AW430" s="2205">
        <f t="shared" si="244"/>
        <v>0</v>
      </c>
      <c r="AX430" s="2205">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0"/>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5">
        <f t="shared" si="243"/>
        <v>0</v>
      </c>
      <c r="AW431" s="2205">
        <f t="shared" si="244"/>
        <v>0</v>
      </c>
      <c r="AX431" s="2205">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0"/>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5">
        <f t="shared" si="243"/>
        <v>0</v>
      </c>
      <c r="AW432" s="2205">
        <f t="shared" si="244"/>
        <v>0</v>
      </c>
      <c r="AX432" s="2205">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0"/>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5">
        <f t="shared" si="243"/>
        <v>0</v>
      </c>
      <c r="AW433" s="2205">
        <f t="shared" si="244"/>
        <v>0</v>
      </c>
      <c r="AX433" s="2205">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0"/>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5">
        <f t="shared" si="243"/>
        <v>0</v>
      </c>
      <c r="AW434" s="2205">
        <f t="shared" si="244"/>
        <v>0</v>
      </c>
      <c r="AX434" s="2205">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0"/>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5">
        <f t="shared" si="243"/>
        <v>0</v>
      </c>
      <c r="AW435" s="2205">
        <f t="shared" si="244"/>
        <v>0</v>
      </c>
      <c r="AX435" s="2205">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0"/>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5">
        <f t="shared" si="243"/>
        <v>0</v>
      </c>
      <c r="AW436" s="2205">
        <f t="shared" si="244"/>
        <v>0</v>
      </c>
      <c r="AX436" s="2205">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0"/>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5">
        <f t="shared" si="243"/>
        <v>0</v>
      </c>
      <c r="AW437" s="2205">
        <f t="shared" si="244"/>
        <v>0</v>
      </c>
      <c r="AX437" s="2205">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0"/>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5">
        <f t="shared" si="243"/>
        <v>0</v>
      </c>
      <c r="AW438" s="2205">
        <f t="shared" si="244"/>
        <v>0</v>
      </c>
      <c r="AX438" s="2205">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0"/>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5">
        <f t="shared" si="243"/>
        <v>0</v>
      </c>
      <c r="AW439" s="2205">
        <f t="shared" si="244"/>
        <v>0</v>
      </c>
      <c r="AX439" s="2205">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0"/>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5">
        <f t="shared" si="243"/>
        <v>0</v>
      </c>
      <c r="AW440" s="2205">
        <f t="shared" si="244"/>
        <v>0</v>
      </c>
      <c r="AX440" s="2205">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0"/>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5">
        <f t="shared" si="243"/>
        <v>0</v>
      </c>
      <c r="AW441" s="2205">
        <f t="shared" si="244"/>
        <v>0</v>
      </c>
      <c r="AX441" s="2205">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0"/>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5">
        <f t="shared" si="243"/>
        <v>0</v>
      </c>
      <c r="AW442" s="2205">
        <f t="shared" si="244"/>
        <v>0</v>
      </c>
      <c r="AX442" s="2205">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0"/>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5">
        <f t="shared" si="243"/>
        <v>0</v>
      </c>
      <c r="AW443" s="2205">
        <f t="shared" si="244"/>
        <v>0</v>
      </c>
      <c r="AX443" s="2205">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0"/>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5">
        <f t="shared" si="243"/>
        <v>0</v>
      </c>
      <c r="AW444" s="2205">
        <f t="shared" si="244"/>
        <v>0</v>
      </c>
      <c r="AX444" s="2205">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0"/>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5">
        <f t="shared" si="243"/>
        <v>0</v>
      </c>
      <c r="AW445" s="2205">
        <f t="shared" si="244"/>
        <v>0</v>
      </c>
      <c r="AX445" s="2205">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0"/>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5">
        <f t="shared" si="243"/>
        <v>0</v>
      </c>
      <c r="AW446" s="2205">
        <f t="shared" si="244"/>
        <v>0</v>
      </c>
      <c r="AX446" s="2205">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0"/>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5">
        <f t="shared" si="243"/>
        <v>0</v>
      </c>
      <c r="AW447" s="2205">
        <f t="shared" si="244"/>
        <v>0</v>
      </c>
      <c r="AX447" s="2205">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0"/>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5">
        <f t="shared" si="243"/>
        <v>0</v>
      </c>
      <c r="AW448" s="2205">
        <f t="shared" si="244"/>
        <v>0</v>
      </c>
      <c r="AX448" s="2205">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0"/>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5">
        <f t="shared" si="243"/>
        <v>0</v>
      </c>
      <c r="AW449" s="2205">
        <f t="shared" si="244"/>
        <v>0</v>
      </c>
      <c r="AX449" s="2205">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0"/>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5">
        <f t="shared" si="243"/>
        <v>0</v>
      </c>
      <c r="AW450" s="2205">
        <f t="shared" si="244"/>
        <v>0</v>
      </c>
      <c r="AX450" s="2205">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0"/>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5">
        <f t="shared" si="243"/>
        <v>0</v>
      </c>
      <c r="AW451" s="2205">
        <f t="shared" si="244"/>
        <v>0</v>
      </c>
      <c r="AX451" s="2205">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0"/>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5">
        <f t="shared" si="243"/>
        <v>0</v>
      </c>
      <c r="AW452" s="2205">
        <f t="shared" si="244"/>
        <v>0</v>
      </c>
      <c r="AX452" s="2205">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0"/>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5">
        <f t="shared" si="243"/>
        <v>0</v>
      </c>
      <c r="AW453" s="2205">
        <f t="shared" si="244"/>
        <v>0</v>
      </c>
      <c r="AX453" s="2205">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0"/>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5">
        <f t="shared" si="243"/>
        <v>0</v>
      </c>
      <c r="AW454" s="2205">
        <f t="shared" si="244"/>
        <v>0</v>
      </c>
      <c r="AX454" s="2205">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0"/>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5">
        <f t="shared" si="243"/>
        <v>0</v>
      </c>
      <c r="AW455" s="2205">
        <f t="shared" si="244"/>
        <v>0</v>
      </c>
      <c r="AX455" s="2205">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0"/>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5">
        <f t="shared" si="243"/>
        <v>0</v>
      </c>
      <c r="AW456" s="2205">
        <f t="shared" si="244"/>
        <v>0</v>
      </c>
      <c r="AX456" s="2205">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0"/>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5">
        <f t="shared" si="243"/>
        <v>0</v>
      </c>
      <c r="AW457" s="2205">
        <f t="shared" si="244"/>
        <v>0</v>
      </c>
      <c r="AX457" s="2205">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0"/>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5">
        <f t="shared" si="243"/>
        <v>0</v>
      </c>
      <c r="AW458" s="2205">
        <f t="shared" si="244"/>
        <v>0</v>
      </c>
      <c r="AX458" s="2205">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0"/>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5">
        <f t="shared" si="243"/>
        <v>0</v>
      </c>
      <c r="AW459" s="2205">
        <f t="shared" si="244"/>
        <v>0</v>
      </c>
      <c r="AX459" s="2205">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0"/>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5">
        <f t="shared" si="243"/>
        <v>0</v>
      </c>
      <c r="AW460" s="2205">
        <f t="shared" si="244"/>
        <v>0</v>
      </c>
      <c r="AX460" s="2205">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0"/>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5">
        <f t="shared" si="243"/>
        <v>0</v>
      </c>
      <c r="AW461" s="2205">
        <f t="shared" si="244"/>
        <v>0</v>
      </c>
      <c r="AX461" s="2205">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0"/>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5">
        <f t="shared" si="243"/>
        <v>0</v>
      </c>
      <c r="AW462" s="2205">
        <f t="shared" si="244"/>
        <v>0</v>
      </c>
      <c r="AX462" s="2205">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0"/>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5">
        <f t="shared" si="243"/>
        <v>0</v>
      </c>
      <c r="AW463" s="2205">
        <f t="shared" si="244"/>
        <v>0</v>
      </c>
      <c r="AX463" s="2205">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0"/>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5">
        <f t="shared" si="243"/>
        <v>0</v>
      </c>
      <c r="AW464" s="2205">
        <f t="shared" si="244"/>
        <v>0</v>
      </c>
      <c r="AX464" s="2205">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0"/>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5">
        <f t="shared" si="243"/>
        <v>0</v>
      </c>
      <c r="AW465" s="2205">
        <f t="shared" si="244"/>
        <v>0</v>
      </c>
      <c r="AX465" s="2205">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0"/>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5">
        <f t="shared" si="243"/>
        <v>0</v>
      </c>
      <c r="AW466" s="2205">
        <f t="shared" si="244"/>
        <v>0</v>
      </c>
      <c r="AX466" s="2205">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0"/>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5">
        <f t="shared" si="243"/>
        <v>0</v>
      </c>
      <c r="AW467" s="2205">
        <f t="shared" si="244"/>
        <v>0</v>
      </c>
      <c r="AX467" s="2205">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0"/>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5">
        <f t="shared" si="243"/>
        <v>0</v>
      </c>
      <c r="AW468" s="2205">
        <f t="shared" si="244"/>
        <v>0</v>
      </c>
      <c r="AX468" s="2205">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0"/>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5">
        <f t="shared" si="243"/>
        <v>0</v>
      </c>
      <c r="AW469" s="2205">
        <f t="shared" si="244"/>
        <v>0</v>
      </c>
      <c r="AX469" s="2205">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0"/>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5">
        <f t="shared" si="243"/>
        <v>0</v>
      </c>
      <c r="AW470" s="2205">
        <f t="shared" si="244"/>
        <v>0</v>
      </c>
      <c r="AX470" s="2205">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0"/>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5">
        <f t="shared" si="243"/>
        <v>0</v>
      </c>
      <c r="AW471" s="2205">
        <f t="shared" si="244"/>
        <v>0</v>
      </c>
      <c r="AX471" s="2205">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0"/>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5">
        <f t="shared" si="243"/>
        <v>0</v>
      </c>
      <c r="AW472" s="2205">
        <f t="shared" si="244"/>
        <v>0</v>
      </c>
      <c r="AX472" s="2205">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0"/>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5">
        <f t="shared" si="243"/>
        <v>0</v>
      </c>
      <c r="AW473" s="2205">
        <f t="shared" si="244"/>
        <v>0</v>
      </c>
      <c r="AX473" s="2205">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0"/>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5">
        <f t="shared" si="243"/>
        <v>0</v>
      </c>
      <c r="AW474" s="2205">
        <f t="shared" si="244"/>
        <v>0</v>
      </c>
      <c r="AX474" s="2205">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0"/>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5">
        <f t="shared" si="243"/>
        <v>0</v>
      </c>
      <c r="AW475" s="2205">
        <f t="shared" si="244"/>
        <v>0</v>
      </c>
      <c r="AX475" s="2205">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0"/>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5">
        <f t="shared" si="243"/>
        <v>0</v>
      </c>
      <c r="AW476" s="2205">
        <f t="shared" si="244"/>
        <v>0</v>
      </c>
      <c r="AX476" s="2205">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0"/>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5">
        <f t="shared" si="243"/>
        <v>0</v>
      </c>
      <c r="AW477" s="2205">
        <f t="shared" si="244"/>
        <v>0</v>
      </c>
      <c r="AX477" s="2205">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0"/>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5">
        <f t="shared" si="243"/>
        <v>0</v>
      </c>
      <c r="AW478" s="2205">
        <f t="shared" si="244"/>
        <v>0</v>
      </c>
      <c r="AX478" s="2205">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0"/>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5">
        <f t="shared" si="243"/>
        <v>0</v>
      </c>
      <c r="AW479" s="2205">
        <f t="shared" si="244"/>
        <v>0</v>
      </c>
      <c r="AX479" s="2205">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0"/>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5">
        <f t="shared" si="243"/>
        <v>0</v>
      </c>
      <c r="AW480" s="2205">
        <f t="shared" si="244"/>
        <v>0</v>
      </c>
      <c r="AX480" s="2205">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0"/>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5">
        <f t="shared" si="243"/>
        <v>0</v>
      </c>
      <c r="AW481" s="2205">
        <f t="shared" si="244"/>
        <v>0</v>
      </c>
      <c r="AX481" s="2205">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0"/>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5">
        <f t="shared" si="243"/>
        <v>0</v>
      </c>
      <c r="AW482" s="2205">
        <f t="shared" si="244"/>
        <v>0</v>
      </c>
      <c r="AX482" s="2205">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0"/>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5">
        <f t="shared" si="243"/>
        <v>0</v>
      </c>
      <c r="AW483" s="2205">
        <f t="shared" si="244"/>
        <v>0</v>
      </c>
      <c r="AX483" s="2205">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0"/>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5">
        <f t="shared" si="243"/>
        <v>0</v>
      </c>
      <c r="AW484" s="2205">
        <f t="shared" si="244"/>
        <v>0</v>
      </c>
      <c r="AX484" s="2205">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0"/>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5">
        <f t="shared" si="243"/>
        <v>0</v>
      </c>
      <c r="AW485" s="2205">
        <f t="shared" si="244"/>
        <v>0</v>
      </c>
      <c r="AX485" s="2205">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0"/>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5">
        <f t="shared" si="243"/>
        <v>0</v>
      </c>
      <c r="AW486" s="2205">
        <f t="shared" si="244"/>
        <v>0</v>
      </c>
      <c r="AX486" s="2205">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0"/>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5">
        <f t="shared" si="243"/>
        <v>0</v>
      </c>
      <c r="AW487" s="2205">
        <f t="shared" si="244"/>
        <v>0</v>
      </c>
      <c r="AX487" s="2205">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0"/>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5">
        <f t="shared" si="243"/>
        <v>0</v>
      </c>
      <c r="AW488" s="2205">
        <f t="shared" si="244"/>
        <v>0</v>
      </c>
      <c r="AX488" s="2205">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0"/>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5">
        <f t="shared" si="243"/>
        <v>0</v>
      </c>
      <c r="AW489" s="2205">
        <f t="shared" si="244"/>
        <v>0</v>
      </c>
      <c r="AX489" s="2205">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0"/>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5">
        <f t="shared" si="243"/>
        <v>0</v>
      </c>
      <c r="AW490" s="2205">
        <f t="shared" si="244"/>
        <v>0</v>
      </c>
      <c r="AX490" s="2205">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0"/>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5">
        <f t="shared" si="243"/>
        <v>0</v>
      </c>
      <c r="AW491" s="2205">
        <f t="shared" si="244"/>
        <v>0</v>
      </c>
      <c r="AX491" s="2205">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0"/>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5">
        <f t="shared" si="243"/>
        <v>0</v>
      </c>
      <c r="AW492" s="2205">
        <f t="shared" si="244"/>
        <v>0</v>
      </c>
      <c r="AX492" s="2205">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9" t="s">
        <v>2</v>
      </c>
      <c r="B1" s="3419" t="s">
        <v>37</v>
      </c>
      <c r="C1" s="3419" t="s">
        <v>38</v>
      </c>
      <c r="D1" s="3476" t="s">
        <v>199</v>
      </c>
      <c r="E1" s="3476" t="s">
        <v>200</v>
      </c>
      <c r="F1" s="3476"/>
      <c r="G1" s="3476"/>
      <c r="H1" s="3476"/>
      <c r="I1" s="3476"/>
      <c r="J1" s="3476"/>
      <c r="K1" s="3476"/>
      <c r="L1" s="3476"/>
      <c r="M1" s="3476"/>
    </row>
    <row r="2" spans="1:13" ht="27" customHeight="1">
      <c r="A2" s="3419"/>
      <c r="B2" s="3419"/>
      <c r="C2" s="3419"/>
      <c r="D2" s="3476"/>
      <c r="E2" s="3476" t="s">
        <v>183</v>
      </c>
      <c r="F2" s="3476" t="s">
        <v>184</v>
      </c>
      <c r="G2" s="3476"/>
      <c r="H2" s="3476"/>
      <c r="I2" s="3476"/>
      <c r="J2" s="3476" t="s">
        <v>185</v>
      </c>
      <c r="K2" s="3476"/>
      <c r="L2" s="3476"/>
      <c r="M2" s="3476"/>
    </row>
    <row r="3" spans="1:13" ht="28.5">
      <c r="A3" s="3419"/>
      <c r="B3" s="3419"/>
      <c r="C3" s="3419"/>
      <c r="D3" s="3476"/>
      <c r="E3" s="3476"/>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76" t="s">
        <v>201</v>
      </c>
      <c r="B9" s="3476"/>
      <c r="C9" s="347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B42" sqref="B42"/>
    </sheetView>
  </sheetViews>
  <sheetFormatPr defaultColWidth="9.25" defaultRowHeight="13.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6384" width="9.25" style="2217"/>
  </cols>
  <sheetData>
    <row r="1" spans="1:16" ht="18.75">
      <c r="A1" s="17" t="s">
        <v>641</v>
      </c>
      <c r="B1" s="2219"/>
      <c r="C1" s="2219"/>
      <c r="D1" s="2219"/>
      <c r="E1" s="2219"/>
      <c r="F1" s="2219"/>
      <c r="G1" s="2219"/>
      <c r="H1" s="2219"/>
      <c r="I1" s="2219"/>
      <c r="J1" s="2219"/>
      <c r="K1" s="2219"/>
      <c r="L1" s="2219"/>
      <c r="M1" s="2219"/>
      <c r="N1" s="2219"/>
      <c r="O1" s="2219"/>
      <c r="P1" s="2219"/>
    </row>
    <row r="2" spans="1:16">
      <c r="A2" s="3486" t="s">
        <v>642</v>
      </c>
      <c r="B2" s="3486"/>
      <c r="C2" s="3486"/>
      <c r="D2" s="2203" t="s">
        <v>643</v>
      </c>
      <c r="E2" s="19" t="s">
        <v>644</v>
      </c>
      <c r="F2" s="2219"/>
      <c r="G2" s="1179"/>
      <c r="H2" s="1180"/>
      <c r="I2" s="2211" t="s">
        <v>645</v>
      </c>
      <c r="J2" s="2219"/>
      <c r="K2" s="2219"/>
      <c r="L2" s="2219"/>
      <c r="M2" s="2219"/>
      <c r="N2" s="2228"/>
      <c r="O2" s="2219"/>
      <c r="P2" s="2219"/>
    </row>
    <row r="3" spans="1:16" ht="15.75" thickBot="1">
      <c r="A3" s="3487" t="s">
        <v>646</v>
      </c>
      <c r="B3" s="3487"/>
      <c r="C3" s="3487"/>
      <c r="D3" s="335">
        <f>'数据-基础表'!AY6</f>
        <v>104051.87</v>
      </c>
      <c r="E3" s="335">
        <f>'数据-基础表'!AZ5</f>
        <v>88021.11</v>
      </c>
      <c r="F3" s="2219"/>
      <c r="G3" s="441"/>
      <c r="H3" s="439" t="s">
        <v>647</v>
      </c>
      <c r="I3" s="344">
        <f>ROUND('数据-基础表'!B3/'数据-基础表'!A3,2)</f>
        <v>0.85</v>
      </c>
      <c r="J3" s="2219"/>
      <c r="K3" s="2219"/>
      <c r="L3" s="2219"/>
      <c r="M3" s="2219"/>
      <c r="N3" s="2228"/>
      <c r="O3" s="2219"/>
      <c r="P3" s="2219"/>
    </row>
    <row r="4" spans="1:16" ht="14.25">
      <c r="A4" s="3488"/>
      <c r="B4" s="3489"/>
      <c r="C4" s="3490"/>
      <c r="D4" s="20" t="s">
        <v>643</v>
      </c>
      <c r="E4" s="21" t="s">
        <v>644</v>
      </c>
      <c r="F4" s="2219"/>
      <c r="G4" s="1181" t="s">
        <v>1794</v>
      </c>
      <c r="H4" s="439" t="s">
        <v>648</v>
      </c>
      <c r="I4" s="344">
        <f>ROUND(SUMIF('数据-基础表'!I9:AS9,"地上",'数据-基础表'!I5:AS5)/'数据-基础表'!A3,2)</f>
        <v>0.66</v>
      </c>
      <c r="J4" s="2219"/>
      <c r="K4" s="2219"/>
      <c r="L4" s="2219"/>
      <c r="M4" s="2219"/>
      <c r="N4" s="2228"/>
      <c r="O4" s="2219"/>
      <c r="P4" s="2219"/>
    </row>
    <row r="5" spans="1:16" ht="14.25">
      <c r="A5" s="22" t="s">
        <v>649</v>
      </c>
      <c r="B5" s="3491" t="s">
        <v>650</v>
      </c>
      <c r="C5" s="3491"/>
      <c r="D5" s="337">
        <f>ROUND($D$3*E5/$E$3,2)</f>
        <v>0</v>
      </c>
      <c r="E5" s="338">
        <f>SUMIF('数据-基础表'!$11:$11,"住宅",'数据-基础表'!$5:$5)</f>
        <v>0</v>
      </c>
      <c r="F5" s="2219"/>
      <c r="G5" s="441"/>
      <c r="H5" s="439" t="s">
        <v>647</v>
      </c>
      <c r="I5" s="344">
        <f>ROUND(E31/D31,2)</f>
        <v>0.85</v>
      </c>
      <c r="J5" s="2219"/>
      <c r="K5" s="2219"/>
      <c r="L5" s="2219"/>
      <c r="M5" s="2219"/>
      <c r="N5" s="2219"/>
      <c r="O5" s="2219"/>
      <c r="P5" s="2219"/>
    </row>
    <row r="6" spans="1:16" ht="15" thickBot="1">
      <c r="A6" s="24"/>
      <c r="B6" s="3491" t="s">
        <v>651</v>
      </c>
      <c r="C6" s="3491"/>
      <c r="D6" s="337">
        <f>ROUND($D$3*E6/$E$3,2)</f>
        <v>104051.87</v>
      </c>
      <c r="E6" s="338">
        <f>E3-E5</f>
        <v>88021.11</v>
      </c>
      <c r="F6" s="2219"/>
      <c r="G6" s="1753" t="s">
        <v>1795</v>
      </c>
      <c r="H6" s="441" t="s">
        <v>648</v>
      </c>
      <c r="I6" s="1754">
        <f>ROUND(F31/D31,2)</f>
        <v>0.66</v>
      </c>
      <c r="J6" s="2219"/>
      <c r="K6" s="2219"/>
      <c r="L6" s="2219"/>
      <c r="M6" s="2219"/>
      <c r="N6" s="2219"/>
      <c r="O6" s="2219"/>
      <c r="P6" s="2219"/>
    </row>
    <row r="7" spans="1:16" ht="14.25">
      <c r="A7" s="3483"/>
      <c r="B7" s="3484"/>
      <c r="C7" s="3485"/>
      <c r="D7" s="20" t="s">
        <v>643</v>
      </c>
      <c r="E7" s="25" t="s">
        <v>644</v>
      </c>
      <c r="F7" s="2219"/>
      <c r="G7" s="1179" t="s">
        <v>1874</v>
      </c>
      <c r="H7" s="38"/>
      <c r="I7" s="762"/>
      <c r="J7" s="2219"/>
      <c r="K7" s="2219"/>
      <c r="L7" s="2219"/>
      <c r="M7" s="2219"/>
      <c r="N7" s="2219"/>
      <c r="O7" s="2219"/>
      <c r="P7" s="2219"/>
    </row>
    <row r="8" spans="1:16" ht="14.25">
      <c r="A8" s="22" t="s">
        <v>652</v>
      </c>
      <c r="B8" s="26" t="s">
        <v>653</v>
      </c>
      <c r="C8" s="23" t="s">
        <v>654</v>
      </c>
      <c r="D8" s="337">
        <f t="shared" ref="D8:D15" si="0">ROUND($D$3*E8/$E$3,2)</f>
        <v>73354.47</v>
      </c>
      <c r="E8" s="340">
        <f>SUMIF('数据-基础表'!BB10:BK10,"地上",'数据-基础表'!BB5:BK5)</f>
        <v>62053.11</v>
      </c>
      <c r="F8" s="2219"/>
      <c r="G8" s="2220"/>
      <c r="H8" s="2220"/>
      <c r="I8" s="2219"/>
      <c r="J8" s="2219"/>
      <c r="K8" s="2219"/>
      <c r="L8" s="2219"/>
      <c r="M8" s="2219"/>
      <c r="N8" s="2219"/>
      <c r="O8" s="2219"/>
      <c r="P8" s="2219"/>
    </row>
    <row r="9" spans="1:16" ht="14.25">
      <c r="A9" s="27"/>
      <c r="B9" s="28"/>
      <c r="C9" s="23" t="s">
        <v>655</v>
      </c>
      <c r="D9" s="337">
        <f t="shared" si="0"/>
        <v>0</v>
      </c>
      <c r="E9" s="341">
        <f>'数据-基础表'!AL258</f>
        <v>0</v>
      </c>
      <c r="F9" s="2219"/>
      <c r="G9" s="2220"/>
      <c r="H9" s="2220"/>
      <c r="I9" s="2219"/>
      <c r="J9" s="2219"/>
      <c r="K9" s="2219"/>
      <c r="L9" s="2219"/>
      <c r="M9" s="2219"/>
      <c r="N9" s="2219"/>
      <c r="O9" s="2219"/>
      <c r="P9" s="2219"/>
    </row>
    <row r="10" spans="1:16" ht="14.25">
      <c r="A10" s="27"/>
      <c r="B10" s="28"/>
      <c r="C10" s="23" t="s">
        <v>656</v>
      </c>
      <c r="D10" s="337">
        <f t="shared" si="0"/>
        <v>0</v>
      </c>
      <c r="E10" s="340">
        <f>SUMPRODUCT(('数据-基础表'!BB10:BK10="地下")*('数据-基础表'!BB11:BK11="商业")*('数据-基础表'!BB5:BK5))</f>
        <v>0</v>
      </c>
      <c r="F10" s="2219"/>
      <c r="G10" s="2220"/>
      <c r="H10" s="2220"/>
      <c r="I10" s="2219"/>
      <c r="J10" s="2219"/>
      <c r="K10" s="2219"/>
      <c r="L10" s="2219"/>
      <c r="M10" s="2219"/>
      <c r="N10" s="2219"/>
      <c r="O10" s="2219"/>
      <c r="P10" s="2219"/>
    </row>
    <row r="11" spans="1:16" ht="14.25">
      <c r="A11" s="27"/>
      <c r="B11" s="28"/>
      <c r="C11" s="23" t="s">
        <v>2405</v>
      </c>
      <c r="D11" s="337">
        <f t="shared" si="0"/>
        <v>0</v>
      </c>
      <c r="E11" s="340">
        <f>SUMPRODUCT(('数据-基础表'!BB10:BK10="地下")*('数据-基础表'!BB11:BK11="办公")*('数据-基础表'!BB5:BK5))+'数据-基础表'!BP5</f>
        <v>0</v>
      </c>
      <c r="F11" s="2219"/>
      <c r="G11" s="2220"/>
      <c r="H11" s="2220"/>
      <c r="I11" s="2219"/>
      <c r="J11" s="2219"/>
      <c r="K11" s="2219"/>
      <c r="L11" s="2219"/>
      <c r="M11" s="2219"/>
      <c r="N11" s="2219"/>
      <c r="O11" s="2219"/>
      <c r="P11" s="2219"/>
    </row>
    <row r="12" spans="1:16" ht="14.25">
      <c r="A12" s="27"/>
      <c r="B12" s="28"/>
      <c r="C12" s="23" t="s">
        <v>657</v>
      </c>
      <c r="D12" s="337">
        <f t="shared" si="0"/>
        <v>0</v>
      </c>
      <c r="E12" s="340">
        <f>SUMPRODUCT(('数据-基础表'!BB10:BK10="地下")*('数据-基础表'!BB11:BK11="仓储")*('数据-基础表'!BB5:BK5))</f>
        <v>0</v>
      </c>
      <c r="F12" s="2219"/>
      <c r="G12" s="2220"/>
      <c r="H12" s="2220"/>
      <c r="I12" s="2219"/>
      <c r="J12" s="2219"/>
      <c r="K12" s="2219"/>
      <c r="L12" s="2219"/>
      <c r="M12" s="2219"/>
      <c r="N12" s="2219"/>
      <c r="O12" s="2219"/>
      <c r="P12" s="2219"/>
    </row>
    <row r="13" spans="1:16" ht="14.25">
      <c r="A13" s="27"/>
      <c r="B13" s="28"/>
      <c r="C13" s="23" t="s">
        <v>658</v>
      </c>
      <c r="D13" s="337">
        <f t="shared" si="0"/>
        <v>0</v>
      </c>
      <c r="E13" s="340">
        <f>SUMPRODUCT(('数据-基础表'!BB10:BK10="地下")*('数据-基础表'!BB11:BK11="车库")*('数据-基础表'!BB5:BK5))</f>
        <v>0</v>
      </c>
      <c r="F13" s="2219"/>
      <c r="G13" s="2220"/>
      <c r="H13" s="2220"/>
      <c r="I13" s="2219"/>
      <c r="J13" s="2219"/>
      <c r="K13" s="2219"/>
      <c r="L13" s="2219"/>
      <c r="M13" s="2219"/>
      <c r="N13" s="2219"/>
      <c r="O13" s="2219"/>
      <c r="P13" s="2219"/>
    </row>
    <row r="14" spans="1:16" ht="14.25">
      <c r="A14" s="27"/>
      <c r="B14" s="28"/>
      <c r="C14" s="23" t="s">
        <v>659</v>
      </c>
      <c r="D14" s="337">
        <f t="shared" si="0"/>
        <v>0</v>
      </c>
      <c r="E14" s="340">
        <f>SUMPRODUCT(('数据-基础表'!BB10:BK10="地下")*('数据-基础表'!BB11:BK11="车库—商业")*('数据-基础表'!BB5:BK5))</f>
        <v>0</v>
      </c>
      <c r="F14" s="2219"/>
      <c r="G14" s="2220"/>
      <c r="H14" s="2220"/>
      <c r="I14" s="2219"/>
      <c r="J14" s="2219"/>
      <c r="K14" s="2219"/>
      <c r="L14" s="2219"/>
      <c r="M14" s="2219"/>
      <c r="N14" s="2219"/>
      <c r="O14" s="2219"/>
      <c r="P14" s="2219"/>
    </row>
    <row r="15" spans="1:16" ht="15" thickBot="1">
      <c r="A15" s="27"/>
      <c r="B15" s="28"/>
      <c r="C15" s="23" t="s">
        <v>660</v>
      </c>
      <c r="D15" s="337">
        <f t="shared" si="0"/>
        <v>0</v>
      </c>
      <c r="E15" s="340">
        <f>SUMPRODUCT(('数据-基础表'!BB10:BK10="地下")*('数据-基础表'!BB11:BK11="车库—办公")*('数据-基础表'!BB5:BK5))</f>
        <v>0</v>
      </c>
      <c r="F15" s="2219"/>
      <c r="G15" s="2220"/>
      <c r="H15" s="2220"/>
      <c r="I15" s="2219"/>
      <c r="J15" s="2219"/>
      <c r="K15" s="2219"/>
      <c r="L15" s="2219"/>
      <c r="M15" s="2219"/>
      <c r="N15" s="2219"/>
      <c r="O15" s="2219"/>
      <c r="P15" s="2219"/>
    </row>
    <row r="16" spans="1:16" ht="15" thickBot="1">
      <c r="A16" s="24"/>
      <c r="B16" s="28"/>
      <c r="C16" s="26" t="s">
        <v>661</v>
      </c>
      <c r="D16" s="339">
        <f>SUM(D8:D15)</f>
        <v>73354.47</v>
      </c>
      <c r="E16" s="342">
        <f>SUM(E8:E15)</f>
        <v>62053.11</v>
      </c>
      <c r="F16" s="2219"/>
      <c r="G16" s="2220"/>
      <c r="H16" s="1178" t="s">
        <v>532</v>
      </c>
      <c r="I16" s="1182"/>
      <c r="J16" s="2219"/>
      <c r="K16" s="3480" t="s">
        <v>532</v>
      </c>
      <c r="L16" s="3481"/>
      <c r="M16" s="3481"/>
      <c r="N16" s="3481"/>
      <c r="O16" s="3481"/>
      <c r="P16" s="3482"/>
    </row>
    <row r="17" spans="1:19" ht="14.25">
      <c r="A17" s="29" t="s">
        <v>662</v>
      </c>
      <c r="B17" s="30" t="s">
        <v>663</v>
      </c>
      <c r="C17" s="34" t="s">
        <v>2396</v>
      </c>
      <c r="D17" s="2069" t="s">
        <v>643</v>
      </c>
      <c r="E17" s="2067" t="s">
        <v>644</v>
      </c>
      <c r="F17" s="36"/>
      <c r="G17" s="37"/>
      <c r="H17" s="1183" t="s">
        <v>664</v>
      </c>
      <c r="I17" s="1184" t="s">
        <v>204</v>
      </c>
      <c r="J17" s="2219"/>
      <c r="K17" s="3477" t="s">
        <v>670</v>
      </c>
      <c r="L17" s="3478"/>
      <c r="M17" s="3479"/>
      <c r="N17" s="3477" t="s">
        <v>2698</v>
      </c>
      <c r="O17" s="3478"/>
      <c r="P17" s="3479"/>
      <c r="R17" s="2479" t="s">
        <v>2397</v>
      </c>
      <c r="S17" s="354"/>
    </row>
    <row r="18" spans="1:19">
      <c r="A18" s="27"/>
      <c r="B18" s="31"/>
      <c r="C18" s="35"/>
      <c r="D18" s="2070"/>
      <c r="E18" s="2068" t="s">
        <v>665</v>
      </c>
      <c r="F18" s="15" t="s">
        <v>666</v>
      </c>
      <c r="G18" s="16" t="s">
        <v>667</v>
      </c>
      <c r="H18" s="1185" t="s">
        <v>668</v>
      </c>
      <c r="I18" s="1186" t="s">
        <v>669</v>
      </c>
      <c r="J18" s="2219"/>
      <c r="K18" s="1185" t="s">
        <v>2691</v>
      </c>
      <c r="L18" s="6" t="s">
        <v>2699</v>
      </c>
      <c r="M18" s="2800" t="s">
        <v>2697</v>
      </c>
      <c r="N18" s="1185" t="s">
        <v>2691</v>
      </c>
      <c r="O18" s="6" t="s">
        <v>2699</v>
      </c>
      <c r="P18" s="2800" t="s">
        <v>2697</v>
      </c>
      <c r="R18" s="2480" t="s">
        <v>2398</v>
      </c>
      <c r="S18" s="2480" t="s">
        <v>2399</v>
      </c>
    </row>
    <row r="19" spans="1:19" ht="14.25">
      <c r="A19" s="32"/>
      <c r="B19" s="26" t="s">
        <v>119</v>
      </c>
      <c r="C19" s="1420"/>
      <c r="D19" s="337">
        <f>ROUND($D$3*E19/$E$3,2)</f>
        <v>0</v>
      </c>
      <c r="E19" s="345">
        <f t="shared" ref="E19:E26" si="1">SUM(F19:G19)</f>
        <v>0</v>
      </c>
      <c r="F19" s="346"/>
      <c r="G19" s="347"/>
      <c r="H19" s="1132">
        <f>ROUND($D$3*I19/$E$3,2)</f>
        <v>0</v>
      </c>
      <c r="I19" s="340">
        <f t="shared" ref="I19:I26" si="2">IF($I$17="自定义",P19,M19)</f>
        <v>0</v>
      </c>
      <c r="J19" s="2219"/>
      <c r="K19" s="2801">
        <f t="shared" ref="K19:K26" si="3">ROUND(E$28*E19/E$27,2)</f>
        <v>0</v>
      </c>
      <c r="L19" s="2481">
        <f t="shared" ref="L19:L26" si="4">ROUND(IF(COUNTIF(C19,"*住宅*")&gt;0,E$29*E19/E$32,0),2)</f>
        <v>0</v>
      </c>
      <c r="M19" s="2819">
        <f>K19+L19</f>
        <v>0</v>
      </c>
      <c r="N19" s="2817"/>
      <c r="O19" s="2799"/>
      <c r="P19" s="2802">
        <f>N19+O19</f>
        <v>0</v>
      </c>
      <c r="R19" s="2481">
        <f t="shared" ref="R19:S26" si="5">D19+H19</f>
        <v>0</v>
      </c>
      <c r="S19" s="2482">
        <f t="shared" si="5"/>
        <v>0</v>
      </c>
    </row>
    <row r="20" spans="1:19" ht="14.25">
      <c r="A20" s="33"/>
      <c r="B20" s="26" t="s">
        <v>636</v>
      </c>
      <c r="C20" s="1420" t="s">
        <v>3269</v>
      </c>
      <c r="D20" s="337">
        <f t="shared" ref="D20:D26" si="6">ROUND($D$3*E20/$E$3,2)</f>
        <v>73354.47</v>
      </c>
      <c r="E20" s="345">
        <f t="shared" si="1"/>
        <v>62053.11</v>
      </c>
      <c r="F20" s="346">
        <f>'数据-基础表'!I14+'数据-基础表'!I15+'数据-基础表'!I16</f>
        <v>62053.11</v>
      </c>
      <c r="G20" s="347"/>
      <c r="H20" s="1132">
        <f t="shared" ref="H20:H26" si="7">ROUND($D$3*I20/$E$3,2)</f>
        <v>30697.4</v>
      </c>
      <c r="I20" s="340">
        <f t="shared" si="2"/>
        <v>25968</v>
      </c>
      <c r="J20" s="2219"/>
      <c r="K20" s="2801">
        <f t="shared" si="3"/>
        <v>25968</v>
      </c>
      <c r="L20" s="2481">
        <f t="shared" si="4"/>
        <v>0</v>
      </c>
      <c r="M20" s="2819">
        <f t="shared" ref="M20:M26" si="8">K20+L20</f>
        <v>25968</v>
      </c>
      <c r="N20" s="2817"/>
      <c r="O20" s="2799"/>
      <c r="P20" s="2802">
        <f t="shared" ref="P20:P26" si="9">N20+O20</f>
        <v>0</v>
      </c>
      <c r="R20" s="2481">
        <f t="shared" si="5"/>
        <v>104051.87</v>
      </c>
      <c r="S20" s="2482">
        <f t="shared" si="5"/>
        <v>88021.11</v>
      </c>
    </row>
    <row r="21" spans="1:19" ht="14.25">
      <c r="A21" s="33"/>
      <c r="B21" s="26" t="s">
        <v>636</v>
      </c>
      <c r="C21" s="1420"/>
      <c r="D21" s="337">
        <f t="shared" si="6"/>
        <v>0</v>
      </c>
      <c r="E21" s="345">
        <f t="shared" si="1"/>
        <v>0</v>
      </c>
      <c r="F21" s="346"/>
      <c r="G21" s="347"/>
      <c r="H21" s="1132">
        <f t="shared" si="7"/>
        <v>0</v>
      </c>
      <c r="I21" s="340">
        <f t="shared" si="2"/>
        <v>0</v>
      </c>
      <c r="J21" s="2219"/>
      <c r="K21" s="2801">
        <f t="shared" si="3"/>
        <v>0</v>
      </c>
      <c r="L21" s="2481">
        <f t="shared" si="4"/>
        <v>0</v>
      </c>
      <c r="M21" s="2819">
        <f t="shared" si="8"/>
        <v>0</v>
      </c>
      <c r="N21" s="2817"/>
      <c r="O21" s="2799"/>
      <c r="P21" s="2802">
        <f t="shared" si="9"/>
        <v>0</v>
      </c>
      <c r="R21" s="2481">
        <f t="shared" si="5"/>
        <v>0</v>
      </c>
      <c r="S21" s="2482">
        <f t="shared" si="5"/>
        <v>0</v>
      </c>
    </row>
    <row r="22" spans="1:19" ht="14.25">
      <c r="A22" s="33"/>
      <c r="B22" s="26" t="s">
        <v>636</v>
      </c>
      <c r="C22" s="1420"/>
      <c r="D22" s="337">
        <f t="shared" si="6"/>
        <v>0</v>
      </c>
      <c r="E22" s="345">
        <f t="shared" si="1"/>
        <v>0</v>
      </c>
      <c r="F22" s="346"/>
      <c r="G22" s="351"/>
      <c r="H22" s="1132">
        <f t="shared" si="7"/>
        <v>0</v>
      </c>
      <c r="I22" s="340">
        <f t="shared" si="2"/>
        <v>0</v>
      </c>
      <c r="J22" s="2219"/>
      <c r="K22" s="2801">
        <f t="shared" si="3"/>
        <v>0</v>
      </c>
      <c r="L22" s="2481">
        <f t="shared" si="4"/>
        <v>0</v>
      </c>
      <c r="M22" s="2819">
        <f t="shared" si="8"/>
        <v>0</v>
      </c>
      <c r="N22" s="2817"/>
      <c r="O22" s="2799"/>
      <c r="P22" s="2802">
        <f t="shared" si="9"/>
        <v>0</v>
      </c>
      <c r="R22" s="2481">
        <f t="shared" si="5"/>
        <v>0</v>
      </c>
      <c r="S22" s="2482">
        <f t="shared" si="5"/>
        <v>0</v>
      </c>
    </row>
    <row r="23" spans="1:19" ht="14.25">
      <c r="A23" s="33"/>
      <c r="B23" s="26" t="s">
        <v>636</v>
      </c>
      <c r="C23" s="349"/>
      <c r="D23" s="337">
        <f>ROUND($D$3*E23/$E$3,2)</f>
        <v>0</v>
      </c>
      <c r="E23" s="345">
        <f>SUM(F23:G23)</f>
        <v>0</v>
      </c>
      <c r="F23" s="350"/>
      <c r="G23" s="351"/>
      <c r="H23" s="1132">
        <f>ROUND($D$3*I23/$E$3,2)</f>
        <v>0</v>
      </c>
      <c r="I23" s="340">
        <f t="shared" si="2"/>
        <v>0</v>
      </c>
      <c r="J23" s="2219"/>
      <c r="K23" s="2801">
        <f t="shared" si="3"/>
        <v>0</v>
      </c>
      <c r="L23" s="2481">
        <f t="shared" si="4"/>
        <v>0</v>
      </c>
      <c r="M23" s="2819">
        <f t="shared" si="8"/>
        <v>0</v>
      </c>
      <c r="N23" s="2817"/>
      <c r="O23" s="2799"/>
      <c r="P23" s="2802">
        <f t="shared" si="9"/>
        <v>0</v>
      </c>
      <c r="R23" s="2481">
        <f t="shared" si="5"/>
        <v>0</v>
      </c>
      <c r="S23" s="2482">
        <f t="shared" si="5"/>
        <v>0</v>
      </c>
    </row>
    <row r="24" spans="1:19" ht="14.25">
      <c r="A24" s="33"/>
      <c r="B24" s="26" t="s">
        <v>636</v>
      </c>
      <c r="C24" s="349"/>
      <c r="D24" s="337">
        <f>ROUND($D$3*E24/$E$3,2)</f>
        <v>0</v>
      </c>
      <c r="E24" s="345">
        <f>SUM(F24:G24)</f>
        <v>0</v>
      </c>
      <c r="F24" s="350"/>
      <c r="G24" s="351"/>
      <c r="H24" s="1132">
        <f>ROUND($D$3*I24/$E$3,2)</f>
        <v>0</v>
      </c>
      <c r="I24" s="340">
        <f t="shared" si="2"/>
        <v>0</v>
      </c>
      <c r="J24" s="2219"/>
      <c r="K24" s="2801">
        <f t="shared" si="3"/>
        <v>0</v>
      </c>
      <c r="L24" s="2481">
        <f t="shared" si="4"/>
        <v>0</v>
      </c>
      <c r="M24" s="2819">
        <f t="shared" si="8"/>
        <v>0</v>
      </c>
      <c r="N24" s="2817"/>
      <c r="O24" s="2799"/>
      <c r="P24" s="2802">
        <f t="shared" si="9"/>
        <v>0</v>
      </c>
      <c r="R24" s="2481">
        <f t="shared" si="5"/>
        <v>0</v>
      </c>
      <c r="S24" s="2482">
        <f t="shared" si="5"/>
        <v>0</v>
      </c>
    </row>
    <row r="25" spans="1:19" ht="14.25">
      <c r="A25" s="33"/>
      <c r="B25" s="26" t="s">
        <v>636</v>
      </c>
      <c r="C25" s="349"/>
      <c r="D25" s="337">
        <f t="shared" si="6"/>
        <v>0</v>
      </c>
      <c r="E25" s="345">
        <f t="shared" si="1"/>
        <v>0</v>
      </c>
      <c r="F25" s="350"/>
      <c r="G25" s="351"/>
      <c r="H25" s="336">
        <f t="shared" si="7"/>
        <v>0</v>
      </c>
      <c r="I25" s="340">
        <f t="shared" si="2"/>
        <v>0</v>
      </c>
      <c r="J25" s="2219"/>
      <c r="K25" s="2801">
        <f t="shared" si="3"/>
        <v>0</v>
      </c>
      <c r="L25" s="2481">
        <f t="shared" si="4"/>
        <v>0</v>
      </c>
      <c r="M25" s="2819">
        <f t="shared" si="8"/>
        <v>0</v>
      </c>
      <c r="N25" s="2817"/>
      <c r="O25" s="2799"/>
      <c r="P25" s="2802">
        <f t="shared" si="9"/>
        <v>0</v>
      </c>
      <c r="R25" s="2481">
        <f t="shared" si="5"/>
        <v>0</v>
      </c>
      <c r="S25" s="2482">
        <f t="shared" si="5"/>
        <v>0</v>
      </c>
    </row>
    <row r="26" spans="1:19" ht="14.25">
      <c r="A26" s="33"/>
      <c r="B26" s="26" t="s">
        <v>636</v>
      </c>
      <c r="C26" s="353"/>
      <c r="D26" s="337">
        <f t="shared" si="6"/>
        <v>0</v>
      </c>
      <c r="E26" s="345">
        <f t="shared" si="1"/>
        <v>0</v>
      </c>
      <c r="F26" s="350"/>
      <c r="G26" s="351"/>
      <c r="H26" s="336">
        <f t="shared" si="7"/>
        <v>0</v>
      </c>
      <c r="I26" s="340">
        <f t="shared" si="2"/>
        <v>0</v>
      </c>
      <c r="J26" s="2219"/>
      <c r="K26" s="2810">
        <f t="shared" si="3"/>
        <v>0</v>
      </c>
      <c r="L26" s="2811">
        <f t="shared" si="4"/>
        <v>0</v>
      </c>
      <c r="M26" s="357">
        <f t="shared" si="8"/>
        <v>0</v>
      </c>
      <c r="N26" s="2818"/>
      <c r="O26" s="2812"/>
      <c r="P26" s="2813">
        <f t="shared" si="9"/>
        <v>0</v>
      </c>
      <c r="R26" s="2481">
        <f t="shared" si="5"/>
        <v>0</v>
      </c>
      <c r="S26" s="2482">
        <f t="shared" si="5"/>
        <v>0</v>
      </c>
    </row>
    <row r="27" spans="1:19" ht="15.75" thickBot="1">
      <c r="A27" s="33"/>
      <c r="B27" s="23"/>
      <c r="C27" s="2772" t="s">
        <v>637</v>
      </c>
      <c r="D27" s="2804">
        <f>SUM(D19:D26)</f>
        <v>73354.47</v>
      </c>
      <c r="E27" s="2805">
        <f>IF(SUM(E19:E26)='数据-基础表'!BA5,SUM(E19:E26),IF(F27="地上面积有误","面积有误","地下面积有误"))</f>
        <v>62053.11</v>
      </c>
      <c r="F27" s="2804">
        <f>IF(SUM(F19:F26)=E8,SUM(F19:F26),"地上面积有误")</f>
        <v>62053.11</v>
      </c>
      <c r="G27" s="2806">
        <f>SUM(G19:G26)</f>
        <v>0</v>
      </c>
      <c r="H27" s="2807">
        <f>SUM(H19:H26)</f>
        <v>30697.4</v>
      </c>
      <c r="I27" s="2808">
        <f>SUM(I19:I26)</f>
        <v>25968</v>
      </c>
      <c r="J27" s="2219"/>
      <c r="K27" s="2814">
        <f>SUM(K19:K26)</f>
        <v>25968</v>
      </c>
      <c r="L27" s="2815">
        <f>SUM(L19:L26)</f>
        <v>0</v>
      </c>
      <c r="M27" s="2820">
        <f>SUM(M19:M26)</f>
        <v>25968</v>
      </c>
      <c r="N27" s="2814">
        <f t="shared" ref="N27:O27" si="10">SUM(N19:N26)</f>
        <v>0</v>
      </c>
      <c r="O27" s="2815">
        <f t="shared" si="10"/>
        <v>0</v>
      </c>
      <c r="P27" s="2816">
        <f>SUM(P19:P26)</f>
        <v>0</v>
      </c>
      <c r="R27" s="2483">
        <f>IF(SUM(R19:R26)=$D$3,SUM(R19:R26),SUM(R19:R26)&amp;"误差"&amp;ROUND(SUM(R19:R26)-$D$3,2))</f>
        <v>104051.87</v>
      </c>
      <c r="S27" s="2481">
        <f>IF(SUM(S19:S26)=$E$3,SUM(S19:S26),SUM(S19:S26)&amp;"误差"&amp;ROUND(SUM(S19:S26)-E3,2))</f>
        <v>88021.11</v>
      </c>
    </row>
    <row r="28" spans="1:19" ht="14.25">
      <c r="A28" s="33"/>
      <c r="B28" s="26" t="s">
        <v>638</v>
      </c>
      <c r="C28" s="5" t="s">
        <v>639</v>
      </c>
      <c r="D28" s="337">
        <f>ROUND($D$3*E28/$E$3,2)</f>
        <v>30697.4</v>
      </c>
      <c r="E28" s="345">
        <f>SUM(F28:G28)</f>
        <v>25968</v>
      </c>
      <c r="F28" s="354">
        <f>'数据-基础表'!BQ5+'数据-基础表'!BS5</f>
        <v>6564</v>
      </c>
      <c r="G28" s="355">
        <f>'数据-基础表'!BR5+'数据-基础表'!BT5</f>
        <v>19404</v>
      </c>
      <c r="H28" s="2219"/>
      <c r="I28" s="2219"/>
      <c r="J28" s="2219"/>
      <c r="K28" s="2219"/>
      <c r="L28" s="2219"/>
      <c r="M28" s="2219"/>
      <c r="N28" s="2803"/>
      <c r="O28" s="2803"/>
      <c r="P28" s="2219"/>
    </row>
    <row r="29" spans="1:19" ht="14.25">
      <c r="A29" s="33"/>
      <c r="B29" s="26" t="s">
        <v>638</v>
      </c>
      <c r="C29" s="13" t="s">
        <v>2400</v>
      </c>
      <c r="D29" s="337">
        <f>ROUND($D$3*E29/$E$3,2)</f>
        <v>0</v>
      </c>
      <c r="E29" s="345">
        <f>SUM(F29:G29)</f>
        <v>0</v>
      </c>
      <c r="F29" s="356">
        <f>'数据-基础表'!BM5+'数据-基础表'!BO5</f>
        <v>0</v>
      </c>
      <c r="G29" s="357">
        <f>'数据-基础表'!BN5+'数据-基础表'!BP5</f>
        <v>0</v>
      </c>
      <c r="H29" s="2219"/>
      <c r="I29" s="2219"/>
      <c r="J29" s="2219"/>
      <c r="K29" s="2219"/>
      <c r="L29" s="2219"/>
      <c r="M29" s="2219"/>
      <c r="N29" s="2803"/>
      <c r="O29" s="2803"/>
      <c r="P29" s="2219"/>
    </row>
    <row r="30" spans="1:19" ht="15">
      <c r="A30" s="33"/>
      <c r="B30" s="26"/>
      <c r="C30" s="2809" t="s">
        <v>637</v>
      </c>
      <c r="D30" s="2804">
        <f>SUM(D28:D29)</f>
        <v>30697.4</v>
      </c>
      <c r="E30" s="2804">
        <f>SUM(E28:E29)</f>
        <v>25968</v>
      </c>
      <c r="F30" s="2804">
        <f>SUM(F28:F29)</f>
        <v>6564</v>
      </c>
      <c r="G30" s="2806">
        <f>SUM(G28:G29)</f>
        <v>19404</v>
      </c>
      <c r="H30" s="2219"/>
      <c r="I30" s="2219"/>
      <c r="J30" s="2219"/>
      <c r="K30" s="2219"/>
      <c r="L30" s="2219"/>
      <c r="M30" s="2219"/>
      <c r="N30" s="2803"/>
      <c r="O30" s="2803"/>
      <c r="P30" s="2219"/>
    </row>
    <row r="31" spans="1:19" ht="15.75" thickBot="1">
      <c r="A31" s="1187"/>
      <c r="B31" s="2520"/>
      <c r="C31" s="2521" t="s">
        <v>640</v>
      </c>
      <c r="D31" s="1188">
        <f>D27+D30</f>
        <v>104051.87</v>
      </c>
      <c r="E31" s="1188">
        <f>E27+E30</f>
        <v>88021.11</v>
      </c>
      <c r="F31" s="1189">
        <f>F27+F30</f>
        <v>68617.11</v>
      </c>
      <c r="G31" s="1190">
        <f>G27+G30</f>
        <v>19404</v>
      </c>
      <c r="H31" s="2219"/>
      <c r="I31" s="2219"/>
      <c r="J31" s="2219"/>
      <c r="K31" s="2219"/>
      <c r="L31" s="2219"/>
      <c r="M31" s="2219"/>
      <c r="N31" s="2219"/>
      <c r="O31" s="2219"/>
      <c r="P31" s="2219"/>
    </row>
    <row r="32" spans="1:19" ht="14.25">
      <c r="A32" s="1181"/>
      <c r="B32" s="1181" t="s">
        <v>2712</v>
      </c>
      <c r="C32" s="1181"/>
      <c r="D32" s="1181"/>
      <c r="E32" s="2519">
        <f>SUMIF(C19:C26,"*住宅*",E19:E26)</f>
        <v>0</v>
      </c>
      <c r="F32" s="1181"/>
      <c r="G32" s="1181"/>
      <c r="H32" s="2219"/>
      <c r="I32" s="2219"/>
      <c r="J32" s="2219"/>
      <c r="K32" s="2219"/>
      <c r="L32" s="2219"/>
      <c r="M32" s="2219"/>
      <c r="N32" s="2219"/>
      <c r="O32" s="2219"/>
      <c r="P32" s="2219"/>
    </row>
    <row r="33" spans="4:4">
      <c r="D33" s="222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tabSelected="1" zoomScale="90" zoomScaleNormal="90" zoomScaleSheetLayoutView="90" workbookViewId="0">
      <pane xSplit="3" ySplit="5" topLeftCell="D10" activePane="bottomRight" state="frozen"/>
      <selection activeCell="C50" sqref="C50"/>
      <selection pane="topRight" activeCell="C50" sqref="C50"/>
      <selection pane="bottomLeft" activeCell="C50" sqref="C50"/>
      <selection pane="bottomRight" activeCell="A7" sqref="A7"/>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9.37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23" width="11" style="1193" customWidth="1"/>
    <col min="24" max="24" width="6.75" style="1193" customWidth="1"/>
    <col min="25" max="25" width="15" style="1193" customWidth="1"/>
    <col min="26" max="30" width="6.75" style="1193" hidden="1" customWidth="1"/>
    <col min="31" max="31" width="8" style="1193" customWidth="1"/>
    <col min="32" max="34" width="7.25" style="1193" customWidth="1"/>
    <col min="35" max="36" width="8" style="1193" customWidth="1"/>
    <col min="37" max="37" width="11.5" style="1193" customWidth="1"/>
    <col min="38" max="38" width="11.375" style="1193" customWidth="1"/>
    <col min="39" max="39" width="8" style="1193" customWidth="1"/>
    <col min="40" max="40" width="13.75" style="2232"/>
    <col min="41" max="41" width="11.625" style="2232" customWidth="1"/>
    <col min="42" max="42" width="9.75" style="2232" customWidth="1"/>
    <col min="43" max="44" width="13.875" style="2232" bestFit="1" customWidth="1"/>
    <col min="45" max="67" width="13.75" style="2232"/>
    <col min="68" max="16384" width="13.75" style="1193"/>
  </cols>
  <sheetData>
    <row r="1" spans="1:67" ht="19.5" thickBot="1">
      <c r="A1" s="44" t="s">
        <v>671</v>
      </c>
      <c r="B1" s="1192"/>
      <c r="C1" s="2223"/>
      <c r="D1" s="2224"/>
      <c r="E1" s="2223"/>
      <c r="F1" s="2223"/>
      <c r="G1" s="2223"/>
      <c r="H1" s="2223"/>
      <c r="I1" s="2223"/>
      <c r="J1" s="2223"/>
      <c r="K1" s="2225"/>
      <c r="L1" s="2225"/>
      <c r="M1" s="2223"/>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c r="AL1" s="2223"/>
      <c r="AM1" s="2223"/>
    </row>
    <row r="2" spans="1:67" s="1195" customFormat="1" ht="15" thickBot="1">
      <c r="A2" s="45" t="s">
        <v>672</v>
      </c>
      <c r="B2" s="2510">
        <f>项目基本情况!D3</f>
        <v>42941</v>
      </c>
      <c r="C2" s="2226"/>
      <c r="D2" s="2227"/>
      <c r="E2" s="2226"/>
      <c r="F2" s="2226"/>
      <c r="G2" s="2226"/>
      <c r="H2" s="2226"/>
      <c r="I2" s="2226"/>
      <c r="J2" s="2226"/>
      <c r="K2" s="2228"/>
      <c r="L2" s="2228"/>
      <c r="M2" s="2226"/>
      <c r="N2" s="2226"/>
      <c r="O2" s="2226"/>
      <c r="P2" s="2226"/>
      <c r="Q2" s="2226"/>
      <c r="R2" s="2226"/>
      <c r="S2" s="2226"/>
      <c r="T2" s="2226"/>
      <c r="U2" s="2226"/>
      <c r="V2" s="2226"/>
      <c r="W2" s="2226"/>
      <c r="X2" s="2226"/>
      <c r="Y2" s="2226"/>
      <c r="Z2" s="2226"/>
      <c r="AA2" s="2226"/>
      <c r="AB2" s="2226"/>
      <c r="AC2" s="2226"/>
      <c r="AD2" s="2226"/>
      <c r="AE2" s="2226"/>
      <c r="AF2" s="2226"/>
      <c r="AG2" s="2226"/>
      <c r="AH2" s="2226"/>
      <c r="AI2" s="2226"/>
      <c r="AJ2" s="2226"/>
      <c r="AK2" s="2226"/>
      <c r="AL2" s="2226"/>
      <c r="AM2" s="2226"/>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row>
    <row r="3" spans="1:67" s="1195" customFormat="1" ht="14.25" thickBot="1">
      <c r="A3" s="1196"/>
      <c r="B3" s="1194"/>
      <c r="C3" s="2226"/>
      <c r="D3" s="2227"/>
      <c r="E3" s="2226"/>
      <c r="F3" s="2226"/>
      <c r="G3" s="2226"/>
      <c r="H3" s="2226"/>
      <c r="I3" s="2226"/>
      <c r="J3" s="2226"/>
      <c r="K3" s="2228"/>
      <c r="L3" s="2228"/>
      <c r="M3" s="2226"/>
      <c r="N3" s="2226"/>
      <c r="O3" s="2226"/>
      <c r="P3" s="2226"/>
      <c r="Q3" s="2226"/>
      <c r="R3" s="2226"/>
      <c r="S3" s="2226"/>
      <c r="T3" s="2226"/>
      <c r="U3" s="2226"/>
      <c r="V3" s="2226"/>
      <c r="W3" s="2226"/>
      <c r="X3" s="2226"/>
      <c r="Y3" s="2226"/>
      <c r="Z3" s="2226"/>
      <c r="AA3" s="2226"/>
      <c r="AB3" s="2226"/>
      <c r="AC3" s="2226"/>
      <c r="AD3" s="2226"/>
      <c r="AE3" s="2226"/>
      <c r="AF3" s="2226"/>
      <c r="AG3" s="2226"/>
      <c r="AH3" s="2226"/>
      <c r="AI3" s="2226"/>
      <c r="AJ3" s="2226"/>
      <c r="AK3" s="2226"/>
      <c r="AL3" s="2226"/>
      <c r="AM3" s="2226"/>
      <c r="AN3" s="2233"/>
      <c r="AO3" s="2233"/>
      <c r="AP3" s="2233"/>
      <c r="AQ3" s="2233"/>
      <c r="AR3" s="2233"/>
      <c r="AS3" s="2233"/>
      <c r="AT3" s="2233"/>
      <c r="AU3" s="2233"/>
      <c r="AV3" s="2233"/>
      <c r="AW3" s="2233"/>
      <c r="AX3" s="2233"/>
      <c r="AY3" s="2233"/>
      <c r="AZ3" s="2233"/>
      <c r="BA3" s="2233"/>
      <c r="BB3" s="2233"/>
      <c r="BC3" s="2233"/>
      <c r="BD3" s="2233"/>
      <c r="BE3" s="2233"/>
      <c r="BF3" s="2233"/>
      <c r="BG3" s="2233"/>
      <c r="BH3" s="2233"/>
      <c r="BI3" s="2233"/>
      <c r="BJ3" s="2233"/>
      <c r="BK3" s="2233"/>
      <c r="BL3" s="2233"/>
      <c r="BM3" s="2233"/>
      <c r="BN3" s="2233"/>
      <c r="BO3" s="2233"/>
    </row>
    <row r="4" spans="1:67" s="1195" customFormat="1" ht="14.25" thickBot="1">
      <c r="A4" s="46" t="s">
        <v>673</v>
      </c>
      <c r="B4" s="275"/>
      <c r="C4" s="276"/>
      <c r="D4" s="1197"/>
      <c r="E4" s="276" t="s">
        <v>535</v>
      </c>
      <c r="F4" s="276"/>
      <c r="G4" s="276"/>
      <c r="H4" s="276"/>
      <c r="I4" s="276"/>
      <c r="J4" s="277"/>
      <c r="K4" s="1198"/>
      <c r="L4" s="1199"/>
      <c r="M4" s="276"/>
      <c r="N4" s="276" t="s">
        <v>536</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3"/>
      <c r="AO4" s="2233"/>
      <c r="AP4" s="2233"/>
      <c r="AQ4" s="2233"/>
      <c r="AR4" s="2233"/>
      <c r="AS4" s="2233"/>
      <c r="AT4" s="2233"/>
      <c r="AU4" s="2233"/>
      <c r="AV4" s="2233"/>
      <c r="AW4" s="2233"/>
      <c r="AX4" s="2233"/>
      <c r="AY4" s="2233"/>
      <c r="AZ4" s="2233"/>
      <c r="BA4" s="2233"/>
      <c r="BB4" s="2233"/>
      <c r="BC4" s="2233"/>
      <c r="BD4" s="2233"/>
      <c r="BE4" s="2233"/>
      <c r="BF4" s="2233"/>
      <c r="BG4" s="2233"/>
      <c r="BH4" s="2233"/>
      <c r="BI4" s="2233"/>
      <c r="BJ4" s="2233"/>
      <c r="BK4" s="2233"/>
      <c r="BL4" s="2233"/>
      <c r="BM4" s="2233"/>
      <c r="BN4" s="2233"/>
      <c r="BO4" s="2233"/>
    </row>
    <row r="5" spans="1:67" s="1202" customFormat="1" ht="54">
      <c r="A5" s="47" t="s">
        <v>2402</v>
      </c>
      <c r="B5" s="48" t="s">
        <v>677</v>
      </c>
      <c r="C5" s="49" t="s">
        <v>678</v>
      </c>
      <c r="D5" s="50" t="s">
        <v>679</v>
      </c>
      <c r="E5" s="51" t="s">
        <v>680</v>
      </c>
      <c r="F5" s="52" t="s">
        <v>681</v>
      </c>
      <c r="G5" s="51" t="s">
        <v>682</v>
      </c>
      <c r="H5" s="51" t="s">
        <v>683</v>
      </c>
      <c r="I5" s="51" t="s">
        <v>684</v>
      </c>
      <c r="J5" s="53" t="s">
        <v>685</v>
      </c>
      <c r="K5" s="54" t="s">
        <v>686</v>
      </c>
      <c r="L5" s="55" t="s">
        <v>687</v>
      </c>
      <c r="M5" s="56" t="s">
        <v>688</v>
      </c>
      <c r="N5" s="1201" t="s">
        <v>3222</v>
      </c>
      <c r="O5" s="55" t="s">
        <v>689</v>
      </c>
      <c r="P5" s="57" t="s">
        <v>690</v>
      </c>
      <c r="Q5" s="58" t="s">
        <v>691</v>
      </c>
      <c r="R5" s="273" t="s">
        <v>692</v>
      </c>
      <c r="S5" s="59" t="s">
        <v>2692</v>
      </c>
      <c r="T5" s="274" t="s">
        <v>693</v>
      </c>
      <c r="U5" s="2511" t="s">
        <v>2408</v>
      </c>
      <c r="V5" s="51" t="s">
        <v>694</v>
      </c>
      <c r="W5" s="2512" t="s">
        <v>2409</v>
      </c>
      <c r="X5" s="62"/>
      <c r="Y5" s="60" t="s">
        <v>695</v>
      </c>
      <c r="Z5" s="61" t="s">
        <v>696</v>
      </c>
      <c r="AA5" s="51" t="s">
        <v>694</v>
      </c>
      <c r="AB5" s="2512" t="s">
        <v>2409</v>
      </c>
      <c r="AC5" s="62"/>
      <c r="AD5" s="62" t="s">
        <v>695</v>
      </c>
      <c r="AE5" s="14" t="s">
        <v>537</v>
      </c>
      <c r="AF5" s="51" t="s">
        <v>697</v>
      </c>
      <c r="AG5" s="60" t="s">
        <v>698</v>
      </c>
      <c r="AH5" s="14" t="s">
        <v>2413</v>
      </c>
      <c r="AI5" s="61" t="s">
        <v>2329</v>
      </c>
      <c r="AJ5" s="61" t="s">
        <v>699</v>
      </c>
      <c r="AK5" s="2512" t="s">
        <v>2410</v>
      </c>
      <c r="AL5" s="2512" t="s">
        <v>2411</v>
      </c>
      <c r="AM5" s="360" t="s">
        <v>2412</v>
      </c>
      <c r="AN5" s="2569" t="s">
        <v>2451</v>
      </c>
      <c r="AO5" s="2006" t="s">
        <v>2683</v>
      </c>
      <c r="AP5" s="2888" t="s">
        <v>2693</v>
      </c>
      <c r="AQ5" s="2889" t="s">
        <v>2804</v>
      </c>
      <c r="AR5" s="2889" t="s">
        <v>2805</v>
      </c>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row>
    <row r="6" spans="1:67" s="3370" customFormat="1" ht="45" hidden="1" customHeight="1">
      <c r="A6" s="3338">
        <f>'数据-汇总表'!C19</f>
        <v>0</v>
      </c>
      <c r="B6" s="3339" t="str">
        <f>IF(A6=0,"","经营性")</f>
        <v/>
      </c>
      <c r="C6" s="3340"/>
      <c r="D6" s="3341">
        <f>SUMIF(项目基本情况!D$12:I$12,C6,项目基本情况!D$14:I$14)</f>
        <v>0</v>
      </c>
      <c r="E6" s="3342" t="str">
        <f>IF(B6="","",SUMIF(项目基本情况!D$12:I$12,C6,项目基本情况!D$13:I$13))</f>
        <v/>
      </c>
      <c r="F6" s="3343">
        <f>SUMIF(项目基本情况!D$12:I$12,C6,项目基本情况!D$15:I$15)</f>
        <v>0</v>
      </c>
      <c r="G6" s="3344">
        <f>IF(ISERROR(ROUND(POWER(1+H6,D6-F6)*(POWER(1+H6,F6)-1)/(POWER(1+H6,D6)-1),3)),0,ROUND(POWER(1+H6,D6-F6)*(POWER(1+H6,F6)-1)/(POWER(1+H6,D6)-1),3))</f>
        <v>0</v>
      </c>
      <c r="H6" s="3345"/>
      <c r="I6" s="3345"/>
      <c r="J6" s="3346"/>
      <c r="K6" s="3347">
        <f>SUMIF('数据-汇总表'!C$19:C$33,A6,'数据-汇总表'!E$19:E$33)</f>
        <v>0</v>
      </c>
      <c r="L6" s="3348"/>
      <c r="M6" s="3349">
        <f t="shared" ref="M6:M14" si="0">ROUND(K6*L6/10000,0)</f>
        <v>0</v>
      </c>
      <c r="N6" s="1474"/>
      <c r="O6" s="3349">
        <f>IF($N$5="成新度","——",ROUND(M6*N6,0))</f>
        <v>0</v>
      </c>
      <c r="P6" s="3350">
        <f>IF($N$5="成新度","——",M6-O6)</f>
        <v>0</v>
      </c>
      <c r="Q6" s="1474"/>
      <c r="R6" s="3347">
        <f ca="1">SUMIF('数据-汇总表'!C$19:C$33,A6,'数据-汇总表'!R$19:R$27)</f>
        <v>0</v>
      </c>
      <c r="S6" s="3351">
        <f>IF('数据-汇总表'!$I$17="按面积比例",SUMIF('数据-汇总表'!C$19:C$33,A6,'数据-汇总表'!K$19:K$33),SUMIF('数据-汇总表'!C$19:C$33,A6,'数据-汇总表'!N$19:N$33))</f>
        <v>0</v>
      </c>
      <c r="T6" s="3352">
        <f>ROUND($L$14*S6/10000,0)</f>
        <v>0</v>
      </c>
      <c r="U6" s="3353"/>
      <c r="V6" s="3354"/>
      <c r="W6" s="3354"/>
      <c r="X6" s="3355"/>
      <c r="Y6" s="3378"/>
      <c r="Z6" s="3356"/>
      <c r="AA6" s="3346"/>
      <c r="AB6" s="3346"/>
      <c r="AC6" s="3355"/>
      <c r="AD6" s="3357"/>
      <c r="AE6" s="3358">
        <f ca="1">IF(AN6="",0,SUMIF(INDIRECT("'"&amp;AN6&amp;"'"&amp;"!E:E"),$AE$5,INDIRECT("'"&amp;AN6&amp;"'"&amp;"!F:F")))</f>
        <v>48.49</v>
      </c>
      <c r="AF6" s="3359"/>
      <c r="AG6" s="3360">
        <f>IF(AF6="",0,AE6-AF6)</f>
        <v>0</v>
      </c>
      <c r="AH6" s="3361"/>
      <c r="AI6" s="3362"/>
      <c r="AJ6" s="3363"/>
      <c r="AK6" s="3364"/>
      <c r="AL6" s="3364"/>
      <c r="AM6" s="3365"/>
      <c r="AN6" s="3366" t="s">
        <v>3051</v>
      </c>
      <c r="AO6" s="3367">
        <f ca="1">SUMIF(INDIRECT("'"&amp;AN6&amp;"'"&amp;"!A:A"),"总价",INDIRECT("'"&amp;AN6&amp;"'"&amp;"!B:B"))</f>
        <v>22175</v>
      </c>
      <c r="AP6" s="3368">
        <f>IF(C6="住宅",K6*L6,0)</f>
        <v>0</v>
      </c>
      <c r="AQ6" s="3367">
        <f>ROUND($L$14*$N$14*S6/10000,0)</f>
        <v>0</v>
      </c>
      <c r="AR6" s="3367">
        <f>ROUND($L$14*(1-$N$14)*S6/10000,0)</f>
        <v>0</v>
      </c>
      <c r="AS6" s="3369"/>
      <c r="AT6" s="3369"/>
      <c r="AU6" s="3369"/>
      <c r="AV6" s="3369"/>
      <c r="AW6" s="3369"/>
      <c r="AX6" s="3369"/>
      <c r="AY6" s="3369"/>
      <c r="AZ6" s="3369"/>
      <c r="BA6" s="3369"/>
      <c r="BB6" s="3369"/>
      <c r="BC6" s="3369"/>
      <c r="BD6" s="3369"/>
      <c r="BE6" s="3369"/>
      <c r="BF6" s="3369"/>
      <c r="BG6" s="3369"/>
      <c r="BH6" s="3369"/>
      <c r="BI6" s="3369"/>
      <c r="BJ6" s="3369"/>
      <c r="BK6" s="3369"/>
      <c r="BL6" s="3369"/>
      <c r="BM6" s="3369"/>
      <c r="BN6" s="3369"/>
      <c r="BO6" s="3369"/>
    </row>
    <row r="7" spans="1:67" s="1195" customFormat="1" ht="18">
      <c r="A7" s="2509" t="str">
        <f>'数据-汇总表'!C20</f>
        <v>3、5、6楼</v>
      </c>
      <c r="B7" s="2487" t="str">
        <f t="shared" ref="B7:B13" si="1">IF(A7=0,"","经营性")</f>
        <v>经营性</v>
      </c>
      <c r="C7" s="39" t="s">
        <v>39</v>
      </c>
      <c r="D7" s="2050">
        <f>SUMIF(项目基本情况!D$12:I$12,C7,项目基本情况!D$14:I$14)</f>
        <v>50</v>
      </c>
      <c r="E7" s="2044">
        <f>IF(B7="","",SUMIF(项目基本情况!D$12:I$12,C7,项目基本情况!D$13:I$13))</f>
        <v>60642</v>
      </c>
      <c r="F7" s="362">
        <f>SUMIF(项目基本情况!D$12:I$12,C7,项目基本情况!D$15:I$15)</f>
        <v>48.49</v>
      </c>
      <c r="G7" s="363">
        <f t="shared" ref="G7:G11" si="2">IF(ISERROR(ROUND(POWER(1+H7,D7-F7)*(POWER(1+H7,F7)-1)/(POWER(1+H7,D7)-1),3)),0,ROUND(POWER(1+H7,D7-F7)*(POWER(1+H7,F7)-1)/(POWER(1+H7,D7)-1),3))</f>
        <v>0.99099999999999999</v>
      </c>
      <c r="H7" s="3345">
        <v>4.4999999999999998E-2</v>
      </c>
      <c r="I7" s="3345">
        <v>0.05</v>
      </c>
      <c r="J7" s="3346">
        <v>7.0000000000000007E-2</v>
      </c>
      <c r="K7" s="2490">
        <f>SUMIF('数据-汇总表'!C$19:C$33,A7,'数据-汇总表'!E$19:E$33)</f>
        <v>62053.11</v>
      </c>
      <c r="L7" s="3398">
        <v>1000</v>
      </c>
      <c r="M7" s="365">
        <f t="shared" si="0"/>
        <v>6205</v>
      </c>
      <c r="N7" s="1474">
        <v>0.8</v>
      </c>
      <c r="O7" s="365">
        <f t="shared" ref="O7:O14" si="3">IF($N$5="成新度","——",ROUND(M7*N7,0))</f>
        <v>4964</v>
      </c>
      <c r="P7" s="366">
        <f t="shared" ref="P7:P14" si="4">IF($N$5="成新度","——",M7-O7)</f>
        <v>1241</v>
      </c>
      <c r="Q7" s="1476">
        <v>0.1</v>
      </c>
      <c r="R7" s="367">
        <f ca="1">SUMIF('数据-汇总表'!C$19:C$33,A7,'数据-汇总表'!R$19:R$27)</f>
        <v>104051.87</v>
      </c>
      <c r="S7" s="343">
        <f>IF('数据-汇总表'!$I$17="按面积比例",SUMIF('数据-汇总表'!C$19:C$33,A7,'数据-汇总表'!K$19:K$33),SUMIF('数据-汇总表'!C$19:C$33,A7,'数据-汇总表'!N$19:N$33))</f>
        <v>25968</v>
      </c>
      <c r="T7" s="2887">
        <f t="shared" ref="T7:T13" si="5">ROUND($L$14*S7/10000,0)</f>
        <v>2597</v>
      </c>
      <c r="U7" s="3353">
        <v>0.8</v>
      </c>
      <c r="V7" s="3354">
        <v>1.4999999999999999E-2</v>
      </c>
      <c r="W7" s="3354">
        <v>0.15</v>
      </c>
      <c r="X7" s="2500"/>
      <c r="Y7" s="370">
        <v>1</v>
      </c>
      <c r="Z7" s="371"/>
      <c r="AA7" s="364"/>
      <c r="AB7" s="364"/>
      <c r="AC7" s="2500"/>
      <c r="AD7" s="372"/>
      <c r="AE7" s="2501">
        <f t="shared" ref="AE7:AE13" ca="1" si="6">IF(AN7="",0,SUMIF(INDIRECT("'"&amp;AN7&amp;"'"&amp;"!E:E"),$AE$5,INDIRECT("'"&amp;AN7&amp;"'"&amp;"!F:F")))</f>
        <v>48.49</v>
      </c>
      <c r="AF7" s="352"/>
      <c r="AG7" s="477">
        <f t="shared" ref="AG7:AG13" si="7">IF(AF7="",0,AE7-AF7)</f>
        <v>0</v>
      </c>
      <c r="AH7" s="3361">
        <f>'数据-汇总表'!F20</f>
        <v>62053.11</v>
      </c>
      <c r="AI7" s="375">
        <v>365</v>
      </c>
      <c r="AJ7" s="376"/>
      <c r="AK7" s="3364">
        <v>0.02</v>
      </c>
      <c r="AL7" s="3364">
        <v>2E-3</v>
      </c>
      <c r="AM7" s="3365">
        <v>1.4999999999999999E-2</v>
      </c>
      <c r="AN7" s="2570" t="s">
        <v>3051</v>
      </c>
      <c r="AO7" s="344">
        <f t="shared" ref="AO7:AO13" ca="1" si="8">SUMIF(INDIRECT("'"&amp;AN7&amp;"'"&amp;"!A:A"),"总价",INDIRECT("'"&amp;AN7&amp;"'"&amp;"!B:B"))</f>
        <v>22175</v>
      </c>
      <c r="AP7" s="2890">
        <f t="shared" ref="AP7:AP13" si="9">IF(C7="住宅",K7*L7,0)</f>
        <v>0</v>
      </c>
      <c r="AQ7" s="344">
        <f t="shared" ref="AQ7:AQ13" si="10">ROUND($L$14*$N$14*S7/10000,0)</f>
        <v>2000</v>
      </c>
      <c r="AR7" s="344">
        <f t="shared" ref="AR7:AR13" si="11">ROUND($L$14*(1-$N$14)*S7/10000,0)</f>
        <v>597</v>
      </c>
      <c r="AS7" s="2233"/>
      <c r="AT7" s="2233"/>
      <c r="AU7" s="2233"/>
      <c r="AV7" s="2233"/>
      <c r="AW7" s="2233"/>
      <c r="AX7" s="2233"/>
      <c r="AY7" s="2233"/>
      <c r="AZ7" s="2233"/>
      <c r="BA7" s="2233"/>
      <c r="BB7" s="2233"/>
      <c r="BC7" s="2233"/>
      <c r="BD7" s="2233"/>
      <c r="BE7" s="2233"/>
      <c r="BF7" s="2233"/>
      <c r="BG7" s="2233"/>
      <c r="BH7" s="2233"/>
      <c r="BI7" s="2233"/>
      <c r="BJ7" s="2233"/>
      <c r="BK7" s="2233"/>
      <c r="BL7" s="2233"/>
      <c r="BM7" s="2233"/>
      <c r="BN7" s="2233"/>
      <c r="BO7" s="2233"/>
    </row>
    <row r="8" spans="1:67" s="1195" customFormat="1" ht="18">
      <c r="A8" s="2509">
        <f>'数据-汇总表'!C21</f>
        <v>0</v>
      </c>
      <c r="B8" s="2487" t="str">
        <f t="shared" si="1"/>
        <v/>
      </c>
      <c r="C8" s="39"/>
      <c r="D8" s="2050">
        <f>SUMIF(项目基本情况!D$12:I$12,C8,项目基本情况!D$14:I$14)</f>
        <v>0</v>
      </c>
      <c r="E8" s="2044" t="str">
        <f>IF(B8="","",SUMIF(项目基本情况!D$12:I$12,C8,项目基本情况!D$13:I$13))</f>
        <v/>
      </c>
      <c r="F8" s="362">
        <f>SUMIF(项目基本情况!D$12:I$12,C8,项目基本情况!D$15:I$15)</f>
        <v>0</v>
      </c>
      <c r="G8" s="363">
        <f t="shared" si="2"/>
        <v>0</v>
      </c>
      <c r="H8" s="3345"/>
      <c r="I8" s="3345"/>
      <c r="J8" s="3346"/>
      <c r="K8" s="2490">
        <f>SUMIF('数据-汇总表'!C$19:C$33,A8,'数据-汇总表'!E$19:E$33)</f>
        <v>0</v>
      </c>
      <c r="L8" s="3348"/>
      <c r="M8" s="365">
        <f>ROUND(K8*L8/10000,0)</f>
        <v>0</v>
      </c>
      <c r="N8" s="1474"/>
      <c r="O8" s="365">
        <f t="shared" si="3"/>
        <v>0</v>
      </c>
      <c r="P8" s="366">
        <f t="shared" si="4"/>
        <v>0</v>
      </c>
      <c r="Q8" s="1476"/>
      <c r="R8" s="367">
        <f ca="1">SUMIF('数据-汇总表'!C$19:C$33,A8,'数据-汇总表'!R$19:R$27)</f>
        <v>0</v>
      </c>
      <c r="S8" s="343">
        <f>IF('数据-汇总表'!$I$17="按面积比例",SUMIF('数据-汇总表'!C$19:C$33,A8,'数据-汇总表'!K$19:K$33),SUMIF('数据-汇总表'!C$19:C$33,A8,'数据-汇总表'!N$19:N$33))</f>
        <v>0</v>
      </c>
      <c r="T8" s="2887">
        <f t="shared" si="5"/>
        <v>0</v>
      </c>
      <c r="U8" s="3353"/>
      <c r="V8" s="3354"/>
      <c r="W8" s="3354"/>
      <c r="X8" s="2500"/>
      <c r="Y8" s="370"/>
      <c r="Z8" s="371"/>
      <c r="AA8" s="364"/>
      <c r="AB8" s="364"/>
      <c r="AC8" s="2500"/>
      <c r="AD8" s="372"/>
      <c r="AE8" s="2501">
        <f t="shared" ca="1" si="6"/>
        <v>0</v>
      </c>
      <c r="AF8" s="352"/>
      <c r="AG8" s="477">
        <f t="shared" si="7"/>
        <v>0</v>
      </c>
      <c r="AH8" s="3361"/>
      <c r="AI8" s="375"/>
      <c r="AJ8" s="376"/>
      <c r="AK8" s="3364"/>
      <c r="AL8" s="3364"/>
      <c r="AM8" s="3365"/>
      <c r="AN8" s="2570"/>
      <c r="AO8" s="344" t="e">
        <f t="shared" ca="1" si="8"/>
        <v>#REF!</v>
      </c>
      <c r="AP8" s="2890">
        <f t="shared" si="9"/>
        <v>0</v>
      </c>
      <c r="AQ8" s="344">
        <f t="shared" si="10"/>
        <v>0</v>
      </c>
      <c r="AR8" s="344">
        <f t="shared" si="11"/>
        <v>0</v>
      </c>
      <c r="AS8" s="2233"/>
      <c r="AT8" s="2233"/>
      <c r="AU8" s="2233"/>
      <c r="AV8" s="2233"/>
      <c r="AW8" s="2233"/>
      <c r="AX8" s="2233"/>
      <c r="AY8" s="2233"/>
      <c r="AZ8" s="2233"/>
      <c r="BA8" s="2233"/>
      <c r="BB8" s="2233"/>
      <c r="BC8" s="2233"/>
      <c r="BD8" s="2233"/>
      <c r="BE8" s="2233"/>
      <c r="BF8" s="2233"/>
      <c r="BG8" s="2233"/>
      <c r="BH8" s="2233"/>
      <c r="BI8" s="2233"/>
      <c r="BJ8" s="2233"/>
      <c r="BK8" s="2233"/>
      <c r="BL8" s="2233"/>
      <c r="BM8" s="2233"/>
      <c r="BN8" s="2233"/>
      <c r="BO8" s="2233"/>
    </row>
    <row r="9" spans="1:67" s="1195" customFormat="1" ht="18">
      <c r="A9" s="2509">
        <f>'数据-汇总表'!C22</f>
        <v>0</v>
      </c>
      <c r="B9" s="2487" t="str">
        <f t="shared" si="1"/>
        <v/>
      </c>
      <c r="C9" s="39"/>
      <c r="D9" s="2050">
        <f>SUMIF(项目基本情况!D$12:I$12,C9,项目基本情况!D$14:I$14)</f>
        <v>0</v>
      </c>
      <c r="E9" s="2044" t="str">
        <f>IF(B9="","",SUMIF(项目基本情况!D$12:I$12,C9,项目基本情况!D$13:I$13))</f>
        <v/>
      </c>
      <c r="F9" s="362">
        <f>SUMIF(项目基本情况!D$12:I$12,C9,项目基本情况!D$15:I$15)</f>
        <v>0</v>
      </c>
      <c r="G9" s="363">
        <f t="shared" si="2"/>
        <v>0</v>
      </c>
      <c r="H9" s="3345"/>
      <c r="I9" s="3345"/>
      <c r="J9" s="3346"/>
      <c r="K9" s="2490">
        <f>SUMIF('数据-汇总表'!C$19:C$33,A9,'数据-汇总表'!E$19:E$33)</f>
        <v>0</v>
      </c>
      <c r="L9" s="1475"/>
      <c r="M9" s="365">
        <f t="shared" si="0"/>
        <v>0</v>
      </c>
      <c r="N9" s="1474"/>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7">
        <f t="shared" si="5"/>
        <v>0</v>
      </c>
      <c r="U9" s="3353"/>
      <c r="V9" s="3354"/>
      <c r="W9" s="3354"/>
      <c r="X9" s="2500"/>
      <c r="Y9" s="370"/>
      <c r="Z9" s="371"/>
      <c r="AA9" s="364"/>
      <c r="AB9" s="364"/>
      <c r="AC9" s="2500"/>
      <c r="AD9" s="372"/>
      <c r="AE9" s="2501">
        <f t="shared" ca="1" si="6"/>
        <v>0</v>
      </c>
      <c r="AF9" s="352"/>
      <c r="AG9" s="477">
        <f t="shared" si="7"/>
        <v>0</v>
      </c>
      <c r="AH9" s="3361"/>
      <c r="AI9" s="375"/>
      <c r="AJ9" s="376"/>
      <c r="AK9" s="3364"/>
      <c r="AL9" s="3364"/>
      <c r="AM9" s="3365"/>
      <c r="AN9" s="2570"/>
      <c r="AO9" s="344" t="e">
        <f t="shared" ca="1" si="8"/>
        <v>#REF!</v>
      </c>
      <c r="AP9" s="2890">
        <f t="shared" si="9"/>
        <v>0</v>
      </c>
      <c r="AQ9" s="344">
        <f t="shared" si="10"/>
        <v>0</v>
      </c>
      <c r="AR9" s="344">
        <f t="shared" si="11"/>
        <v>0</v>
      </c>
      <c r="AS9" s="2233"/>
      <c r="AT9" s="2233"/>
      <c r="AU9" s="2233"/>
      <c r="AV9" s="2233"/>
      <c r="AW9" s="2233"/>
      <c r="AX9" s="2233"/>
      <c r="AY9" s="2233"/>
      <c r="AZ9" s="2233"/>
      <c r="BA9" s="2233"/>
      <c r="BB9" s="2233"/>
      <c r="BC9" s="2233"/>
      <c r="BD9" s="2233"/>
      <c r="BE9" s="2233"/>
      <c r="BF9" s="2233"/>
      <c r="BG9" s="2233"/>
      <c r="BH9" s="2233"/>
      <c r="BI9" s="2233"/>
      <c r="BJ9" s="2233"/>
      <c r="BK9" s="2233"/>
      <c r="BL9" s="2233"/>
      <c r="BM9" s="2233"/>
      <c r="BN9" s="2233"/>
      <c r="BO9" s="2233"/>
    </row>
    <row r="10" spans="1:67" s="1195" customFormat="1" ht="14.25">
      <c r="A10" s="2509">
        <f>'数据-汇总表'!C23</f>
        <v>0</v>
      </c>
      <c r="B10" s="2487" t="str">
        <f t="shared" si="1"/>
        <v/>
      </c>
      <c r="C10" s="39"/>
      <c r="D10" s="2050">
        <f>SUMIF(项目基本情况!D$12:I$12,C10,项目基本情况!D$14:I$14)</f>
        <v>0</v>
      </c>
      <c r="E10" s="2044" t="str">
        <f>IF(B10="","",SUMIF(项目基本情况!D$12:I$12,C10,项目基本情况!D$13:I$13))</f>
        <v/>
      </c>
      <c r="F10" s="362">
        <f>SUMIF(项目基本情况!D$12:I$12,C10,项目基本情况!D$15:I$15)</f>
        <v>0</v>
      </c>
      <c r="G10" s="363">
        <f t="shared" si="2"/>
        <v>0</v>
      </c>
      <c r="H10" s="364"/>
      <c r="I10" s="364"/>
      <c r="J10" s="364"/>
      <c r="K10" s="2490">
        <f>SUMIF('数据-汇总表'!C$19:C$33,A10,'数据-汇总表'!E$19:E$33)</f>
        <v>0</v>
      </c>
      <c r="L10" s="1475"/>
      <c r="M10" s="365">
        <f t="shared" si="0"/>
        <v>0</v>
      </c>
      <c r="N10" s="1474"/>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7">
        <f t="shared" si="5"/>
        <v>0</v>
      </c>
      <c r="U10" s="368"/>
      <c r="V10" s="369"/>
      <c r="W10" s="369"/>
      <c r="X10" s="2500"/>
      <c r="Y10" s="370"/>
      <c r="Z10" s="371"/>
      <c r="AA10" s="364"/>
      <c r="AB10" s="364"/>
      <c r="AC10" s="2500"/>
      <c r="AD10" s="372"/>
      <c r="AE10" s="2501">
        <f t="shared" ca="1" si="6"/>
        <v>0</v>
      </c>
      <c r="AF10" s="352"/>
      <c r="AG10" s="477">
        <f t="shared" si="7"/>
        <v>0</v>
      </c>
      <c r="AH10" s="373"/>
      <c r="AI10" s="375"/>
      <c r="AJ10" s="376"/>
      <c r="AK10" s="377"/>
      <c r="AL10" s="378"/>
      <c r="AM10" s="379"/>
      <c r="AN10" s="2570"/>
      <c r="AO10" s="344" t="e">
        <f t="shared" ca="1" si="8"/>
        <v>#REF!</v>
      </c>
      <c r="AP10" s="2890">
        <f t="shared" si="9"/>
        <v>0</v>
      </c>
      <c r="AQ10" s="344">
        <f t="shared" si="10"/>
        <v>0</v>
      </c>
      <c r="AR10" s="344">
        <f t="shared" si="11"/>
        <v>0</v>
      </c>
      <c r="AS10" s="2233"/>
      <c r="AT10" s="2233"/>
      <c r="AU10" s="2233"/>
      <c r="AV10" s="2233"/>
      <c r="AW10" s="2233"/>
      <c r="AX10" s="2233"/>
      <c r="AY10" s="2233"/>
      <c r="AZ10" s="2233"/>
      <c r="BA10" s="2233"/>
      <c r="BB10" s="2233"/>
      <c r="BC10" s="2233"/>
      <c r="BD10" s="2233"/>
      <c r="BE10" s="2233"/>
      <c r="BF10" s="2233"/>
      <c r="BG10" s="2233"/>
      <c r="BH10" s="2233"/>
      <c r="BI10" s="2233"/>
      <c r="BJ10" s="2233"/>
      <c r="BK10" s="2233"/>
      <c r="BL10" s="2233"/>
      <c r="BM10" s="2233"/>
      <c r="BN10" s="2233"/>
      <c r="BO10" s="2233"/>
    </row>
    <row r="11" spans="1:67" s="1195" customFormat="1" ht="14.25">
      <c r="A11" s="2509">
        <f>'数据-汇总表'!C24</f>
        <v>0</v>
      </c>
      <c r="B11" s="2487" t="str">
        <f t="shared" si="1"/>
        <v/>
      </c>
      <c r="C11" s="39"/>
      <c r="D11" s="2050">
        <f>SUMIF(项目基本情况!D$12:I$12,C11,项目基本情况!D$14:I$14)</f>
        <v>0</v>
      </c>
      <c r="E11" s="2044" t="str">
        <f>IF(B11="","",SUMIF(项目基本情况!D$12:I$12,C11,项目基本情况!D$13:I$13))</f>
        <v/>
      </c>
      <c r="F11" s="362">
        <f>SUMIF(项目基本情况!D$12:I$12,C11,项目基本情况!D$15:I$15)</f>
        <v>0</v>
      </c>
      <c r="G11" s="363">
        <f t="shared" si="2"/>
        <v>0</v>
      </c>
      <c r="H11" s="364"/>
      <c r="I11" s="364"/>
      <c r="J11" s="364"/>
      <c r="K11" s="2490">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379"/>
      <c r="V11" s="364"/>
      <c r="W11" s="364"/>
      <c r="X11" s="2500"/>
      <c r="Y11" s="370"/>
      <c r="Z11" s="383"/>
      <c r="AA11" s="364"/>
      <c r="AB11" s="364"/>
      <c r="AC11" s="2500"/>
      <c r="AD11" s="372"/>
      <c r="AE11" s="2501">
        <f t="shared" ca="1" si="6"/>
        <v>0</v>
      </c>
      <c r="AF11" s="352"/>
      <c r="AG11" s="477">
        <f t="shared" si="7"/>
        <v>0</v>
      </c>
      <c r="AH11" s="373"/>
      <c r="AI11" s="375"/>
      <c r="AJ11" s="376"/>
      <c r="AK11" s="384"/>
      <c r="AL11" s="385"/>
      <c r="AM11" s="386"/>
      <c r="AN11" s="2570"/>
      <c r="AO11" s="344" t="e">
        <f t="shared" ca="1" si="8"/>
        <v>#REF!</v>
      </c>
      <c r="AP11" s="2890">
        <f t="shared" si="9"/>
        <v>0</v>
      </c>
      <c r="AQ11" s="344">
        <f t="shared" si="10"/>
        <v>0</v>
      </c>
      <c r="AR11" s="344">
        <f t="shared" si="11"/>
        <v>0</v>
      </c>
      <c r="AS11" s="2233"/>
      <c r="AT11" s="2233"/>
      <c r="AU11" s="2233"/>
      <c r="AV11" s="2233"/>
      <c r="AW11" s="2233"/>
      <c r="AX11" s="2233"/>
      <c r="AY11" s="2233"/>
      <c r="AZ11" s="2233"/>
      <c r="BA11" s="2233"/>
      <c r="BB11" s="2233"/>
      <c r="BC11" s="2233"/>
      <c r="BD11" s="2233"/>
      <c r="BE11" s="2233"/>
      <c r="BF11" s="2233"/>
      <c r="BG11" s="2233"/>
      <c r="BH11" s="2233"/>
      <c r="BI11" s="2233"/>
      <c r="BJ11" s="2233"/>
      <c r="BK11" s="2233"/>
      <c r="BL11" s="2233"/>
      <c r="BM11" s="2233"/>
      <c r="BN11" s="2233"/>
      <c r="BO11" s="2233"/>
    </row>
    <row r="12" spans="1:67" s="1195" customFormat="1" ht="14.25">
      <c r="A12" s="2509">
        <f>'数据-汇总表'!C25</f>
        <v>0</v>
      </c>
      <c r="B12" s="2487" t="str">
        <f t="shared" si="1"/>
        <v/>
      </c>
      <c r="C12" s="39"/>
      <c r="D12" s="2050">
        <f>SUMIF(项目基本情况!D$12:I$12,C12,项目基本情况!D$14:I$14)</f>
        <v>0</v>
      </c>
      <c r="E12" s="2044"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0">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500"/>
      <c r="Y12" s="370"/>
      <c r="Z12" s="383"/>
      <c r="AA12" s="364"/>
      <c r="AB12" s="364"/>
      <c r="AC12" s="2500"/>
      <c r="AD12" s="372"/>
      <c r="AE12" s="2501">
        <f t="shared" ca="1" si="6"/>
        <v>0</v>
      </c>
      <c r="AF12" s="352"/>
      <c r="AG12" s="477">
        <f t="shared" si="7"/>
        <v>0</v>
      </c>
      <c r="AH12" s="373"/>
      <c r="AI12" s="375"/>
      <c r="AJ12" s="376"/>
      <c r="AK12" s="384"/>
      <c r="AL12" s="385"/>
      <c r="AM12" s="386"/>
      <c r="AN12" s="2570"/>
      <c r="AO12" s="344" t="e">
        <f t="shared" ca="1" si="8"/>
        <v>#REF!</v>
      </c>
      <c r="AP12" s="2890">
        <f t="shared" si="9"/>
        <v>0</v>
      </c>
      <c r="AQ12" s="344">
        <f t="shared" si="10"/>
        <v>0</v>
      </c>
      <c r="AR12" s="344">
        <f t="shared" si="11"/>
        <v>0</v>
      </c>
      <c r="AS12" s="2233"/>
      <c r="AT12" s="2233"/>
      <c r="AU12" s="2233"/>
      <c r="AV12" s="2233"/>
      <c r="AW12" s="2233"/>
      <c r="AX12" s="2233"/>
      <c r="AY12" s="2233"/>
      <c r="AZ12" s="2233"/>
      <c r="BA12" s="2233"/>
      <c r="BB12" s="2233"/>
      <c r="BC12" s="2233"/>
      <c r="BD12" s="2233"/>
      <c r="BE12" s="2233"/>
      <c r="BF12" s="2233"/>
      <c r="BG12" s="2233"/>
      <c r="BH12" s="2233"/>
      <c r="BI12" s="2233"/>
      <c r="BJ12" s="2233"/>
      <c r="BK12" s="2233"/>
      <c r="BL12" s="2233"/>
      <c r="BM12" s="2233"/>
      <c r="BN12" s="2233"/>
      <c r="BO12" s="2233"/>
    </row>
    <row r="13" spans="1:67" s="1195" customFormat="1" ht="14.25">
      <c r="A13" s="2509">
        <f>'数据-汇总表'!C26</f>
        <v>0</v>
      </c>
      <c r="B13" s="2487" t="str">
        <f t="shared" si="1"/>
        <v/>
      </c>
      <c r="C13" s="39"/>
      <c r="D13" s="2050">
        <f>SUMIF(项目基本情况!D$12:I$12,C13,项目基本情况!D$14:I$14)</f>
        <v>0</v>
      </c>
      <c r="E13" s="2044"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0">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500"/>
      <c r="Y13" s="370"/>
      <c r="Z13" s="371"/>
      <c r="AA13" s="364"/>
      <c r="AB13" s="364"/>
      <c r="AC13" s="2500"/>
      <c r="AD13" s="372"/>
      <c r="AE13" s="2501">
        <f t="shared" ca="1" si="6"/>
        <v>0</v>
      </c>
      <c r="AF13" s="352"/>
      <c r="AG13" s="477">
        <f t="shared" si="7"/>
        <v>0</v>
      </c>
      <c r="AH13" s="373"/>
      <c r="AI13" s="375"/>
      <c r="AJ13" s="376"/>
      <c r="AK13" s="377"/>
      <c r="AL13" s="378"/>
      <c r="AM13" s="379"/>
      <c r="AN13" s="2570"/>
      <c r="AO13" s="344" t="e">
        <f t="shared" ca="1" si="8"/>
        <v>#REF!</v>
      </c>
      <c r="AP13" s="2890">
        <f t="shared" si="9"/>
        <v>0</v>
      </c>
      <c r="AQ13" s="344">
        <f t="shared" si="10"/>
        <v>0</v>
      </c>
      <c r="AR13" s="344">
        <f t="shared" si="11"/>
        <v>0</v>
      </c>
      <c r="AS13" s="2233"/>
      <c r="AT13" s="2233"/>
      <c r="AU13" s="2233"/>
      <c r="AV13" s="2233"/>
      <c r="AW13" s="2233"/>
      <c r="AX13" s="2233"/>
      <c r="AY13" s="2233"/>
      <c r="AZ13" s="2233"/>
      <c r="BA13" s="2233"/>
      <c r="BB13" s="2233"/>
      <c r="BC13" s="2233"/>
      <c r="BD13" s="2233"/>
      <c r="BE13" s="2233"/>
      <c r="BF13" s="2233"/>
      <c r="BG13" s="2233"/>
      <c r="BH13" s="2233"/>
      <c r="BI13" s="2233"/>
      <c r="BJ13" s="2233"/>
      <c r="BK13" s="2233"/>
      <c r="BL13" s="2233"/>
      <c r="BM13" s="2233"/>
      <c r="BN13" s="2233"/>
      <c r="BO13" s="2233"/>
    </row>
    <row r="14" spans="1:67" s="1195" customFormat="1" ht="14.25">
      <c r="A14" s="2484" t="s">
        <v>534</v>
      </c>
      <c r="B14" s="2487" t="s">
        <v>533</v>
      </c>
      <c r="C14" s="2488" t="s">
        <v>534</v>
      </c>
      <c r="D14" s="2050"/>
      <c r="E14" s="2044"/>
      <c r="F14" s="362"/>
      <c r="G14" s="363"/>
      <c r="H14" s="2489"/>
      <c r="I14" s="2489"/>
      <c r="J14" s="2489"/>
      <c r="K14" s="2490">
        <f>SUMIF('数据-汇总表'!C$19:C$33,A14,'数据-汇总表'!E$19:E$33)</f>
        <v>25968</v>
      </c>
      <c r="L14" s="381">
        <v>1000</v>
      </c>
      <c r="M14" s="365">
        <f t="shared" si="0"/>
        <v>2597</v>
      </c>
      <c r="N14" s="382">
        <v>0.77</v>
      </c>
      <c r="O14" s="365">
        <f t="shared" si="3"/>
        <v>2000</v>
      </c>
      <c r="P14" s="366">
        <f t="shared" si="4"/>
        <v>597</v>
      </c>
      <c r="Q14" s="2493"/>
      <c r="R14" s="367"/>
      <c r="S14" s="343"/>
      <c r="T14" s="2887"/>
      <c r="U14" s="1132"/>
      <c r="V14" s="2495"/>
      <c r="W14" s="2495"/>
      <c r="X14" s="2496"/>
      <c r="Y14" s="2497"/>
      <c r="Z14" s="2498"/>
      <c r="AA14" s="2499"/>
      <c r="AB14" s="2499"/>
      <c r="AC14" s="2500"/>
      <c r="AD14" s="2496"/>
      <c r="AE14" s="2501"/>
      <c r="AF14" s="344"/>
      <c r="AG14" s="477"/>
      <c r="AH14" s="2501"/>
      <c r="AI14" s="2505"/>
      <c r="AJ14" s="1321"/>
      <c r="AK14" s="2502"/>
      <c r="AL14" s="2503"/>
      <c r="AM14" s="2504"/>
      <c r="AN14" s="2232"/>
      <c r="AO14" s="2233"/>
      <c r="AP14" s="2233"/>
      <c r="AQ14" s="2233"/>
      <c r="AR14" s="2233"/>
      <c r="AS14" s="2233"/>
      <c r="AT14" s="2233"/>
      <c r="AU14" s="2233"/>
      <c r="AV14" s="2233"/>
      <c r="AW14" s="2233"/>
      <c r="AX14" s="2233"/>
      <c r="AY14" s="2233"/>
      <c r="AZ14" s="2233"/>
      <c r="BA14" s="2233"/>
      <c r="BB14" s="2233"/>
      <c r="BC14" s="2233"/>
      <c r="BD14" s="2233"/>
      <c r="BE14" s="2233"/>
      <c r="BF14" s="2233"/>
      <c r="BG14" s="2233"/>
      <c r="BH14" s="2233"/>
      <c r="BI14" s="2233"/>
      <c r="BJ14" s="2233"/>
      <c r="BK14" s="2233"/>
      <c r="BL14" s="2233"/>
      <c r="BM14" s="2233"/>
      <c r="BN14" s="2233"/>
      <c r="BO14" s="2233"/>
    </row>
    <row r="15" spans="1:67" s="1195" customFormat="1" ht="27">
      <c r="A15" s="2484" t="s">
        <v>2401</v>
      </c>
      <c r="B15" s="2487" t="s">
        <v>533</v>
      </c>
      <c r="C15" s="2488" t="s">
        <v>2105</v>
      </c>
      <c r="D15" s="2050"/>
      <c r="E15" s="2044"/>
      <c r="F15" s="362"/>
      <c r="G15" s="363"/>
      <c r="H15" s="2489"/>
      <c r="I15" s="2489"/>
      <c r="J15" s="2489"/>
      <c r="K15" s="2490">
        <f>SUMIF('数据-汇总表'!C$19:C$33,A15,'数据-汇总表'!E$19:E$33)</f>
        <v>0</v>
      </c>
      <c r="L15" s="2491"/>
      <c r="M15" s="365"/>
      <c r="N15" s="2492"/>
      <c r="O15" s="365"/>
      <c r="P15" s="366"/>
      <c r="Q15" s="2493"/>
      <c r="R15" s="367"/>
      <c r="S15" s="343"/>
      <c r="T15" s="2887"/>
      <c r="U15" s="1132"/>
      <c r="V15" s="2495"/>
      <c r="W15" s="2495"/>
      <c r="X15" s="2496"/>
      <c r="Y15" s="2497"/>
      <c r="Z15" s="2498"/>
      <c r="AA15" s="2499"/>
      <c r="AB15" s="2499"/>
      <c r="AC15" s="2500"/>
      <c r="AD15" s="2496"/>
      <c r="AE15" s="2501"/>
      <c r="AF15" s="344"/>
      <c r="AG15" s="477"/>
      <c r="AH15" s="2501"/>
      <c r="AI15" s="2505"/>
      <c r="AJ15" s="1321"/>
      <c r="AK15" s="2502"/>
      <c r="AL15" s="2503"/>
      <c r="AM15" s="2504"/>
      <c r="AN15" s="2232"/>
      <c r="AO15" s="2233"/>
      <c r="AP15" s="2233"/>
      <c r="AQ15" s="2233"/>
      <c r="AR15" s="2233"/>
      <c r="AS15" s="2233"/>
      <c r="AT15" s="2233"/>
      <c r="AU15" s="2233"/>
      <c r="AV15" s="2233"/>
      <c r="AW15" s="2233"/>
      <c r="AX15" s="2233"/>
      <c r="AY15" s="2233"/>
      <c r="AZ15" s="2233"/>
      <c r="BA15" s="2233"/>
      <c r="BB15" s="2233"/>
      <c r="BC15" s="2233"/>
      <c r="BD15" s="2233"/>
      <c r="BE15" s="2233"/>
      <c r="BF15" s="2233"/>
      <c r="BG15" s="2233"/>
      <c r="BH15" s="2233"/>
      <c r="BI15" s="2233"/>
      <c r="BJ15" s="2233"/>
      <c r="BK15" s="2233"/>
      <c r="BL15" s="2233"/>
      <c r="BM15" s="2233"/>
      <c r="BN15" s="2233"/>
      <c r="BO15" s="2233"/>
    </row>
    <row r="16" spans="1:67" s="1195" customFormat="1" ht="15.75" thickBot="1">
      <c r="A16" s="64" t="s">
        <v>4</v>
      </c>
      <c r="B16" s="65"/>
      <c r="C16" s="66"/>
      <c r="D16" s="67"/>
      <c r="E16" s="65"/>
      <c r="F16" s="387"/>
      <c r="G16" s="388">
        <f>ROUND(SUMPRODUCT(G6:G13,K6:K13)/SUMPRODUCT((G6:G13&gt;0)*(K6:K13)),3)</f>
        <v>0.99099999999999999</v>
      </c>
      <c r="H16" s="389">
        <f>ROUND(SUMPRODUCT(H6:H13,K6:K13)/SUMPRODUCT((H6:H13&gt;0)*(K6:K13)),3)</f>
        <v>4.4999999999999998E-2</v>
      </c>
      <c r="I16" s="390"/>
      <c r="J16" s="390"/>
      <c r="K16" s="391">
        <f>SUM(K6:K15)</f>
        <v>88021.11</v>
      </c>
      <c r="L16" s="392">
        <f>ROUND(M16*10000/SUM(K6:K14),0)</f>
        <v>1000</v>
      </c>
      <c r="M16" s="392">
        <f>SUM(M6:M14)</f>
        <v>8802</v>
      </c>
      <c r="N16" s="393">
        <f>ROUND(SUMPRODUCT(M6:M14,N6:N14)/M16,3)</f>
        <v>0.79100000000000004</v>
      </c>
      <c r="O16" s="392">
        <f>SUM(O6:O14)</f>
        <v>6964</v>
      </c>
      <c r="P16" s="392">
        <f>SUM(P6:P14)</f>
        <v>1838</v>
      </c>
      <c r="Q16" s="394">
        <f>ROUND(SUMPRODUCT(Q6:Q13,K6:K13)/SUMPRODUCT((Q6:Q13&gt;0)*(K6:K13)),2)</f>
        <v>0.1</v>
      </c>
      <c r="R16" s="2494">
        <f ca="1">SUM(R6:R13)</f>
        <v>104051.87</v>
      </c>
      <c r="S16" s="395">
        <f>SUM(S6:S13)</f>
        <v>25968</v>
      </c>
      <c r="T16" s="396">
        <f>IF(SUMIF(T6:T13,"&lt;9E307")=M14,SUMIF(T6:T13,"&lt;9E307"),"有误，请检查")</f>
        <v>2597</v>
      </c>
      <c r="U16" s="397"/>
      <c r="V16" s="398"/>
      <c r="W16" s="398"/>
      <c r="X16" s="401"/>
      <c r="Y16" s="399"/>
      <c r="Z16" s="400"/>
      <c r="AA16" s="398"/>
      <c r="AB16" s="398"/>
      <c r="AC16" s="401"/>
      <c r="AD16" s="401"/>
      <c r="AE16" s="397"/>
      <c r="AF16" s="398"/>
      <c r="AG16" s="399"/>
      <c r="AH16" s="397"/>
      <c r="AI16" s="400"/>
      <c r="AJ16" s="400"/>
      <c r="AK16" s="398"/>
      <c r="AL16" s="398"/>
      <c r="AM16" s="399"/>
      <c r="AN16" s="2232"/>
      <c r="AO16" s="2233"/>
      <c r="AP16" s="2233"/>
      <c r="AQ16" s="2233"/>
      <c r="AR16" s="2233"/>
      <c r="AS16" s="2233"/>
      <c r="AT16" s="2233"/>
      <c r="AU16" s="2233"/>
      <c r="AV16" s="2233"/>
      <c r="AW16" s="2233"/>
      <c r="AX16" s="2233"/>
      <c r="AY16" s="2233"/>
      <c r="AZ16" s="2233"/>
      <c r="BA16" s="2233"/>
      <c r="BB16" s="2233"/>
      <c r="BC16" s="2233"/>
      <c r="BD16" s="2233"/>
      <c r="BE16" s="2233"/>
      <c r="BF16" s="2233"/>
      <c r="BG16" s="2233"/>
      <c r="BH16" s="2233"/>
      <c r="BI16" s="2233"/>
      <c r="BJ16" s="2233"/>
      <c r="BK16" s="2233"/>
      <c r="BL16" s="2233"/>
      <c r="BM16" s="2233"/>
      <c r="BN16" s="2233"/>
      <c r="BO16" s="2233"/>
    </row>
    <row r="17" spans="1:67" ht="12.75" thickBot="1">
      <c r="A17" s="1203"/>
      <c r="B17" s="1192"/>
      <c r="C17" s="2223"/>
      <c r="D17" s="2224"/>
      <c r="E17" s="2224"/>
      <c r="F17" s="2223"/>
      <c r="G17" s="2223"/>
      <c r="H17" s="2223"/>
      <c r="I17" s="2223"/>
      <c r="J17" s="2223"/>
      <c r="K17" s="2225"/>
      <c r="L17" s="2225"/>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c r="AL17" s="2223"/>
      <c r="AM17" s="2223"/>
    </row>
    <row r="18" spans="1:67" ht="14.25" thickBot="1">
      <c r="A18" s="46" t="s">
        <v>24</v>
      </c>
      <c r="B18" s="1194"/>
      <c r="C18" s="2226"/>
      <c r="D18" s="2227"/>
      <c r="E18" s="2226"/>
      <c r="F18" s="2226"/>
      <c r="G18" s="2226"/>
      <c r="H18" s="2226"/>
      <c r="I18" s="2226"/>
      <c r="J18" s="2226"/>
      <c r="K18" s="2225"/>
      <c r="L18" s="2225"/>
      <c r="M18" s="2223"/>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c r="AL18" s="2223"/>
      <c r="AM18" s="2223"/>
    </row>
    <row r="19" spans="1:67" ht="15" thickBot="1">
      <c r="A19" s="68" t="s">
        <v>0</v>
      </c>
      <c r="B19" s="402">
        <v>0</v>
      </c>
      <c r="C19" s="2226" t="s">
        <v>2417</v>
      </c>
      <c r="D19" s="2227"/>
      <c r="E19" s="2226"/>
      <c r="F19" s="2226"/>
      <c r="G19" s="2226"/>
      <c r="H19" s="2226"/>
      <c r="I19" s="2226"/>
      <c r="J19" s="2226"/>
      <c r="K19" s="2225"/>
      <c r="L19" s="2225"/>
      <c r="M19" s="2223"/>
      <c r="N19" s="2223"/>
      <c r="O19" s="2223"/>
      <c r="P19" s="2223"/>
      <c r="Q19" s="2223"/>
      <c r="R19" s="2223"/>
      <c r="S19" s="2223"/>
      <c r="T19" s="2223"/>
      <c r="U19" s="2223"/>
      <c r="V19" s="2223"/>
      <c r="W19" s="2223"/>
      <c r="X19" s="2223"/>
      <c r="Y19" s="2223"/>
      <c r="Z19" s="2223"/>
      <c r="AA19" s="2223"/>
      <c r="AB19" s="2223"/>
      <c r="AC19" s="2223"/>
      <c r="AD19" s="2223"/>
      <c r="AE19" s="2223"/>
      <c r="AF19" s="2223"/>
      <c r="AG19" s="2223"/>
      <c r="AH19" s="2223"/>
      <c r="AI19" s="2223"/>
      <c r="AJ19" s="2223"/>
      <c r="AK19" s="2223"/>
      <c r="AL19" s="2223"/>
      <c r="AM19" s="2223"/>
    </row>
    <row r="20" spans="1:67" ht="15.75" thickBot="1">
      <c r="A20" s="69" t="s">
        <v>700</v>
      </c>
      <c r="B20" s="3399">
        <v>1.5</v>
      </c>
      <c r="C20" s="2226" t="s">
        <v>2418</v>
      </c>
      <c r="D20" s="2227"/>
      <c r="E20" s="2226"/>
      <c r="F20" s="2226"/>
      <c r="G20" s="2226"/>
      <c r="H20" s="2226"/>
      <c r="I20" s="2226"/>
      <c r="J20" s="2226"/>
      <c r="K20" s="2225"/>
      <c r="L20" s="2225"/>
      <c r="M20" s="2223"/>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c r="AL20" s="2223"/>
      <c r="AM20" s="2223"/>
    </row>
    <row r="21" spans="1:67" ht="15">
      <c r="A21" s="70" t="s">
        <v>701</v>
      </c>
      <c r="B21" s="3399">
        <v>1.2</v>
      </c>
      <c r="C21" s="2226"/>
      <c r="D21" s="2227"/>
      <c r="E21" s="2226"/>
      <c r="F21" s="2226"/>
      <c r="G21" s="2226"/>
      <c r="H21" s="2226"/>
      <c r="I21" s="2226"/>
      <c r="J21" s="2226"/>
      <c r="K21" s="2225"/>
      <c r="L21" s="2225"/>
      <c r="M21" s="2223"/>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c r="AL21" s="2223"/>
      <c r="AM21" s="2223"/>
    </row>
    <row r="22" spans="1:67" ht="27">
      <c r="A22" s="69" t="s">
        <v>702</v>
      </c>
      <c r="B22" s="403">
        <f>B19+B20</f>
        <v>1.5</v>
      </c>
      <c r="C22" s="2226"/>
      <c r="D22" s="2227"/>
      <c r="E22" s="2226"/>
      <c r="F22" s="2226"/>
      <c r="G22" s="2226"/>
      <c r="H22" s="2226"/>
      <c r="I22" s="2226"/>
      <c r="J22" s="3389" t="s">
        <v>3265</v>
      </c>
      <c r="K22" s="3390" t="s">
        <v>686</v>
      </c>
      <c r="L22" s="2889" t="s">
        <v>687</v>
      </c>
      <c r="M22" s="3391" t="s">
        <v>688</v>
      </c>
      <c r="N22" s="3392" t="s">
        <v>3222</v>
      </c>
      <c r="O22" s="2889" t="s">
        <v>689</v>
      </c>
      <c r="P22" s="2223" t="s">
        <v>3266</v>
      </c>
      <c r="Q22" s="2223"/>
      <c r="R22" s="2223"/>
      <c r="S22" s="2223"/>
      <c r="T22" s="2223"/>
      <c r="U22" s="2223"/>
      <c r="V22" s="2223"/>
      <c r="W22" s="2223"/>
      <c r="X22" s="2223"/>
      <c r="Y22" s="2223"/>
      <c r="Z22" s="2223"/>
      <c r="AA22" s="2223"/>
      <c r="AB22" s="2223"/>
      <c r="AC22" s="2223"/>
      <c r="AD22" s="2223"/>
      <c r="AE22" s="2223"/>
      <c r="AF22" s="2223"/>
      <c r="AG22" s="2223"/>
      <c r="AH22" s="2223"/>
      <c r="AI22" s="2223"/>
      <c r="AJ22" s="2223"/>
      <c r="AK22" s="2223"/>
      <c r="AL22" s="2223"/>
      <c r="AM22" s="2223"/>
    </row>
    <row r="23" spans="1:67" ht="14.25">
      <c r="A23" s="70" t="s">
        <v>703</v>
      </c>
      <c r="B23" s="403">
        <f>B19+B21</f>
        <v>1.2</v>
      </c>
      <c r="C23" s="2226"/>
      <c r="D23" s="2227"/>
      <c r="E23" s="2226"/>
      <c r="F23" s="2226"/>
      <c r="G23" s="2226"/>
      <c r="H23" s="2226"/>
      <c r="I23" s="2226"/>
      <c r="J23" s="1420" t="s">
        <v>3244</v>
      </c>
      <c r="K23" s="3393">
        <f>'数据-基础表'!I14</f>
        <v>19685.91</v>
      </c>
      <c r="L23" s="3394">
        <v>800</v>
      </c>
      <c r="M23" s="3395">
        <f>ROUND(L23*K23/10000,0)</f>
        <v>1575</v>
      </c>
      <c r="N23" s="3396">
        <v>0.95</v>
      </c>
      <c r="O23" s="3395">
        <f>ROUND(M23*N23,0)</f>
        <v>1496</v>
      </c>
      <c r="P23" s="2223">
        <f>ROUND(O26/M26,2)</f>
        <v>0.8</v>
      </c>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c r="AL23" s="2223"/>
      <c r="AM23" s="2223"/>
    </row>
    <row r="24" spans="1:67" ht="15" thickBot="1">
      <c r="A24" s="71" t="s">
        <v>704</v>
      </c>
      <c r="B24" s="404">
        <f>B20-B21</f>
        <v>0.30000000000000004</v>
      </c>
      <c r="C24" s="2226"/>
      <c r="D24" s="2227"/>
      <c r="E24" s="2226"/>
      <c r="F24" s="2226"/>
      <c r="G24" s="2226"/>
      <c r="H24" s="2226"/>
      <c r="I24" s="2226"/>
      <c r="J24" s="1420" t="s">
        <v>3246</v>
      </c>
      <c r="K24" s="3393">
        <f>'数据-基础表'!I15</f>
        <v>21623.91</v>
      </c>
      <c r="L24" s="3394">
        <v>800</v>
      </c>
      <c r="M24" s="3395">
        <f t="shared" ref="M24:M31" si="12">ROUND(L24*K24/10000,0)</f>
        <v>1730</v>
      </c>
      <c r="N24" s="3396">
        <v>0.95</v>
      </c>
      <c r="O24" s="3395">
        <f t="shared" ref="O24:O31" si="13">ROUND(M24*N24,0)</f>
        <v>1644</v>
      </c>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c r="AL24" s="2223"/>
      <c r="AM24" s="2223"/>
    </row>
    <row r="25" spans="1:67" ht="14.25" thickBot="1">
      <c r="A25" s="1196"/>
      <c r="B25" s="1194"/>
      <c r="C25" s="2226"/>
      <c r="D25" s="2227"/>
      <c r="E25" s="2226"/>
      <c r="F25" s="2226"/>
      <c r="G25" s="2226"/>
      <c r="H25" s="2226"/>
      <c r="I25" s="2226"/>
      <c r="J25" s="1420" t="s">
        <v>3247</v>
      </c>
      <c r="K25" s="3393">
        <f>'数据-基础表'!I16</f>
        <v>20743.29</v>
      </c>
      <c r="L25" s="3394">
        <v>800</v>
      </c>
      <c r="M25" s="3395">
        <f t="shared" si="12"/>
        <v>1659</v>
      </c>
      <c r="N25" s="3396">
        <v>0.5</v>
      </c>
      <c r="O25" s="3395">
        <f t="shared" si="13"/>
        <v>830</v>
      </c>
      <c r="P25" s="2223"/>
      <c r="Q25" s="2223"/>
      <c r="R25" s="2223"/>
      <c r="S25" s="2223"/>
      <c r="T25" s="2223"/>
      <c r="U25" s="2223"/>
      <c r="V25" s="2223"/>
      <c r="W25" s="2223"/>
      <c r="X25" s="2223"/>
      <c r="Y25" s="2223"/>
      <c r="Z25" s="2223"/>
      <c r="AA25" s="2223"/>
      <c r="AB25" s="2223"/>
      <c r="AC25" s="2223"/>
      <c r="AD25" s="2223"/>
      <c r="AE25" s="2223"/>
      <c r="AF25" s="2223"/>
      <c r="AG25" s="2223"/>
      <c r="AH25" s="2223"/>
      <c r="AI25" s="2223"/>
      <c r="AJ25" s="2223"/>
      <c r="AK25" s="2223"/>
      <c r="AL25" s="2223"/>
      <c r="AM25" s="2223"/>
    </row>
    <row r="26" spans="1:67" ht="14.25" thickBot="1">
      <c r="A26" s="45" t="s">
        <v>705</v>
      </c>
      <c r="B26" s="72" t="s">
        <v>706</v>
      </c>
      <c r="C26" s="2229" t="s">
        <v>707</v>
      </c>
      <c r="D26" s="2227"/>
      <c r="E26" s="2226"/>
      <c r="F26" s="2226"/>
      <c r="G26" s="2226"/>
      <c r="H26" s="2226"/>
      <c r="I26" s="2226"/>
      <c r="J26" s="2226" t="s">
        <v>3267</v>
      </c>
      <c r="K26" s="2225">
        <f>SUM(K23:K25)</f>
        <v>62053.11</v>
      </c>
      <c r="L26" s="2225">
        <v>800</v>
      </c>
      <c r="M26" s="2225">
        <f t="shared" ref="M26:O26" si="14">SUM(M23:M25)</f>
        <v>4964</v>
      </c>
      <c r="N26" s="2225"/>
      <c r="O26" s="2225">
        <f t="shared" si="14"/>
        <v>3970</v>
      </c>
      <c r="P26" s="2223"/>
      <c r="Q26" s="2223"/>
      <c r="R26" s="2223"/>
      <c r="S26" s="2223"/>
      <c r="T26" s="2223"/>
      <c r="U26" s="2223"/>
      <c r="V26" s="2223"/>
      <c r="W26" s="2223"/>
      <c r="X26" s="2223"/>
      <c r="Y26" s="2223"/>
      <c r="Z26" s="2223"/>
      <c r="AA26" s="2223"/>
      <c r="AB26" s="2223"/>
      <c r="AC26" s="2223"/>
      <c r="AD26" s="2223"/>
      <c r="AE26" s="2223"/>
      <c r="AF26" s="2223"/>
      <c r="AG26" s="2223"/>
      <c r="AH26" s="2223"/>
      <c r="AI26" s="2223"/>
      <c r="AJ26" s="2223"/>
      <c r="AK26" s="2223"/>
      <c r="AL26" s="2223"/>
      <c r="AM26" s="2223"/>
    </row>
    <row r="27" spans="1:67" s="1204" customFormat="1" ht="27">
      <c r="A27" s="73" t="s">
        <v>708</v>
      </c>
      <c r="B27" s="405"/>
      <c r="C27" s="2522" t="s">
        <v>709</v>
      </c>
      <c r="D27" s="2230"/>
      <c r="E27" s="2228"/>
      <c r="F27" s="2228"/>
      <c r="G27" s="2226"/>
      <c r="H27" s="2226"/>
      <c r="I27" s="2226"/>
      <c r="J27" s="3389" t="s">
        <v>3273</v>
      </c>
      <c r="K27" s="3394">
        <v>6048</v>
      </c>
      <c r="L27" s="3394">
        <v>1000</v>
      </c>
      <c r="M27" s="3395">
        <f>ROUND(L27*K27/10000,0)</f>
        <v>605</v>
      </c>
      <c r="N27" s="3396">
        <v>0</v>
      </c>
      <c r="O27" s="3395">
        <f t="shared" si="13"/>
        <v>0</v>
      </c>
      <c r="P27" s="2223">
        <f>ROUND(O32/M32,2)</f>
        <v>0.77</v>
      </c>
      <c r="Q27" s="2223"/>
      <c r="R27" s="2223"/>
      <c r="S27" s="2223"/>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35"/>
      <c r="AO27" s="2235"/>
      <c r="AP27" s="2235"/>
      <c r="AQ27" s="2235"/>
      <c r="AR27" s="2235"/>
      <c r="AS27" s="2235"/>
      <c r="AT27" s="2235"/>
      <c r="AU27" s="2235"/>
      <c r="AV27" s="2235"/>
      <c r="AW27" s="2235"/>
      <c r="AX27" s="2235"/>
      <c r="AY27" s="2235"/>
      <c r="AZ27" s="2235"/>
      <c r="BA27" s="2235"/>
      <c r="BB27" s="2235"/>
      <c r="BC27" s="2235"/>
      <c r="BD27" s="2235"/>
      <c r="BE27" s="2235"/>
      <c r="BF27" s="2235"/>
      <c r="BG27" s="2235"/>
      <c r="BH27" s="2235"/>
      <c r="BI27" s="2235"/>
      <c r="BJ27" s="2235"/>
      <c r="BK27" s="2235"/>
      <c r="BL27" s="2235"/>
      <c r="BM27" s="2235"/>
      <c r="BN27" s="2235"/>
      <c r="BO27" s="2235"/>
    </row>
    <row r="28" spans="1:67" s="1204" customFormat="1" ht="27">
      <c r="A28" s="74" t="s">
        <v>710</v>
      </c>
      <c r="B28" s="408">
        <v>148</v>
      </c>
      <c r="C28" s="2523"/>
      <c r="D28" s="2230"/>
      <c r="E28" s="2228"/>
      <c r="F28" s="2228"/>
      <c r="G28" s="2226"/>
      <c r="H28" s="2226"/>
      <c r="I28" s="2226"/>
      <c r="J28" s="3389" t="s">
        <v>3274</v>
      </c>
      <c r="K28" s="3394">
        <v>180</v>
      </c>
      <c r="L28" s="3394">
        <v>1000</v>
      </c>
      <c r="M28" s="3395">
        <f t="shared" si="12"/>
        <v>18</v>
      </c>
      <c r="N28" s="3396">
        <v>1</v>
      </c>
      <c r="O28" s="3395">
        <f t="shared" si="13"/>
        <v>18</v>
      </c>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35"/>
      <c r="AO28" s="2235"/>
      <c r="AP28" s="2235"/>
      <c r="AQ28" s="2235"/>
      <c r="AR28" s="2235"/>
      <c r="AS28" s="2235"/>
      <c r="AT28" s="2235"/>
      <c r="AU28" s="2235"/>
      <c r="AV28" s="2235"/>
      <c r="AW28" s="2235"/>
      <c r="AX28" s="2235"/>
      <c r="AY28" s="2235"/>
      <c r="AZ28" s="2235"/>
      <c r="BA28" s="2235"/>
      <c r="BB28" s="2235"/>
      <c r="BC28" s="2235"/>
      <c r="BD28" s="2235"/>
      <c r="BE28" s="2235"/>
      <c r="BF28" s="2235"/>
      <c r="BG28" s="2235"/>
      <c r="BH28" s="2235"/>
      <c r="BI28" s="2235"/>
      <c r="BJ28" s="2235"/>
      <c r="BK28" s="2235"/>
      <c r="BL28" s="2235"/>
      <c r="BM28" s="2235"/>
      <c r="BN28" s="2235"/>
      <c r="BO28" s="2235"/>
    </row>
    <row r="29" spans="1:67" s="1204" customFormat="1" ht="27.75" thickBot="1">
      <c r="A29" s="280" t="s">
        <v>2695</v>
      </c>
      <c r="B29" s="410">
        <f>ROUND(B28*'数据-汇总表'!F19/10000,0)</f>
        <v>0</v>
      </c>
      <c r="C29" s="2522" t="s">
        <v>2696</v>
      </c>
      <c r="D29" s="2230"/>
      <c r="E29" s="2228"/>
      <c r="F29" s="2228"/>
      <c r="G29" s="2226"/>
      <c r="H29" s="2226"/>
      <c r="I29" s="2226"/>
      <c r="J29" s="3389" t="s">
        <v>3275</v>
      </c>
      <c r="K29" s="3394">
        <v>288</v>
      </c>
      <c r="L29" s="3394">
        <v>1000</v>
      </c>
      <c r="M29" s="3395">
        <f t="shared" si="12"/>
        <v>29</v>
      </c>
      <c r="N29" s="3396">
        <v>1</v>
      </c>
      <c r="O29" s="3395">
        <f t="shared" si="13"/>
        <v>29</v>
      </c>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c r="AL29" s="2223"/>
      <c r="AM29" s="2223"/>
      <c r="AN29" s="2235"/>
      <c r="AO29" s="2235"/>
      <c r="AP29" s="2235"/>
      <c r="AQ29" s="2235"/>
      <c r="AR29" s="2235"/>
      <c r="AS29" s="2235"/>
      <c r="AT29" s="2235"/>
      <c r="AU29" s="2235"/>
      <c r="AV29" s="2235"/>
      <c r="AW29" s="2235"/>
      <c r="AX29" s="2235"/>
      <c r="AY29" s="2235"/>
      <c r="AZ29" s="2235"/>
      <c r="BA29" s="2235"/>
      <c r="BB29" s="2235"/>
      <c r="BC29" s="2235"/>
      <c r="BD29" s="2235"/>
      <c r="BE29" s="2235"/>
      <c r="BF29" s="2235"/>
      <c r="BG29" s="2235"/>
      <c r="BH29" s="2235"/>
      <c r="BI29" s="2235"/>
      <c r="BJ29" s="2235"/>
      <c r="BK29" s="2235"/>
      <c r="BL29" s="2235"/>
      <c r="BM29" s="2235"/>
      <c r="BN29" s="2235"/>
      <c r="BO29" s="2235"/>
    </row>
    <row r="30" spans="1:67" s="1204" customFormat="1" ht="27">
      <c r="A30" s="279" t="s">
        <v>711</v>
      </c>
      <c r="B30" s="1133">
        <v>150</v>
      </c>
      <c r="C30" s="2523"/>
      <c r="D30" s="2230"/>
      <c r="E30" s="2228"/>
      <c r="F30" s="2228"/>
      <c r="G30" s="2226"/>
      <c r="H30" s="2226"/>
      <c r="I30" s="2226"/>
      <c r="J30" s="3389" t="s">
        <v>3276</v>
      </c>
      <c r="K30" s="3394">
        <v>48</v>
      </c>
      <c r="L30" s="3394">
        <v>1000</v>
      </c>
      <c r="M30" s="3395">
        <f t="shared" si="12"/>
        <v>5</v>
      </c>
      <c r="N30" s="3396">
        <v>1</v>
      </c>
      <c r="O30" s="3395">
        <f t="shared" si="13"/>
        <v>5</v>
      </c>
      <c r="P30" s="2223"/>
      <c r="Q30" s="2223"/>
      <c r="R30" s="2223"/>
      <c r="S30" s="2223"/>
      <c r="T30" s="2223"/>
      <c r="U30" s="2223"/>
      <c r="V30" s="2223"/>
      <c r="W30" s="2223"/>
      <c r="X30" s="2223"/>
      <c r="Y30" s="2223"/>
      <c r="Z30" s="2223"/>
      <c r="AA30" s="2223"/>
      <c r="AB30" s="2223"/>
      <c r="AC30" s="2223"/>
      <c r="AD30" s="2223"/>
      <c r="AE30" s="2223"/>
      <c r="AF30" s="2223"/>
      <c r="AG30" s="2223"/>
      <c r="AH30" s="2223"/>
      <c r="AI30" s="2223"/>
      <c r="AJ30" s="2223"/>
      <c r="AK30" s="2223"/>
      <c r="AL30" s="2223"/>
      <c r="AM30" s="2223"/>
      <c r="AN30" s="2235"/>
      <c r="AO30" s="2235"/>
      <c r="AP30" s="2235"/>
      <c r="AQ30" s="2235"/>
      <c r="AR30" s="2235"/>
      <c r="AS30" s="2235"/>
      <c r="AT30" s="2235"/>
      <c r="AU30" s="2235"/>
      <c r="AV30" s="2235"/>
      <c r="AW30" s="2235"/>
      <c r="AX30" s="2235"/>
      <c r="AY30" s="2235"/>
      <c r="AZ30" s="2235"/>
      <c r="BA30" s="2235"/>
      <c r="BB30" s="2235"/>
      <c r="BC30" s="2235"/>
      <c r="BD30" s="2235"/>
      <c r="BE30" s="2235"/>
      <c r="BF30" s="2235"/>
      <c r="BG30" s="2235"/>
      <c r="BH30" s="2235"/>
      <c r="BI30" s="2235"/>
      <c r="BJ30" s="2235"/>
      <c r="BK30" s="2235"/>
      <c r="BL30" s="2235"/>
      <c r="BM30" s="2235"/>
      <c r="BN30" s="2235"/>
      <c r="BO30" s="2235"/>
    </row>
    <row r="31" spans="1:67" s="1204" customFormat="1" ht="27">
      <c r="A31" s="74" t="s">
        <v>712</v>
      </c>
      <c r="B31" s="409">
        <f>B30-B32</f>
        <v>150</v>
      </c>
      <c r="C31" s="2522"/>
      <c r="D31" s="2230"/>
      <c r="E31" s="2228"/>
      <c r="F31" s="2228"/>
      <c r="G31" s="2226"/>
      <c r="H31" s="2226"/>
      <c r="I31" s="2226"/>
      <c r="J31" s="3389" t="s">
        <v>3278</v>
      </c>
      <c r="K31" s="3394">
        <f>'数据-基础表'!AN16</f>
        <v>19404</v>
      </c>
      <c r="L31" s="3394">
        <v>1000</v>
      </c>
      <c r="M31" s="3395">
        <f t="shared" si="12"/>
        <v>1940</v>
      </c>
      <c r="N31" s="3396">
        <v>1</v>
      </c>
      <c r="O31" s="3395">
        <f t="shared" si="13"/>
        <v>1940</v>
      </c>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35"/>
      <c r="AO31" s="2235"/>
      <c r="AP31" s="2235"/>
      <c r="AQ31" s="2235"/>
      <c r="AR31" s="2235"/>
      <c r="AS31" s="2235"/>
      <c r="AT31" s="2235"/>
      <c r="AU31" s="2235"/>
      <c r="AV31" s="2235"/>
      <c r="AW31" s="2235"/>
      <c r="AX31" s="2235"/>
      <c r="AY31" s="2235"/>
      <c r="AZ31" s="2235"/>
      <c r="BA31" s="2235"/>
      <c r="BB31" s="2235"/>
      <c r="BC31" s="2235"/>
      <c r="BD31" s="2235"/>
      <c r="BE31" s="2235"/>
      <c r="BF31" s="2235"/>
      <c r="BG31" s="2235"/>
      <c r="BH31" s="2235"/>
      <c r="BI31" s="2235"/>
      <c r="BJ31" s="2235"/>
      <c r="BK31" s="2235"/>
      <c r="BL31" s="2235"/>
      <c r="BM31" s="2235"/>
      <c r="BN31" s="2235"/>
      <c r="BO31" s="2235"/>
    </row>
    <row r="32" spans="1:67" s="1204" customFormat="1" ht="27.75" thickBot="1">
      <c r="A32" s="76" t="s">
        <v>713</v>
      </c>
      <c r="B32" s="1134">
        <v>0</v>
      </c>
      <c r="C32" s="2523"/>
      <c r="D32" s="2227"/>
      <c r="E32" s="2226"/>
      <c r="F32" s="2226"/>
      <c r="G32" s="2226"/>
      <c r="H32" s="2226"/>
      <c r="I32" s="2226"/>
      <c r="J32" s="3389" t="s">
        <v>3277</v>
      </c>
      <c r="K32" s="3394">
        <f>SUM(K27:K31)</f>
        <v>25968</v>
      </c>
      <c r="L32" s="3394"/>
      <c r="M32" s="3394">
        <f t="shared" ref="M32:O32" si="15">SUM(M27:M31)</f>
        <v>2597</v>
      </c>
      <c r="N32" s="3394"/>
      <c r="O32" s="3394">
        <f t="shared" si="15"/>
        <v>1992</v>
      </c>
      <c r="P32" s="2223"/>
      <c r="Q32" s="2223"/>
      <c r="R32" s="2223"/>
      <c r="S32" s="2223"/>
      <c r="T32" s="2223"/>
      <c r="U32" s="2223"/>
      <c r="V32" s="2223"/>
      <c r="W32" s="2223"/>
      <c r="X32" s="2223"/>
      <c r="Y32" s="2223"/>
      <c r="Z32" s="2223"/>
      <c r="AA32" s="2223"/>
      <c r="AB32" s="2223"/>
      <c r="AC32" s="2223"/>
      <c r="AD32" s="2223"/>
      <c r="AE32" s="2223"/>
      <c r="AF32" s="2223"/>
      <c r="AG32" s="2223"/>
      <c r="AH32" s="2223"/>
      <c r="AI32" s="2223"/>
      <c r="AJ32" s="2223"/>
      <c r="AK32" s="2223"/>
      <c r="AL32" s="2223"/>
      <c r="AM32" s="2223"/>
      <c r="AN32" s="2235"/>
      <c r="AO32" s="2235"/>
      <c r="AP32" s="2235"/>
      <c r="AQ32" s="2235"/>
      <c r="AR32" s="2235"/>
      <c r="AS32" s="2235"/>
      <c r="AT32" s="2235"/>
      <c r="AU32" s="2235"/>
      <c r="AV32" s="2235"/>
      <c r="AW32" s="2235"/>
      <c r="AX32" s="2235"/>
      <c r="AY32" s="2235"/>
      <c r="AZ32" s="2235"/>
      <c r="BA32" s="2235"/>
      <c r="BB32" s="2235"/>
      <c r="BC32" s="2235"/>
      <c r="BD32" s="2235"/>
      <c r="BE32" s="2235"/>
      <c r="BF32" s="2235"/>
      <c r="BG32" s="2235"/>
      <c r="BH32" s="2235"/>
      <c r="BI32" s="2235"/>
      <c r="BJ32" s="2235"/>
      <c r="BK32" s="2235"/>
      <c r="BL32" s="2235"/>
      <c r="BM32" s="2235"/>
      <c r="BN32" s="2235"/>
      <c r="BO32" s="2235"/>
    </row>
    <row r="33" spans="1:67" s="1204" customFormat="1" ht="13.5">
      <c r="A33" s="73" t="s">
        <v>714</v>
      </c>
      <c r="B33" s="1135">
        <v>0.03</v>
      </c>
      <c r="C33" s="3288" t="s">
        <v>3009</v>
      </c>
      <c r="D33" s="2227"/>
      <c r="E33" s="2226"/>
      <c r="F33" s="2226"/>
      <c r="G33" s="2226"/>
      <c r="H33" s="2226"/>
      <c r="I33" s="2226"/>
      <c r="J33" s="2226"/>
      <c r="K33" s="2225"/>
      <c r="L33" s="2225"/>
      <c r="M33" s="2223"/>
      <c r="N33" s="2223"/>
      <c r="O33" s="2223"/>
      <c r="P33" s="2223"/>
      <c r="Q33" s="2223"/>
      <c r="R33" s="2223"/>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35"/>
      <c r="AO33" s="2235"/>
      <c r="AP33" s="2235"/>
      <c r="AQ33" s="2235"/>
      <c r="AR33" s="2235"/>
      <c r="AS33" s="2235"/>
      <c r="AT33" s="2235"/>
      <c r="AU33" s="2235"/>
      <c r="AV33" s="2235"/>
      <c r="AW33" s="2235"/>
      <c r="AX33" s="2235"/>
      <c r="AY33" s="2235"/>
      <c r="AZ33" s="2235"/>
      <c r="BA33" s="2235"/>
      <c r="BB33" s="2235"/>
      <c r="BC33" s="2235"/>
      <c r="BD33" s="2235"/>
      <c r="BE33" s="2235"/>
      <c r="BF33" s="2235"/>
      <c r="BG33" s="2235"/>
      <c r="BH33" s="2235"/>
      <c r="BI33" s="2235"/>
      <c r="BJ33" s="2235"/>
      <c r="BK33" s="2235"/>
      <c r="BL33" s="2235"/>
      <c r="BM33" s="2235"/>
      <c r="BN33" s="2235"/>
      <c r="BO33" s="2235"/>
    </row>
    <row r="34" spans="1:67" s="1204" customFormat="1" ht="13.5">
      <c r="A34" s="74" t="s">
        <v>715</v>
      </c>
      <c r="B34" s="411">
        <v>0.05</v>
      </c>
      <c r="C34" s="3288" t="s">
        <v>3010</v>
      </c>
      <c r="D34" s="2227" t="s">
        <v>716</v>
      </c>
      <c r="E34" s="1192"/>
      <c r="F34" s="2226"/>
      <c r="G34" s="2226"/>
      <c r="H34" s="2226"/>
      <c r="I34" s="2226"/>
      <c r="J34" s="2226"/>
      <c r="K34" s="2225"/>
      <c r="L34" s="2225"/>
      <c r="M34" s="2223"/>
      <c r="N34" s="2223"/>
      <c r="O34" s="2223"/>
      <c r="P34" s="2223"/>
      <c r="Q34" s="2223"/>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35"/>
      <c r="AO34" s="2235"/>
      <c r="AP34" s="2235"/>
      <c r="AQ34" s="2235"/>
      <c r="AR34" s="2235"/>
      <c r="AS34" s="2235"/>
      <c r="AT34" s="2235"/>
      <c r="AU34" s="2235"/>
      <c r="AV34" s="2235"/>
      <c r="AW34" s="2235"/>
      <c r="AX34" s="2235"/>
      <c r="AY34" s="2235"/>
      <c r="AZ34" s="2235"/>
      <c r="BA34" s="2235"/>
      <c r="BB34" s="2235"/>
      <c r="BC34" s="2235"/>
      <c r="BD34" s="2235"/>
      <c r="BE34" s="2235"/>
      <c r="BF34" s="2235"/>
      <c r="BG34" s="2235"/>
      <c r="BH34" s="2235"/>
      <c r="BI34" s="2235"/>
      <c r="BJ34" s="2235"/>
      <c r="BK34" s="2235"/>
      <c r="BL34" s="2235"/>
      <c r="BM34" s="2235"/>
      <c r="BN34" s="2235"/>
      <c r="BO34" s="2235"/>
    </row>
    <row r="35" spans="1:67" s="1204" customFormat="1" ht="13.5">
      <c r="A35" s="74" t="s">
        <v>717</v>
      </c>
      <c r="B35" s="408">
        <v>150</v>
      </c>
      <c r="C35" s="3288" t="s">
        <v>3011</v>
      </c>
      <c r="D35" s="2230"/>
      <c r="E35" s="2228"/>
      <c r="F35" s="2228"/>
      <c r="G35" s="2226"/>
      <c r="H35" s="2226"/>
      <c r="I35" s="2226"/>
      <c r="J35" s="2226"/>
      <c r="K35" s="2225"/>
      <c r="L35" s="2225"/>
      <c r="M35" s="2223"/>
      <c r="N35" s="2223"/>
      <c r="O35" s="2223"/>
      <c r="P35" s="2223"/>
      <c r="Q35" s="2223"/>
      <c r="R35" s="2223"/>
      <c r="S35" s="2223"/>
      <c r="T35" s="2223"/>
      <c r="U35" s="2223"/>
      <c r="V35" s="2223"/>
      <c r="W35" s="2223"/>
      <c r="X35" s="2223"/>
      <c r="Y35" s="2223"/>
      <c r="Z35" s="2223"/>
      <c r="AA35" s="2223"/>
      <c r="AB35" s="2223"/>
      <c r="AC35" s="2223"/>
      <c r="AD35" s="2223"/>
      <c r="AE35" s="2223"/>
      <c r="AF35" s="2223"/>
      <c r="AG35" s="2223"/>
      <c r="AH35" s="2223"/>
      <c r="AI35" s="2223"/>
      <c r="AJ35" s="2223"/>
      <c r="AK35" s="2223"/>
      <c r="AL35" s="2223"/>
      <c r="AM35" s="2223"/>
      <c r="AN35" s="2235"/>
      <c r="AO35" s="2235"/>
      <c r="AP35" s="2235"/>
      <c r="AQ35" s="2235"/>
      <c r="AR35" s="2235"/>
      <c r="AS35" s="2235"/>
      <c r="AT35" s="2235"/>
      <c r="AU35" s="2235"/>
      <c r="AV35" s="2235"/>
      <c r="AW35" s="2235"/>
      <c r="AX35" s="2235"/>
      <c r="AY35" s="2235"/>
      <c r="AZ35" s="2235"/>
      <c r="BA35" s="2235"/>
      <c r="BB35" s="2235"/>
      <c r="BC35" s="2235"/>
      <c r="BD35" s="2235"/>
      <c r="BE35" s="2235"/>
      <c r="BF35" s="2235"/>
      <c r="BG35" s="2235"/>
      <c r="BH35" s="2235"/>
      <c r="BI35" s="2235"/>
      <c r="BJ35" s="2235"/>
      <c r="BK35" s="2235"/>
      <c r="BL35" s="2235"/>
      <c r="BM35" s="2235"/>
      <c r="BN35" s="2235"/>
      <c r="BO35" s="2235"/>
    </row>
    <row r="36" spans="1:67" ht="14.25" thickBot="1">
      <c r="A36" s="280" t="s">
        <v>718</v>
      </c>
      <c r="B36" s="412">
        <v>1.4999999999999999E-2</v>
      </c>
      <c r="C36" s="3288" t="s">
        <v>3012</v>
      </c>
      <c r="D36" s="2227"/>
      <c r="E36" s="2226"/>
      <c r="F36" s="2226"/>
      <c r="G36" s="2226"/>
      <c r="H36" s="2226"/>
      <c r="I36" s="2226"/>
      <c r="J36" s="2226"/>
      <c r="K36" s="2225"/>
      <c r="L36" s="2225"/>
      <c r="M36" s="2223"/>
      <c r="N36" s="2223"/>
      <c r="O36" s="2223"/>
      <c r="P36" s="2223"/>
      <c r="Q36" s="2223"/>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23"/>
      <c r="AM36" s="2223"/>
    </row>
    <row r="37" spans="1:67" ht="13.5">
      <c r="A37" s="279" t="s">
        <v>719</v>
      </c>
      <c r="B37" s="413">
        <v>1.4999999999999999E-2</v>
      </c>
      <c r="C37" s="3288" t="s">
        <v>3013</v>
      </c>
      <c r="D37" s="2227"/>
      <c r="E37" s="2226"/>
      <c r="F37" s="2226"/>
      <c r="G37" s="2226"/>
      <c r="H37" s="2226"/>
      <c r="I37" s="2226"/>
      <c r="J37" s="2226"/>
      <c r="K37" s="2225"/>
      <c r="L37" s="2225"/>
      <c r="M37" s="2223"/>
      <c r="N37" s="2223"/>
      <c r="O37" s="2223"/>
      <c r="P37" s="2223"/>
      <c r="Q37" s="2223"/>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23"/>
      <c r="AM37" s="2223"/>
    </row>
    <row r="38" spans="1:67" ht="13.5">
      <c r="A38" s="74" t="s">
        <v>720</v>
      </c>
      <c r="B38" s="411">
        <v>2.5000000000000001E-2</v>
      </c>
      <c r="C38" s="3288" t="s">
        <v>3013</v>
      </c>
      <c r="D38" s="2227"/>
      <c r="E38" s="2226"/>
      <c r="F38" s="2226"/>
      <c r="G38" s="2226"/>
      <c r="H38" s="2226"/>
      <c r="I38" s="2226"/>
      <c r="J38" s="2226"/>
      <c r="K38" s="2225"/>
      <c r="L38" s="2225"/>
      <c r="M38" s="2223"/>
      <c r="N38" s="2223"/>
      <c r="O38" s="2223"/>
      <c r="P38" s="2223"/>
      <c r="Q38" s="2223"/>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3"/>
      <c r="AM38" s="2223"/>
    </row>
    <row r="39" spans="1:67" ht="13.5">
      <c r="A39" s="76" t="s">
        <v>2545</v>
      </c>
      <c r="B39" s="698">
        <f ca="1">存贷款利率!I1</f>
        <v>1.4999999999999999E-2</v>
      </c>
      <c r="C39" s="2524"/>
      <c r="D39" s="2227"/>
      <c r="E39" s="2226"/>
      <c r="F39" s="2226"/>
      <c r="G39" s="2226"/>
      <c r="H39" s="2226"/>
      <c r="I39" s="2226"/>
      <c r="J39" s="2226"/>
      <c r="K39" s="2225"/>
      <c r="L39" s="2225"/>
      <c r="M39" s="2223"/>
      <c r="N39" s="2223"/>
      <c r="O39" s="2223"/>
      <c r="P39" s="2223"/>
      <c r="Q39" s="2223"/>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3"/>
      <c r="AM39" s="2223"/>
    </row>
    <row r="40" spans="1:67" ht="14.25" thickBot="1">
      <c r="A40" s="76" t="s">
        <v>2621</v>
      </c>
      <c r="B40" s="2630">
        <f ca="1">存贷款利率!G1</f>
        <v>4.7500000000000001E-2</v>
      </c>
      <c r="C40" s="2524" t="s">
        <v>538</v>
      </c>
      <c r="D40" s="2223"/>
      <c r="E40" s="2227"/>
      <c r="F40" s="2226"/>
      <c r="G40" s="2226"/>
      <c r="H40" s="2226"/>
      <c r="I40" s="2226"/>
      <c r="J40" s="2226"/>
      <c r="K40" s="2225"/>
      <c r="L40" s="2225"/>
      <c r="M40" s="2223"/>
      <c r="N40" s="2223"/>
      <c r="O40" s="2223"/>
      <c r="P40" s="2223"/>
      <c r="Q40" s="2223"/>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3"/>
      <c r="AM40" s="2223"/>
    </row>
    <row r="41" spans="1:67" ht="14.25">
      <c r="A41" s="73" t="s">
        <v>721</v>
      </c>
      <c r="B41" s="414">
        <f>B42+B43</f>
        <v>5.6000000000000001E-2</v>
      </c>
      <c r="C41" s="2522"/>
      <c r="D41" s="2223"/>
      <c r="E41" s="2227"/>
      <c r="F41" s="2226"/>
      <c r="G41" s="2226"/>
      <c r="H41" s="2226"/>
      <c r="I41" s="2226"/>
      <c r="J41" s="2226"/>
      <c r="K41" s="2225"/>
      <c r="L41" s="2225"/>
      <c r="M41" s="2223"/>
      <c r="N41" s="2223"/>
      <c r="O41" s="2223"/>
      <c r="P41" s="2223"/>
      <c r="Q41" s="2223"/>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3"/>
      <c r="AM41" s="2223"/>
    </row>
    <row r="42" spans="1:67" ht="14.25">
      <c r="A42" s="1205" t="s">
        <v>722</v>
      </c>
      <c r="B42" s="415">
        <v>0.05</v>
      </c>
      <c r="C42" s="3313">
        <f>IF(B2&lt;DATE(2016,5,1),0,B42)</f>
        <v>0.05</v>
      </c>
      <c r="D42" s="2227"/>
      <c r="E42" s="2226"/>
      <c r="F42" s="2226"/>
      <c r="G42" s="2226"/>
      <c r="H42" s="2226"/>
      <c r="I42" s="2226"/>
      <c r="J42" s="2226"/>
      <c r="K42" s="2225"/>
      <c r="L42" s="2225"/>
      <c r="M42" s="2223"/>
      <c r="N42" s="2223"/>
      <c r="O42" s="2223"/>
      <c r="P42" s="2223"/>
      <c r="Q42" s="2223"/>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3"/>
      <c r="AM42" s="2223"/>
    </row>
    <row r="43" spans="1:67" ht="14.25">
      <c r="A43" s="1205" t="s">
        <v>723</v>
      </c>
      <c r="B43" s="416">
        <f>B42*(B44+B45+B46)+B47</f>
        <v>6.000000000000001E-3</v>
      </c>
      <c r="C43" s="2522"/>
      <c r="D43" s="2227"/>
      <c r="E43" s="2226"/>
      <c r="F43" s="2226"/>
      <c r="G43" s="2226"/>
      <c r="H43" s="2226"/>
      <c r="I43" s="2226"/>
      <c r="J43" s="2226"/>
      <c r="K43" s="2225"/>
      <c r="L43" s="2225"/>
      <c r="M43" s="2223"/>
      <c r="N43" s="2223"/>
      <c r="O43" s="2223"/>
      <c r="P43" s="2223"/>
      <c r="Q43" s="2223"/>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3"/>
      <c r="AM43" s="2223"/>
    </row>
    <row r="44" spans="1:67" ht="14.25">
      <c r="A44" s="75" t="s">
        <v>724</v>
      </c>
      <c r="B44" s="417">
        <v>7.0000000000000007E-2</v>
      </c>
      <c r="C44" s="3288" t="s">
        <v>3015</v>
      </c>
      <c r="D44" s="2227"/>
      <c r="E44" s="2226"/>
      <c r="F44" s="2226"/>
      <c r="G44" s="2226"/>
      <c r="H44" s="2226"/>
      <c r="I44" s="2226"/>
      <c r="J44" s="2226"/>
      <c r="K44" s="2225"/>
      <c r="L44" s="2225"/>
      <c r="M44" s="2223"/>
      <c r="N44" s="2223"/>
      <c r="O44" s="2223"/>
      <c r="P44" s="2223"/>
      <c r="Q44" s="2223"/>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3"/>
      <c r="AM44" s="2223"/>
    </row>
    <row r="45" spans="1:67" ht="14.25">
      <c r="A45" s="75" t="s">
        <v>725</v>
      </c>
      <c r="B45" s="415">
        <v>0.03</v>
      </c>
      <c r="C45" s="3289" t="s">
        <v>3014</v>
      </c>
      <c r="D45" s="2227"/>
      <c r="E45" s="2226"/>
      <c r="F45" s="2226"/>
      <c r="G45" s="2226"/>
      <c r="H45" s="2226"/>
      <c r="I45" s="2226"/>
      <c r="J45" s="2226"/>
      <c r="K45" s="2225"/>
      <c r="L45" s="2225"/>
      <c r="M45" s="2223"/>
      <c r="N45" s="2223"/>
      <c r="O45" s="2223"/>
      <c r="P45" s="2223"/>
      <c r="Q45" s="2223"/>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3"/>
      <c r="AM45" s="2223"/>
    </row>
    <row r="46" spans="1:67" ht="14.25">
      <c r="A46" s="75" t="s">
        <v>726</v>
      </c>
      <c r="B46" s="415">
        <v>0.02</v>
      </c>
      <c r="C46" s="3289" t="s">
        <v>3042</v>
      </c>
      <c r="D46" s="2227"/>
      <c r="E46" s="2226"/>
      <c r="F46" s="2226"/>
      <c r="G46" s="2226"/>
      <c r="H46" s="2226"/>
      <c r="I46" s="2226"/>
      <c r="J46" s="2226"/>
      <c r="K46" s="2225"/>
      <c r="L46" s="2225"/>
      <c r="M46" s="2223"/>
      <c r="N46" s="2223"/>
      <c r="O46" s="2223"/>
      <c r="P46" s="2223"/>
      <c r="Q46" s="2223"/>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3"/>
      <c r="AM46" s="2223"/>
    </row>
    <row r="47" spans="1:67" ht="15" thickBot="1">
      <c r="A47" s="282" t="s">
        <v>727</v>
      </c>
      <c r="B47" s="418"/>
      <c r="C47" s="2522" t="s">
        <v>728</v>
      </c>
      <c r="D47" s="2227"/>
      <c r="E47" s="2226"/>
      <c r="F47" s="2226"/>
      <c r="G47" s="2226"/>
      <c r="H47" s="2226"/>
      <c r="I47" s="2226"/>
      <c r="J47" s="2226"/>
      <c r="K47" s="2225"/>
      <c r="L47" s="2225"/>
      <c r="M47" s="2223"/>
      <c r="N47" s="2223"/>
      <c r="O47" s="2223"/>
      <c r="P47" s="2223"/>
      <c r="Q47" s="2223"/>
      <c r="R47" s="2223"/>
      <c r="S47" s="2223"/>
      <c r="T47" s="2223"/>
      <c r="U47" s="2223"/>
      <c r="V47" s="2223"/>
      <c r="W47" s="2223"/>
      <c r="X47" s="2223"/>
      <c r="Y47" s="2223"/>
      <c r="Z47" s="2223"/>
      <c r="AA47" s="2223"/>
      <c r="AB47" s="2223"/>
      <c r="AC47" s="2223"/>
      <c r="AD47" s="2223"/>
      <c r="AE47" s="2223"/>
      <c r="AF47" s="2223"/>
      <c r="AG47" s="2223"/>
      <c r="AH47" s="2223"/>
      <c r="AI47" s="2223"/>
      <c r="AJ47" s="2223"/>
      <c r="AK47" s="2223"/>
      <c r="AL47" s="2223"/>
      <c r="AM47" s="2223"/>
    </row>
    <row r="48" spans="1:67" ht="14.25">
      <c r="A48" s="281" t="s">
        <v>729</v>
      </c>
      <c r="B48" s="419">
        <v>0.03</v>
      </c>
      <c r="C48" s="3311" t="s">
        <v>3043</v>
      </c>
      <c r="D48" s="2227"/>
      <c r="E48" s="2226"/>
      <c r="F48" s="2226"/>
      <c r="G48" s="2226"/>
      <c r="H48" s="2226"/>
      <c r="I48" s="2226"/>
      <c r="J48" s="2226"/>
      <c r="K48" s="2225"/>
      <c r="L48" s="2225"/>
      <c r="M48" s="2223"/>
      <c r="N48" s="2223"/>
      <c r="O48" s="2223"/>
      <c r="P48" s="2223"/>
      <c r="Q48" s="2223"/>
      <c r="R48" s="2223"/>
      <c r="S48" s="2223"/>
      <c r="T48" s="2223"/>
      <c r="U48" s="2223"/>
      <c r="V48" s="2223"/>
      <c r="W48" s="2223"/>
      <c r="X48" s="2223"/>
      <c r="Y48" s="2223"/>
      <c r="Z48" s="2223"/>
      <c r="AA48" s="2223"/>
      <c r="AB48" s="2223"/>
      <c r="AC48" s="2223"/>
      <c r="AD48" s="2223"/>
      <c r="AE48" s="2223"/>
      <c r="AF48" s="2223"/>
      <c r="AG48" s="2223"/>
      <c r="AH48" s="2223"/>
      <c r="AI48" s="2223"/>
      <c r="AJ48" s="2223"/>
      <c r="AK48" s="2223"/>
      <c r="AL48" s="2223"/>
      <c r="AM48" s="2223"/>
    </row>
    <row r="49" spans="1:39" ht="15" thickBot="1">
      <c r="A49" s="76" t="s">
        <v>730</v>
      </c>
      <c r="B49" s="415">
        <v>5.0000000000000001E-4</v>
      </c>
      <c r="C49" s="3311" t="s">
        <v>3044</v>
      </c>
      <c r="D49" s="2227"/>
      <c r="E49" s="2226"/>
      <c r="F49" s="2226"/>
      <c r="G49" s="2226"/>
      <c r="H49" s="2226"/>
      <c r="I49" s="2226"/>
      <c r="J49" s="2226"/>
      <c r="K49" s="2225"/>
      <c r="L49" s="2225"/>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2223"/>
      <c r="AM49" s="2223"/>
    </row>
    <row r="50" spans="1:39" ht="14.25">
      <c r="A50" s="278" t="s">
        <v>731</v>
      </c>
      <c r="B50" s="420">
        <v>1.2E-2</v>
      </c>
      <c r="C50" s="2228"/>
      <c r="D50" s="2227"/>
      <c r="E50" s="2226"/>
      <c r="F50" s="2226"/>
      <c r="G50" s="2226"/>
      <c r="H50" s="2226"/>
      <c r="I50" s="2226"/>
      <c r="J50" s="2226"/>
      <c r="K50" s="2225"/>
      <c r="L50" s="2225"/>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row>
    <row r="51" spans="1:39" ht="15" thickBot="1">
      <c r="A51" s="280" t="s">
        <v>732</v>
      </c>
      <c r="B51" s="421">
        <v>0.12</v>
      </c>
      <c r="C51" s="2228"/>
      <c r="D51" s="2227"/>
      <c r="E51" s="2226"/>
      <c r="F51" s="2226"/>
      <c r="G51" s="2226"/>
      <c r="H51" s="2226"/>
      <c r="I51" s="2226"/>
      <c r="J51" s="2226"/>
      <c r="K51" s="2225"/>
      <c r="L51" s="2225"/>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2223"/>
      <c r="AM51" s="2223"/>
    </row>
    <row r="52" spans="1:39" ht="14.25">
      <c r="A52" s="278" t="s">
        <v>733</v>
      </c>
      <c r="B52" s="422">
        <f>SUMIF(A54:A63,B53,B54:B63)</f>
        <v>7</v>
      </c>
      <c r="C52" s="2228"/>
      <c r="D52" s="2227"/>
      <c r="E52" s="2226"/>
      <c r="F52" s="2226"/>
      <c r="G52" s="2226"/>
      <c r="H52" s="2226"/>
      <c r="I52" s="2226"/>
      <c r="J52" s="2226"/>
      <c r="K52" s="2225"/>
      <c r="L52" s="2225"/>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2223"/>
      <c r="AM52" s="2223"/>
    </row>
    <row r="53" spans="1:39" ht="27">
      <c r="A53" s="74" t="s">
        <v>734</v>
      </c>
      <c r="B53" s="41" t="s">
        <v>1139</v>
      </c>
      <c r="C53" s="2228" t="s">
        <v>3016</v>
      </c>
      <c r="D53" s="2231" t="s">
        <v>3020</v>
      </c>
      <c r="E53" s="2226"/>
      <c r="F53" s="2226"/>
      <c r="G53" s="2226"/>
      <c r="H53" s="2226"/>
      <c r="I53" s="2226"/>
      <c r="J53" s="2226"/>
      <c r="K53" s="2225"/>
      <c r="L53" s="2225"/>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2223"/>
      <c r="AM53" s="2223"/>
    </row>
    <row r="54" spans="1:39" ht="14.25">
      <c r="A54" s="42" t="s">
        <v>164</v>
      </c>
      <c r="B54" s="374"/>
      <c r="C54" s="2849">
        <v>30</v>
      </c>
      <c r="D54" s="2227"/>
      <c r="E54" s="2226"/>
      <c r="F54" s="2226"/>
      <c r="G54" s="2226"/>
      <c r="H54" s="2226"/>
      <c r="I54" s="2226"/>
      <c r="J54" s="2226"/>
      <c r="K54" s="2225"/>
      <c r="L54" s="2225"/>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2223"/>
      <c r="AM54" s="2223"/>
    </row>
    <row r="55" spans="1:39" ht="14.25">
      <c r="A55" s="42" t="s">
        <v>165</v>
      </c>
      <c r="B55" s="374">
        <v>10</v>
      </c>
      <c r="C55" s="2849">
        <v>24</v>
      </c>
      <c r="D55" s="2227"/>
      <c r="E55" s="2226"/>
      <c r="F55" s="2226"/>
      <c r="G55" s="2226"/>
      <c r="H55" s="2226"/>
      <c r="I55" s="2221"/>
      <c r="J55" s="2226"/>
      <c r="K55" s="2225"/>
      <c r="L55" s="2225"/>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2223"/>
      <c r="AM55" s="2223"/>
    </row>
    <row r="56" spans="1:39" ht="14.25">
      <c r="A56" s="42" t="s">
        <v>160</v>
      </c>
      <c r="B56" s="374"/>
      <c r="C56" s="2849">
        <v>18</v>
      </c>
      <c r="D56" s="2227"/>
      <c r="E56" s="2226"/>
      <c r="F56" s="2226"/>
      <c r="G56" s="2226"/>
      <c r="H56" s="2226"/>
      <c r="I56" s="2226"/>
      <c r="J56" s="2226"/>
      <c r="K56" s="2225"/>
      <c r="L56" s="2225"/>
      <c r="M56" s="2223"/>
      <c r="N56" s="2223"/>
      <c r="O56" s="2223"/>
      <c r="P56" s="2223"/>
      <c r="Q56" s="2223"/>
      <c r="R56" s="2223"/>
      <c r="S56" s="2223"/>
      <c r="T56" s="2223"/>
      <c r="U56" s="2223"/>
      <c r="V56" s="2223"/>
      <c r="W56" s="2223"/>
      <c r="X56" s="2223"/>
      <c r="Y56" s="2223"/>
      <c r="Z56" s="2223"/>
      <c r="AA56" s="2223"/>
      <c r="AB56" s="2223"/>
      <c r="AC56" s="2223"/>
      <c r="AD56" s="2223"/>
      <c r="AE56" s="2223"/>
      <c r="AF56" s="2223"/>
      <c r="AG56" s="2223"/>
      <c r="AH56" s="2223"/>
      <c r="AI56" s="2223"/>
      <c r="AJ56" s="2223"/>
      <c r="AK56" s="2223"/>
      <c r="AL56" s="2223"/>
      <c r="AM56" s="2223"/>
    </row>
    <row r="57" spans="1:39" ht="14.25">
      <c r="A57" s="42" t="s">
        <v>161</v>
      </c>
      <c r="B57" s="374">
        <v>7</v>
      </c>
      <c r="C57" s="2849">
        <v>12</v>
      </c>
      <c r="D57" s="2227"/>
      <c r="E57" s="2226"/>
      <c r="F57" s="2226"/>
      <c r="G57" s="2226"/>
      <c r="H57" s="2226"/>
      <c r="I57" s="2226"/>
      <c r="J57" s="2226"/>
      <c r="K57" s="2225"/>
      <c r="L57" s="2225"/>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2223"/>
      <c r="AM57" s="2223"/>
    </row>
    <row r="58" spans="1:39" ht="14.25">
      <c r="A58" s="42" t="s">
        <v>162</v>
      </c>
      <c r="B58" s="374"/>
      <c r="C58" s="2849">
        <v>3</v>
      </c>
      <c r="D58" s="2227"/>
      <c r="E58" s="2226"/>
      <c r="F58" s="2226"/>
      <c r="G58" s="2226"/>
      <c r="H58" s="2226"/>
      <c r="I58" s="2226"/>
      <c r="J58" s="2226"/>
      <c r="K58" s="2225"/>
      <c r="L58" s="2225"/>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2223"/>
      <c r="AM58" s="2223"/>
    </row>
    <row r="59" spans="1:39" ht="14.25">
      <c r="A59" s="42" t="s">
        <v>163</v>
      </c>
      <c r="B59" s="374"/>
      <c r="C59" s="2849">
        <v>1.5</v>
      </c>
      <c r="D59" s="2227"/>
      <c r="E59" s="2226"/>
      <c r="F59" s="2226"/>
      <c r="G59" s="2226"/>
      <c r="H59" s="2226"/>
      <c r="I59" s="2226"/>
      <c r="J59" s="2226"/>
      <c r="K59" s="2225"/>
      <c r="L59" s="2225"/>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2223"/>
      <c r="AM59" s="2223"/>
    </row>
    <row r="60" spans="1:39" ht="14.25">
      <c r="A60" s="42" t="s">
        <v>1179</v>
      </c>
      <c r="B60" s="374"/>
      <c r="C60" s="2226"/>
      <c r="D60" s="2227"/>
      <c r="E60" s="2226"/>
      <c r="F60" s="2226"/>
      <c r="G60" s="2226"/>
      <c r="H60" s="2226"/>
      <c r="I60" s="2226"/>
      <c r="J60" s="2226"/>
      <c r="K60" s="2225"/>
      <c r="L60" s="2225"/>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2223"/>
      <c r="AM60" s="2223"/>
    </row>
    <row r="61" spans="1:39" ht="14.25">
      <c r="A61" s="42" t="s">
        <v>3017</v>
      </c>
      <c r="B61" s="374"/>
      <c r="C61" s="2226"/>
      <c r="D61" s="2227"/>
      <c r="E61" s="2226"/>
      <c r="F61" s="2226"/>
      <c r="G61" s="2226"/>
      <c r="H61" s="2226"/>
      <c r="I61" s="2226"/>
      <c r="J61" s="2226"/>
      <c r="K61" s="2225"/>
      <c r="L61" s="2225"/>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row>
    <row r="62" spans="1:39" ht="14.25">
      <c r="A62" s="42" t="s">
        <v>3018</v>
      </c>
      <c r="B62" s="374"/>
      <c r="C62" s="2226"/>
      <c r="D62" s="2227"/>
      <c r="E62" s="2226"/>
      <c r="F62" s="2226"/>
      <c r="G62" s="2226"/>
      <c r="H62" s="2226"/>
      <c r="I62" s="2226"/>
      <c r="J62" s="2226"/>
      <c r="K62" s="2225"/>
      <c r="L62" s="2225"/>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2223"/>
      <c r="AM62" s="2223"/>
    </row>
    <row r="63" spans="1:39" ht="15" thickBot="1">
      <c r="A63" s="43" t="s">
        <v>3019</v>
      </c>
      <c r="B63" s="423"/>
      <c r="C63" s="2226"/>
      <c r="D63" s="2227"/>
      <c r="E63" s="2226"/>
      <c r="F63" s="2226"/>
      <c r="G63" s="2226"/>
      <c r="H63" s="2226"/>
      <c r="I63" s="2226"/>
      <c r="J63" s="2226"/>
      <c r="K63" s="2225"/>
      <c r="L63" s="2225"/>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2223"/>
      <c r="AM63" s="2223"/>
    </row>
    <row r="64" spans="1:39" s="2236" customFormat="1">
      <c r="A64" s="1452"/>
      <c r="D64" s="2237"/>
      <c r="K64" s="2238"/>
      <c r="L64" s="2238"/>
    </row>
    <row r="65" spans="1:12" s="2236" customFormat="1">
      <c r="A65" s="1452"/>
      <c r="D65" s="2237"/>
      <c r="K65" s="2238"/>
      <c r="L65" s="2238"/>
    </row>
    <row r="66" spans="1:12" s="2236" customFormat="1">
      <c r="A66" s="1452"/>
      <c r="D66" s="2237"/>
      <c r="K66" s="2238"/>
      <c r="L66" s="2238"/>
    </row>
    <row r="67" spans="1:12" s="2236" customFormat="1">
      <c r="A67" s="1452"/>
      <c r="D67" s="2237"/>
      <c r="K67" s="2238"/>
      <c r="L67" s="2238"/>
    </row>
    <row r="68" spans="1:12" s="2236" customFormat="1">
      <c r="A68" s="1452"/>
      <c r="D68" s="2237"/>
      <c r="K68" s="2238"/>
      <c r="L68" s="2238"/>
    </row>
    <row r="69" spans="1:12" s="2236" customFormat="1">
      <c r="A69" s="1452"/>
      <c r="D69" s="2237"/>
      <c r="K69" s="2238"/>
      <c r="L69" s="2238"/>
    </row>
    <row r="70" spans="1:12" s="2236" customFormat="1">
      <c r="A70" s="1452"/>
      <c r="D70" s="2237"/>
      <c r="K70" s="2238"/>
      <c r="L70" s="2238"/>
    </row>
    <row r="71" spans="1:12" s="2236" customFormat="1">
      <c r="A71" s="1452"/>
      <c r="D71" s="2237"/>
      <c r="K71" s="2238"/>
      <c r="L71" s="2238"/>
    </row>
    <row r="72" spans="1:12" s="2236" customFormat="1">
      <c r="A72" s="1452"/>
      <c r="D72" s="2237"/>
      <c r="K72" s="2238"/>
      <c r="L72" s="2238"/>
    </row>
    <row r="73" spans="1:12" s="2236" customFormat="1">
      <c r="A73" s="1452"/>
      <c r="D73" s="2237"/>
      <c r="K73" s="2238"/>
      <c r="L73" s="2238"/>
    </row>
    <row r="74" spans="1:12" s="2236" customFormat="1">
      <c r="A74" s="1452"/>
      <c r="D74" s="2237"/>
      <c r="K74" s="2238"/>
      <c r="L74" s="2238"/>
    </row>
    <row r="75" spans="1:12" s="2236" customFormat="1">
      <c r="A75" s="1452"/>
      <c r="D75" s="2237"/>
      <c r="K75" s="2238"/>
      <c r="L75" s="2238"/>
    </row>
    <row r="76" spans="1:12" s="2236" customFormat="1">
      <c r="A76" s="1452"/>
      <c r="D76" s="2237"/>
      <c r="K76" s="2238"/>
      <c r="L76" s="2238"/>
    </row>
    <row r="77" spans="1:12" s="2236" customFormat="1">
      <c r="A77" s="1452"/>
      <c r="D77" s="2237"/>
      <c r="K77" s="2238"/>
      <c r="L77" s="2238"/>
    </row>
    <row r="78" spans="1:12" s="2236" customFormat="1">
      <c r="A78" s="1452"/>
      <c r="D78" s="2237"/>
      <c r="K78" s="2238"/>
      <c r="L78" s="2238"/>
    </row>
    <row r="79" spans="1:12" s="2236" customFormat="1">
      <c r="A79" s="1452"/>
      <c r="D79" s="2237"/>
      <c r="K79" s="2238"/>
      <c r="L79" s="2238"/>
    </row>
    <row r="80" spans="1:12" s="2236" customFormat="1">
      <c r="A80" s="1452"/>
      <c r="D80" s="2237"/>
      <c r="K80" s="2238"/>
      <c r="L80" s="2238"/>
    </row>
    <row r="81" spans="1:12" s="2236" customFormat="1">
      <c r="A81" s="1452"/>
      <c r="D81" s="2237"/>
      <c r="K81" s="2238"/>
      <c r="L81" s="2238"/>
    </row>
    <row r="82" spans="1:12" s="2236" customFormat="1">
      <c r="A82" s="1452"/>
      <c r="D82" s="2237"/>
      <c r="K82" s="2238"/>
      <c r="L82" s="2238"/>
    </row>
    <row r="83" spans="1:12" s="2236" customFormat="1">
      <c r="A83" s="1452"/>
      <c r="D83" s="2237"/>
      <c r="K83" s="2238"/>
      <c r="L83" s="2238"/>
    </row>
    <row r="84" spans="1:12" s="2236" customFormat="1">
      <c r="A84" s="1452"/>
      <c r="D84" s="2237"/>
      <c r="K84" s="2238"/>
      <c r="L84" s="2238"/>
    </row>
    <row r="85" spans="1:12" s="2236" customFormat="1">
      <c r="A85" s="1452"/>
      <c r="D85" s="2237"/>
      <c r="K85" s="2238"/>
      <c r="L85" s="2238"/>
    </row>
    <row r="86" spans="1:12" s="2236" customFormat="1">
      <c r="A86" s="1452"/>
      <c r="D86" s="2237"/>
      <c r="K86" s="2238"/>
      <c r="L86" s="2238"/>
    </row>
    <row r="87" spans="1:12" s="2236" customFormat="1">
      <c r="A87" s="1452"/>
      <c r="D87" s="2237"/>
      <c r="K87" s="2238"/>
      <c r="L87" s="2238"/>
    </row>
    <row r="88" spans="1:12" s="2236" customFormat="1">
      <c r="A88" s="1452"/>
      <c r="D88" s="2237"/>
      <c r="K88" s="2238"/>
      <c r="L88" s="2238"/>
    </row>
    <row r="89" spans="1:12" s="2236" customFormat="1">
      <c r="A89" s="1452"/>
      <c r="D89" s="2237"/>
      <c r="K89" s="2238"/>
      <c r="L89" s="2238"/>
    </row>
    <row r="90" spans="1:12" s="2236" customFormat="1">
      <c r="A90" s="1452"/>
      <c r="D90" s="2237"/>
      <c r="K90" s="2238"/>
      <c r="L90" s="2238"/>
    </row>
    <row r="91" spans="1:12" s="2236" customFormat="1">
      <c r="A91" s="1452"/>
      <c r="D91" s="2237"/>
      <c r="K91" s="2238"/>
      <c r="L91" s="2238"/>
    </row>
    <row r="92" spans="1:12" s="2236" customFormat="1">
      <c r="A92" s="1452"/>
      <c r="D92" s="2237"/>
      <c r="K92" s="2238"/>
      <c r="L92" s="2238"/>
    </row>
    <row r="93" spans="1:12" s="2236" customFormat="1">
      <c r="A93" s="1452"/>
      <c r="D93" s="2237"/>
      <c r="K93" s="2238"/>
      <c r="L93" s="2238"/>
    </row>
    <row r="94" spans="1:12" s="2236" customFormat="1">
      <c r="A94" s="1452"/>
      <c r="D94" s="2237"/>
      <c r="K94" s="2238"/>
      <c r="L94" s="2238"/>
    </row>
    <row r="95" spans="1:12" s="2236" customFormat="1">
      <c r="A95" s="1452"/>
      <c r="D95" s="2237"/>
      <c r="K95" s="2238"/>
      <c r="L95" s="2238"/>
    </row>
    <row r="96" spans="1:12" s="2236" customFormat="1">
      <c r="A96" s="1452"/>
      <c r="D96" s="2237"/>
      <c r="K96" s="2238"/>
      <c r="L96" s="2238"/>
    </row>
    <row r="97" spans="1:12" s="2236" customFormat="1">
      <c r="A97" s="1452"/>
      <c r="D97" s="2237"/>
      <c r="K97" s="2238"/>
      <c r="L97" s="2238"/>
    </row>
    <row r="98" spans="1:12" s="2236" customFormat="1">
      <c r="A98" s="1452"/>
      <c r="D98" s="2237"/>
      <c r="K98" s="2238"/>
      <c r="L98" s="2238"/>
    </row>
    <row r="99" spans="1:12" s="2236" customFormat="1">
      <c r="A99" s="1452"/>
      <c r="D99" s="2237"/>
      <c r="K99" s="2238"/>
      <c r="L99" s="2238"/>
    </row>
    <row r="100" spans="1:12" s="2236" customFormat="1">
      <c r="A100" s="1452"/>
      <c r="D100" s="2237"/>
      <c r="K100" s="2238"/>
      <c r="L100" s="2238"/>
    </row>
    <row r="101" spans="1:12" s="2236" customFormat="1">
      <c r="A101" s="1452"/>
      <c r="D101" s="2237"/>
      <c r="K101" s="2238"/>
      <c r="L101" s="2238"/>
    </row>
    <row r="102" spans="1:12" s="2236" customFormat="1">
      <c r="A102" s="1452"/>
      <c r="D102" s="2237"/>
      <c r="K102" s="2238"/>
      <c r="L102" s="2238"/>
    </row>
    <row r="103" spans="1:12" s="2236" customFormat="1">
      <c r="A103" s="1452"/>
      <c r="D103" s="2237"/>
      <c r="K103" s="2238"/>
      <c r="L103" s="2238"/>
    </row>
    <row r="104" spans="1:12" s="2236" customFormat="1">
      <c r="A104" s="1452"/>
      <c r="D104" s="2237"/>
      <c r="K104" s="2238"/>
      <c r="L104" s="2238"/>
    </row>
    <row r="105" spans="1:12" s="2236" customFormat="1">
      <c r="A105" s="1452"/>
      <c r="D105" s="2237"/>
      <c r="K105" s="2238"/>
      <c r="L105" s="2238"/>
    </row>
    <row r="106" spans="1:12" s="2236" customFormat="1">
      <c r="A106" s="1452"/>
      <c r="D106" s="2237"/>
      <c r="K106" s="2238"/>
      <c r="L106" s="2238"/>
    </row>
    <row r="107" spans="1:12" s="2236" customFormat="1">
      <c r="A107" s="1452"/>
      <c r="D107" s="2237"/>
      <c r="K107" s="2238"/>
      <c r="L107" s="2238"/>
    </row>
    <row r="108" spans="1:12" s="2236" customFormat="1">
      <c r="A108" s="1452"/>
      <c r="D108" s="2237"/>
      <c r="K108" s="2238"/>
      <c r="L108" s="2238"/>
    </row>
    <row r="109" spans="1:12" s="2236" customFormat="1">
      <c r="A109" s="1452"/>
      <c r="D109" s="2237"/>
      <c r="K109" s="2238"/>
      <c r="L109" s="2238"/>
    </row>
    <row r="110" spans="1:12" s="2236" customFormat="1">
      <c r="A110" s="1452"/>
      <c r="D110" s="2237"/>
      <c r="K110" s="2238"/>
      <c r="L110" s="2238"/>
    </row>
    <row r="111" spans="1:12" s="2236" customFormat="1">
      <c r="A111" s="1452"/>
      <c r="D111" s="2237"/>
      <c r="K111" s="2238"/>
      <c r="L111" s="2238"/>
    </row>
    <row r="112" spans="1:12" s="2236" customFormat="1">
      <c r="A112" s="1452"/>
      <c r="D112" s="2237"/>
      <c r="K112" s="2238"/>
      <c r="L112" s="2238"/>
    </row>
    <row r="113" spans="1:12" s="2236" customFormat="1">
      <c r="A113" s="1452"/>
      <c r="D113" s="2237"/>
      <c r="K113" s="2238"/>
      <c r="L113" s="2238"/>
    </row>
    <row r="114" spans="1:12" s="2236" customFormat="1">
      <c r="A114" s="1452"/>
      <c r="D114" s="2237"/>
      <c r="K114" s="2238"/>
      <c r="L114" s="2238"/>
    </row>
    <row r="115" spans="1:12" s="2236" customFormat="1">
      <c r="A115" s="1452"/>
      <c r="D115" s="2237"/>
      <c r="K115" s="2238"/>
      <c r="L115" s="2238"/>
    </row>
    <row r="116" spans="1:12" s="2236" customFormat="1">
      <c r="A116" s="1452"/>
      <c r="D116" s="2237"/>
      <c r="K116" s="2238"/>
      <c r="L116" s="2238"/>
    </row>
    <row r="117" spans="1:12" s="2236" customFormat="1">
      <c r="A117" s="1452"/>
      <c r="D117" s="2237"/>
      <c r="K117" s="2238"/>
      <c r="L117" s="2238"/>
    </row>
    <row r="118" spans="1:12" s="2236" customFormat="1">
      <c r="A118" s="1452"/>
      <c r="D118" s="2237"/>
      <c r="K118" s="2238"/>
      <c r="L118" s="2238"/>
    </row>
    <row r="119" spans="1:12" s="2236" customFormat="1">
      <c r="A119" s="1452"/>
      <c r="D119" s="2237"/>
      <c r="K119" s="2238"/>
      <c r="L119" s="2238"/>
    </row>
    <row r="120" spans="1:12" s="2236" customFormat="1">
      <c r="A120" s="1452"/>
      <c r="D120" s="2237"/>
      <c r="K120" s="2238"/>
      <c r="L120" s="2238"/>
    </row>
    <row r="121" spans="1:12" s="2236" customFormat="1">
      <c r="A121" s="1452"/>
      <c r="D121" s="2237"/>
      <c r="K121" s="2238"/>
      <c r="L121" s="2238"/>
    </row>
    <row r="122" spans="1:12" s="2236" customFormat="1">
      <c r="A122" s="1452"/>
      <c r="D122" s="2237"/>
      <c r="K122" s="2238"/>
      <c r="L122" s="2238"/>
    </row>
    <row r="123" spans="1:12" s="2236" customFormat="1">
      <c r="A123" s="1452"/>
      <c r="D123" s="2237"/>
      <c r="K123" s="2238"/>
      <c r="L123" s="2238"/>
    </row>
    <row r="124" spans="1:12" s="2236" customFormat="1">
      <c r="A124" s="1452"/>
      <c r="D124" s="2237"/>
      <c r="K124" s="2238"/>
      <c r="L124" s="2238"/>
    </row>
    <row r="125" spans="1:12" s="2236" customFormat="1">
      <c r="A125" s="1452"/>
      <c r="D125" s="2237"/>
      <c r="K125" s="2238"/>
      <c r="L125" s="2238"/>
    </row>
    <row r="126" spans="1:12" s="2236" customFormat="1">
      <c r="A126" s="1452"/>
      <c r="D126" s="2237"/>
      <c r="K126" s="2238"/>
      <c r="L126" s="2238"/>
    </row>
    <row r="127" spans="1:12" s="2236" customFormat="1">
      <c r="A127" s="1452"/>
      <c r="D127" s="2237"/>
      <c r="K127" s="2238"/>
      <c r="L127" s="2238"/>
    </row>
    <row r="128" spans="1:12" s="2236" customFormat="1">
      <c r="A128" s="1452"/>
      <c r="D128" s="2237"/>
      <c r="K128" s="2238"/>
      <c r="L128" s="2238"/>
    </row>
    <row r="129" spans="1:12" s="2236" customFormat="1">
      <c r="A129" s="1452"/>
      <c r="D129" s="2237"/>
      <c r="K129" s="2238"/>
      <c r="L129" s="2238"/>
    </row>
    <row r="130" spans="1:12" s="2236" customFormat="1">
      <c r="A130" s="1452"/>
      <c r="D130" s="2237"/>
      <c r="K130" s="2238"/>
      <c r="L130" s="2238"/>
    </row>
    <row r="131" spans="1:12" s="2236" customFormat="1">
      <c r="A131" s="1452"/>
      <c r="D131" s="2237"/>
      <c r="K131" s="2238"/>
      <c r="L131" s="2238"/>
    </row>
    <row r="132" spans="1:12" s="2236" customFormat="1">
      <c r="A132" s="1452"/>
      <c r="D132" s="2237"/>
      <c r="K132" s="2238"/>
      <c r="L132" s="2238"/>
    </row>
    <row r="133" spans="1:12" s="2236" customFormat="1">
      <c r="A133" s="1452"/>
      <c r="D133" s="2237"/>
      <c r="K133" s="2238"/>
      <c r="L133" s="2238"/>
    </row>
    <row r="134" spans="1:12" s="2232" customFormat="1">
      <c r="A134" s="2239"/>
      <c r="D134" s="2240"/>
      <c r="K134" s="2241"/>
      <c r="L134" s="2241"/>
    </row>
    <row r="135" spans="1:12" s="2232" customFormat="1">
      <c r="A135" s="2239"/>
      <c r="D135" s="2240"/>
      <c r="K135" s="2241"/>
      <c r="L135" s="2241"/>
    </row>
    <row r="136" spans="1:12" s="2232" customFormat="1">
      <c r="A136" s="2239"/>
      <c r="D136" s="2240"/>
      <c r="K136" s="2241"/>
      <c r="L136" s="2241"/>
    </row>
    <row r="137" spans="1:12" s="2232" customFormat="1">
      <c r="A137" s="2239"/>
      <c r="D137" s="2240"/>
      <c r="K137" s="2241"/>
      <c r="L137" s="2241"/>
    </row>
    <row r="138" spans="1:12" s="2232" customFormat="1">
      <c r="A138" s="2239"/>
      <c r="D138" s="2240"/>
      <c r="K138" s="2241"/>
      <c r="L138" s="2241"/>
    </row>
    <row r="139" spans="1:12" s="2232" customFormat="1">
      <c r="A139" s="2239"/>
      <c r="D139" s="2240"/>
      <c r="K139" s="2241"/>
      <c r="L139" s="2241"/>
    </row>
    <row r="140" spans="1:12" s="2232" customFormat="1">
      <c r="A140" s="2239"/>
      <c r="D140" s="2240"/>
      <c r="K140" s="2241"/>
      <c r="L140" s="2241"/>
    </row>
    <row r="141" spans="1:12" s="2232" customFormat="1">
      <c r="A141" s="2239"/>
      <c r="D141" s="2240"/>
      <c r="K141" s="2241"/>
      <c r="L141" s="2241"/>
    </row>
    <row r="142" spans="1:12" s="2232" customFormat="1">
      <c r="A142" s="2239"/>
      <c r="D142" s="2240"/>
      <c r="K142" s="2241"/>
      <c r="L142" s="2241"/>
    </row>
    <row r="143" spans="1:12" s="2232" customFormat="1">
      <c r="A143" s="2239"/>
      <c r="D143" s="2240"/>
      <c r="K143" s="2241"/>
      <c r="L143" s="2241"/>
    </row>
    <row r="144" spans="1:12" s="2232" customFormat="1">
      <c r="A144" s="2239"/>
      <c r="D144" s="2240"/>
      <c r="K144" s="2241"/>
      <c r="L144" s="2241"/>
    </row>
    <row r="145" spans="1:12" s="2232" customFormat="1">
      <c r="A145" s="2239"/>
      <c r="D145" s="2240"/>
      <c r="K145" s="2241"/>
      <c r="L145" s="2241"/>
    </row>
    <row r="146" spans="1:12" s="2232" customFormat="1">
      <c r="A146" s="2239"/>
      <c r="D146" s="2240"/>
      <c r="K146" s="2241"/>
      <c r="L146" s="2241"/>
    </row>
    <row r="147" spans="1:12" s="2232" customFormat="1">
      <c r="A147" s="2239"/>
      <c r="D147" s="2240"/>
      <c r="K147" s="2241"/>
      <c r="L147" s="2241"/>
    </row>
    <row r="148" spans="1:12" s="2232" customFormat="1">
      <c r="A148" s="2239"/>
      <c r="D148" s="2240"/>
      <c r="K148" s="2241"/>
      <c r="L148" s="2241"/>
    </row>
    <row r="149" spans="1:12" s="2232" customFormat="1">
      <c r="A149" s="2239"/>
      <c r="D149" s="2240"/>
      <c r="K149" s="2241"/>
      <c r="L149" s="2241"/>
    </row>
    <row r="150" spans="1:12" s="2232" customFormat="1">
      <c r="A150" s="2239"/>
      <c r="D150" s="2240"/>
      <c r="K150" s="2241"/>
      <c r="L150" s="2241"/>
    </row>
    <row r="151" spans="1:12" s="2232" customFormat="1">
      <c r="A151" s="2239"/>
      <c r="D151" s="2240"/>
      <c r="K151" s="2241"/>
      <c r="L151" s="2241"/>
    </row>
    <row r="152" spans="1:12" s="2232" customFormat="1">
      <c r="A152" s="2239"/>
      <c r="D152" s="2240"/>
      <c r="K152" s="2241"/>
      <c r="L152" s="2241"/>
    </row>
    <row r="153" spans="1:12" s="2232" customFormat="1">
      <c r="A153" s="2239"/>
      <c r="D153" s="2240"/>
      <c r="K153" s="2241"/>
      <c r="L153" s="2241"/>
    </row>
    <row r="154" spans="1:12" s="2232" customFormat="1">
      <c r="A154" s="2239"/>
      <c r="D154" s="2240"/>
      <c r="K154" s="2241"/>
      <c r="L154" s="2241"/>
    </row>
    <row r="155" spans="1:12" s="2232" customFormat="1">
      <c r="A155" s="2239"/>
      <c r="D155" s="2240"/>
      <c r="K155" s="2241"/>
      <c r="L155" s="2241"/>
    </row>
    <row r="156" spans="1:12" s="2232" customFormat="1">
      <c r="A156" s="2239"/>
      <c r="D156" s="2240"/>
      <c r="K156" s="2241"/>
      <c r="L156" s="2241"/>
    </row>
    <row r="157" spans="1:12" s="2232" customFormat="1">
      <c r="A157" s="2239"/>
      <c r="D157" s="2240"/>
      <c r="K157" s="2241"/>
      <c r="L157" s="2241"/>
    </row>
    <row r="158" spans="1:12" s="2232" customFormat="1">
      <c r="A158" s="2239"/>
      <c r="D158" s="2240"/>
      <c r="K158" s="2241"/>
      <c r="L158" s="2241"/>
    </row>
    <row r="159" spans="1:12" s="2232" customFormat="1">
      <c r="A159" s="2239"/>
      <c r="D159" s="2240"/>
      <c r="K159" s="2241"/>
      <c r="L159" s="2241"/>
    </row>
    <row r="160" spans="1:12" s="2232" customFormat="1">
      <c r="A160" s="2239"/>
      <c r="D160" s="2240"/>
      <c r="K160" s="2241"/>
      <c r="L160" s="2241"/>
    </row>
    <row r="161" spans="1:12" s="2232" customFormat="1">
      <c r="A161" s="2239"/>
      <c r="D161" s="2240"/>
      <c r="K161" s="2241"/>
      <c r="L161" s="2241"/>
    </row>
    <row r="162" spans="1:12" s="2232" customFormat="1">
      <c r="A162" s="2239"/>
      <c r="D162" s="2240"/>
      <c r="K162" s="2241"/>
      <c r="L162" s="2241"/>
    </row>
    <row r="163" spans="1:12" s="2232" customFormat="1">
      <c r="A163" s="2239"/>
      <c r="D163" s="2240"/>
      <c r="K163" s="2241"/>
      <c r="L163" s="2241"/>
    </row>
    <row r="164" spans="1:12" s="2232" customFormat="1">
      <c r="A164" s="2239"/>
      <c r="D164" s="2240"/>
      <c r="K164" s="2241"/>
      <c r="L164" s="2241"/>
    </row>
    <row r="165" spans="1:12" s="2232" customFormat="1">
      <c r="A165" s="2239"/>
      <c r="D165" s="2240"/>
      <c r="K165" s="2241"/>
      <c r="L165" s="2241"/>
    </row>
    <row r="166" spans="1:12" s="2232" customFormat="1">
      <c r="A166" s="2239"/>
      <c r="D166" s="2240"/>
      <c r="K166" s="2241"/>
      <c r="L166" s="2241"/>
    </row>
    <row r="167" spans="1:12" s="2232" customFormat="1">
      <c r="A167" s="2239"/>
      <c r="D167" s="2240"/>
      <c r="K167" s="2241"/>
      <c r="L167" s="2241"/>
    </row>
    <row r="168" spans="1:12" s="2232" customFormat="1">
      <c r="A168" s="2239"/>
      <c r="D168" s="2240"/>
      <c r="K168" s="2241"/>
      <c r="L168" s="2241"/>
    </row>
    <row r="169" spans="1:12" s="2232" customFormat="1">
      <c r="A169" s="2239"/>
      <c r="D169" s="2240"/>
      <c r="K169" s="2241"/>
      <c r="L169" s="2241"/>
    </row>
    <row r="170" spans="1:12" s="2232" customFormat="1">
      <c r="A170" s="2239"/>
      <c r="D170" s="2240"/>
      <c r="K170" s="2241"/>
      <c r="L170" s="2241"/>
    </row>
    <row r="171" spans="1:12" s="2232" customFormat="1">
      <c r="A171" s="2239"/>
      <c r="D171" s="2240"/>
      <c r="K171" s="2241"/>
      <c r="L171" s="2241"/>
    </row>
    <row r="172" spans="1:12" s="2232" customFormat="1">
      <c r="A172" s="2239"/>
      <c r="D172" s="2240"/>
      <c r="K172" s="2241"/>
      <c r="L172" s="2241"/>
    </row>
    <row r="173" spans="1:12" s="2232" customFormat="1">
      <c r="A173" s="2239"/>
      <c r="D173" s="2240"/>
      <c r="K173" s="2241"/>
      <c r="L173" s="2241"/>
    </row>
    <row r="174" spans="1:12" s="2232" customFormat="1">
      <c r="A174" s="2239"/>
      <c r="D174" s="2240"/>
      <c r="K174" s="2241"/>
      <c r="L174" s="2241"/>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N22">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3"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8" customWidth="1"/>
    <col min="2" max="2" width="24.5" style="2267" customWidth="1"/>
    <col min="3" max="3" width="24.5" style="2268" customWidth="1"/>
    <col min="4" max="4" width="2.625" style="2268" customWidth="1"/>
    <col min="5" max="5" width="5.875" style="2268" customWidth="1"/>
    <col min="6" max="6" width="27" style="2267" customWidth="1"/>
    <col min="7" max="7" width="27" style="2269" customWidth="1"/>
    <col min="8" max="8" width="11.875" style="2262" customWidth="1"/>
    <col min="9" max="9" width="16.75" style="2263" customWidth="1"/>
    <col min="10" max="10" width="2.625" style="2262" customWidth="1"/>
    <col min="11" max="11" width="11.875" style="2262" customWidth="1"/>
    <col min="12" max="12" width="16.75" style="2263" customWidth="1"/>
    <col min="13" max="13" width="2.625" style="2262" customWidth="1"/>
    <col min="14" max="14" width="11.875" style="2262" customWidth="1"/>
    <col min="15" max="15" width="16.75" style="2263" customWidth="1"/>
    <col min="16" max="16" width="2.625" style="2262" customWidth="1"/>
    <col min="17" max="17" width="11.875" style="2262" customWidth="1"/>
    <col min="18" max="18" width="16.75" style="2264" customWidth="1"/>
    <col min="19" max="29" width="9" style="2249"/>
    <col min="30" max="16384" width="9" style="2218"/>
  </cols>
  <sheetData>
    <row r="1" spans="1:29" s="2247" customFormat="1" ht="19.5" thickBot="1">
      <c r="A1" s="3492" t="s">
        <v>751</v>
      </c>
      <c r="B1" s="3493"/>
      <c r="C1" s="3493"/>
      <c r="D1" s="3493"/>
      <c r="E1" s="3493"/>
      <c r="F1" s="3493"/>
      <c r="G1" s="3493"/>
      <c r="H1" s="2242"/>
      <c r="I1" s="2243"/>
      <c r="J1" s="2242"/>
      <c r="K1" s="2242"/>
      <c r="L1" s="2243"/>
      <c r="M1" s="2242"/>
      <c r="N1" s="2242"/>
      <c r="O1" s="2243"/>
      <c r="P1" s="2242"/>
      <c r="Q1" s="2244"/>
      <c r="R1" s="2245"/>
      <c r="S1" s="2246"/>
      <c r="T1" s="2246"/>
      <c r="U1" s="2246"/>
      <c r="V1" s="2246"/>
      <c r="W1" s="2246"/>
      <c r="X1" s="2246"/>
      <c r="Y1" s="2246"/>
      <c r="Z1" s="2246"/>
      <c r="AA1" s="2246"/>
      <c r="AB1" s="2246"/>
      <c r="AC1" s="2246"/>
    </row>
    <row r="2" spans="1:29" ht="14.25" thickBot="1">
      <c r="A2" s="1208"/>
      <c r="B2" s="1209"/>
      <c r="C2" s="1210" t="s">
        <v>752</v>
      </c>
      <c r="D2" s="1211"/>
      <c r="E2" s="1212"/>
      <c r="F2" s="1199"/>
      <c r="G2" s="1210" t="s">
        <v>753</v>
      </c>
      <c r="H2" s="2249"/>
      <c r="I2" s="2249"/>
      <c r="J2" s="2249"/>
      <c r="K2" s="2249"/>
      <c r="L2" s="2249"/>
      <c r="M2" s="2249"/>
      <c r="N2" s="2249"/>
      <c r="O2" s="2249"/>
      <c r="P2" s="2249"/>
      <c r="Q2" s="2249"/>
      <c r="R2" s="2249"/>
    </row>
    <row r="3" spans="1:29" ht="54">
      <c r="A3" s="1020" t="s">
        <v>754</v>
      </c>
      <c r="B3" s="51" t="s">
        <v>52</v>
      </c>
      <c r="C3" s="3290" t="s">
        <v>755</v>
      </c>
      <c r="D3" s="2250"/>
      <c r="E3" s="1029" t="s">
        <v>754</v>
      </c>
      <c r="F3" s="1213" t="s">
        <v>99</v>
      </c>
      <c r="G3" s="3294" t="s">
        <v>3023</v>
      </c>
      <c r="H3" s="2249"/>
      <c r="I3" s="2249"/>
      <c r="J3" s="2249"/>
      <c r="K3" s="2249"/>
      <c r="L3" s="2249"/>
      <c r="M3" s="2249"/>
      <c r="N3" s="2249"/>
      <c r="O3" s="2249"/>
      <c r="P3" s="2249"/>
      <c r="Q3" s="2249"/>
      <c r="R3" s="2249"/>
    </row>
    <row r="4" spans="1:29" ht="40.5">
      <c r="A4" s="1029"/>
      <c r="B4" s="2205" t="s">
        <v>756</v>
      </c>
      <c r="C4" s="3291" t="s">
        <v>757</v>
      </c>
      <c r="D4" s="2250"/>
      <c r="E4" s="1214"/>
      <c r="F4" s="2209" t="s">
        <v>758</v>
      </c>
      <c r="G4" s="3292" t="s">
        <v>759</v>
      </c>
      <c r="H4" s="2249"/>
      <c r="I4" s="2249"/>
      <c r="J4" s="2249"/>
      <c r="K4" s="2249"/>
      <c r="L4" s="2249"/>
      <c r="M4" s="2249"/>
      <c r="N4" s="2249"/>
      <c r="O4" s="2249"/>
      <c r="P4" s="2249"/>
      <c r="Q4" s="2249"/>
      <c r="R4" s="2249"/>
    </row>
    <row r="5" spans="1:29" ht="40.5">
      <c r="A5" s="1029"/>
      <c r="B5" s="2205" t="s">
        <v>760</v>
      </c>
      <c r="C5" s="3291" t="s">
        <v>761</v>
      </c>
      <c r="D5" s="2250"/>
      <c r="E5" s="1214"/>
      <c r="F5" s="2738" t="s">
        <v>2638</v>
      </c>
      <c r="G5" s="3292" t="s">
        <v>2640</v>
      </c>
      <c r="H5" s="2249"/>
      <c r="I5" s="2249"/>
      <c r="J5" s="2249"/>
      <c r="K5" s="2249"/>
      <c r="L5" s="2249"/>
      <c r="M5" s="2249"/>
      <c r="N5" s="2249"/>
      <c r="O5" s="2249"/>
      <c r="P5" s="2249"/>
      <c r="Q5" s="2249"/>
      <c r="R5" s="2249"/>
    </row>
    <row r="6" spans="1:29" ht="54">
      <c r="A6" s="1029"/>
      <c r="B6" s="2205" t="s">
        <v>72</v>
      </c>
      <c r="C6" s="3292" t="s">
        <v>735</v>
      </c>
      <c r="D6" s="2250"/>
      <c r="E6" s="1214"/>
      <c r="F6" s="2738" t="s">
        <v>2637</v>
      </c>
      <c r="G6" s="3292" t="s">
        <v>2639</v>
      </c>
      <c r="H6" s="2249"/>
      <c r="I6" s="2249"/>
      <c r="J6" s="2249"/>
      <c r="K6" s="2249"/>
      <c r="L6" s="2249"/>
      <c r="M6" s="2249"/>
      <c r="N6" s="2249"/>
      <c r="O6" s="2249"/>
      <c r="P6" s="2249"/>
      <c r="Q6" s="2249"/>
      <c r="R6" s="2249"/>
    </row>
    <row r="7" spans="1:29" ht="41.25" thickBot="1">
      <c r="A7" s="1029"/>
      <c r="B7" s="2205" t="s">
        <v>2638</v>
      </c>
      <c r="C7" s="3292" t="s">
        <v>2640</v>
      </c>
      <c r="D7" s="2251"/>
      <c r="E7" s="1215"/>
      <c r="F7" s="1216" t="s">
        <v>736</v>
      </c>
      <c r="G7" s="3295" t="s">
        <v>3024</v>
      </c>
      <c r="H7" s="2249"/>
      <c r="I7" s="2249"/>
      <c r="J7" s="2249"/>
      <c r="K7" s="2249"/>
      <c r="L7" s="2249"/>
      <c r="M7" s="2249"/>
      <c r="N7" s="2249"/>
      <c r="O7" s="2249"/>
      <c r="P7" s="2249"/>
      <c r="Q7" s="2249"/>
      <c r="R7" s="2249"/>
    </row>
    <row r="8" spans="1:29" ht="27">
      <c r="A8" s="1029"/>
      <c r="B8" s="2738" t="s">
        <v>2637</v>
      </c>
      <c r="C8" s="3292" t="s">
        <v>2639</v>
      </c>
      <c r="D8" s="2251"/>
      <c r="E8" s="2251"/>
      <c r="F8" s="2252"/>
      <c r="G8" s="2252"/>
      <c r="H8" s="2249"/>
      <c r="I8" s="2249"/>
      <c r="J8" s="2249"/>
      <c r="K8" s="2249"/>
      <c r="L8" s="2249"/>
      <c r="M8" s="2249"/>
      <c r="N8" s="2249"/>
      <c r="O8" s="2249"/>
      <c r="P8" s="2249"/>
      <c r="Q8" s="2249"/>
      <c r="R8" s="2249"/>
    </row>
    <row r="9" spans="1:29" ht="40.5">
      <c r="A9" s="1029"/>
      <c r="B9" s="2205" t="s">
        <v>73</v>
      </c>
      <c r="C9" s="3291" t="s">
        <v>737</v>
      </c>
      <c r="D9" s="2250"/>
      <c r="E9" s="2251"/>
      <c r="F9" s="2252"/>
      <c r="G9" s="2252"/>
      <c r="H9" s="2249"/>
      <c r="I9" s="2249"/>
      <c r="J9" s="2249"/>
      <c r="K9" s="2249"/>
      <c r="L9" s="2249"/>
      <c r="M9" s="2249"/>
      <c r="N9" s="2249"/>
      <c r="O9" s="2249"/>
      <c r="P9" s="2249"/>
      <c r="Q9" s="2249"/>
      <c r="R9" s="2249"/>
    </row>
    <row r="10" spans="1:29" s="40" customFormat="1" ht="14.25" thickBot="1">
      <c r="A10" s="1218"/>
      <c r="B10" s="1219" t="s">
        <v>738</v>
      </c>
      <c r="C10" s="3293"/>
      <c r="D10" s="2250"/>
      <c r="E10" s="2250"/>
      <c r="F10" s="2252"/>
      <c r="G10" s="2252"/>
      <c r="H10" s="2254"/>
      <c r="I10" s="2255"/>
      <c r="J10" s="2256"/>
      <c r="K10" s="2254"/>
      <c r="L10" s="2255"/>
      <c r="M10" s="2256"/>
      <c r="N10" s="2254"/>
      <c r="O10" s="2255"/>
      <c r="P10" s="2256"/>
      <c r="Q10" s="2254"/>
      <c r="R10" s="2255"/>
      <c r="S10" s="2249"/>
      <c r="T10" s="2249"/>
      <c r="U10" s="2249"/>
      <c r="V10" s="2249"/>
      <c r="W10" s="2249"/>
      <c r="X10" s="2249"/>
      <c r="Y10" s="2249"/>
      <c r="Z10" s="2249"/>
      <c r="AA10" s="2249"/>
      <c r="AB10" s="2249"/>
      <c r="AC10" s="2249"/>
    </row>
    <row r="11" spans="1:29" s="40" customFormat="1">
      <c r="A11" s="2253"/>
      <c r="B11" s="2251"/>
      <c r="C11" s="2250"/>
      <c r="D11" s="2250"/>
      <c r="E11" s="2250"/>
      <c r="F11" s="2251"/>
      <c r="G11" s="1387"/>
      <c r="H11" s="2254"/>
      <c r="I11" s="2255"/>
      <c r="J11" s="2256"/>
      <c r="K11" s="2254"/>
      <c r="L11" s="2255"/>
      <c r="M11" s="2256"/>
      <c r="N11" s="2254"/>
      <c r="O11" s="2255"/>
      <c r="P11" s="2256"/>
      <c r="Q11" s="2254"/>
      <c r="R11" s="2255"/>
      <c r="S11" s="2249"/>
      <c r="T11" s="2249"/>
      <c r="U11" s="2249"/>
      <c r="V11" s="2249"/>
      <c r="W11" s="2249"/>
      <c r="X11" s="2249"/>
      <c r="Y11" s="2249"/>
      <c r="Z11" s="2249"/>
      <c r="AA11" s="2249"/>
      <c r="AB11" s="2249"/>
      <c r="AC11" s="2249"/>
    </row>
    <row r="12" spans="1:29" s="2247" customFormat="1" ht="18.75">
      <c r="A12" s="2253"/>
      <c r="B12" s="2251"/>
      <c r="C12" s="2250"/>
      <c r="D12" s="2736"/>
      <c r="E12" s="2250"/>
      <c r="F12" s="2251"/>
      <c r="G12" s="1387"/>
      <c r="H12" s="2257"/>
      <c r="I12" s="2258"/>
      <c r="J12" s="2257"/>
      <c r="K12" s="2257"/>
      <c r="L12" s="2259"/>
      <c r="M12" s="2257"/>
      <c r="N12" s="2260"/>
      <c r="O12" s="2261"/>
      <c r="P12" s="2260"/>
      <c r="Q12" s="2260"/>
      <c r="R12" s="2245"/>
      <c r="S12" s="2246"/>
      <c r="T12" s="2246"/>
      <c r="U12" s="2246"/>
      <c r="V12" s="2246"/>
      <c r="W12" s="2246"/>
      <c r="X12" s="2246"/>
      <c r="Y12" s="2246"/>
      <c r="Z12" s="2246"/>
      <c r="AA12" s="2246"/>
      <c r="AB12" s="2246"/>
      <c r="AC12" s="2246"/>
    </row>
    <row r="13" spans="1:29" ht="19.5" thickBot="1">
      <c r="A13" s="2735" t="s">
        <v>739</v>
      </c>
      <c r="B13" s="2736"/>
      <c r="C13" s="2736"/>
      <c r="D13" s="2248"/>
      <c r="E13" s="2736"/>
      <c r="F13" s="2736"/>
      <c r="G13" s="2736"/>
    </row>
    <row r="14" spans="1:29" ht="14.25" thickBot="1">
      <c r="A14" s="1220"/>
      <c r="B14" s="1221"/>
      <c r="C14" s="1222" t="s">
        <v>740</v>
      </c>
      <c r="D14" s="2250"/>
      <c r="E14" s="1223"/>
      <c r="F14" s="1223"/>
      <c r="G14" s="1210" t="s">
        <v>741</v>
      </c>
    </row>
    <row r="15" spans="1:29" ht="54">
      <c r="A15" s="46" t="s">
        <v>742</v>
      </c>
      <c r="B15" s="14" t="s">
        <v>52</v>
      </c>
      <c r="C15" s="1224" t="str">
        <f>C3</f>
        <v>估价对象周边居住用地比例、居住小区规模和社区发展完善程度，综合评价居住社区成熟度一般</v>
      </c>
      <c r="D15" s="2250"/>
      <c r="E15" s="2751" t="s">
        <v>743</v>
      </c>
      <c r="F15" s="14" t="s">
        <v>744</v>
      </c>
      <c r="G15" s="1022" t="str">
        <f>G3</f>
        <v>估价对象位于XX开发区，园区建设成熟度XX，产业集聚程度XX</v>
      </c>
    </row>
    <row r="16" spans="1:29" ht="40.5">
      <c r="A16" s="2754"/>
      <c r="B16" s="1225" t="s">
        <v>745</v>
      </c>
      <c r="C16" s="1226" t="str">
        <f>C4</f>
        <v>估价对象位于XX商圈，周边商业氛围成熟，人流量大，商业繁华度好</v>
      </c>
      <c r="D16" s="2250"/>
      <c r="E16" s="2752"/>
      <c r="F16" s="1227" t="s">
        <v>746</v>
      </c>
      <c r="G16" s="1024" t="str">
        <f>G4</f>
        <v>估价对象周边道路状况、公共交通通达情况、停车便捷程度，综合评价交通便捷度较好</v>
      </c>
    </row>
    <row r="17" spans="1:18" ht="40.5">
      <c r="A17" s="2754"/>
      <c r="B17" s="1225" t="s">
        <v>747</v>
      </c>
      <c r="C17" s="1226" t="str">
        <f>C5</f>
        <v>估价对象位于XX商圈，周边办公楼项目较多，入驻率高，办公集聚程度较好</v>
      </c>
      <c r="D17" s="2251"/>
      <c r="E17" s="2752"/>
      <c r="F17" s="1227" t="s">
        <v>748</v>
      </c>
      <c r="G17" s="271"/>
    </row>
    <row r="18" spans="1:18" ht="54">
      <c r="A18" s="2754"/>
      <c r="B18" s="1227" t="s">
        <v>72</v>
      </c>
      <c r="C18" s="1024" t="str">
        <f>C6</f>
        <v>估价对象周边道路状况、公共交通通达情况、停车便捷程度，综合评价交通便捷度较好</v>
      </c>
      <c r="D18" s="2251"/>
      <c r="E18" s="2752"/>
      <c r="F18" s="1227" t="s">
        <v>736</v>
      </c>
      <c r="G18" s="1024" t="str">
        <f>G7</f>
        <v>该园区内是否有污染型企业，绿化情况，卫生条件，整体环境状况判断</v>
      </c>
    </row>
    <row r="19" spans="1:18" ht="27">
      <c r="A19" s="2754"/>
      <c r="B19" s="1227" t="s">
        <v>91</v>
      </c>
      <c r="C19" s="271"/>
      <c r="D19" s="2250"/>
      <c r="E19" s="2752"/>
      <c r="F19" s="2738" t="s">
        <v>2638</v>
      </c>
      <c r="G19" s="1024" t="str">
        <f>G5</f>
        <v>估价对象所在区域公共配套设施齐备情况</v>
      </c>
    </row>
    <row r="20" spans="1:18" ht="40.5">
      <c r="A20" s="2754"/>
      <c r="B20" s="1227" t="s">
        <v>90</v>
      </c>
      <c r="C20" s="1226" t="str">
        <f>C9</f>
        <v>区域自然环境：；人文环境；综合评价环境状况一般</v>
      </c>
      <c r="D20" s="2251"/>
      <c r="E20" s="2752"/>
      <c r="F20" s="2738" t="s">
        <v>2637</v>
      </c>
      <c r="G20" s="1024" t="str">
        <f>G6</f>
        <v>估价对象所在区域基础设施水平</v>
      </c>
    </row>
    <row r="21" spans="1:18" ht="27">
      <c r="A21" s="2754"/>
      <c r="B21" s="2738" t="s">
        <v>2638</v>
      </c>
      <c r="C21" s="1024" t="str">
        <f>C7</f>
        <v>估价对象所在区域公共配套设施齐备情况</v>
      </c>
      <c r="D21" s="2250"/>
      <c r="E21" s="2752"/>
      <c r="F21" s="1227" t="s">
        <v>89</v>
      </c>
      <c r="G21" s="283"/>
    </row>
    <row r="22" spans="1:18" ht="13.5" customHeight="1">
      <c r="A22" s="2754"/>
      <c r="B22" s="2738" t="s">
        <v>2637</v>
      </c>
      <c r="C22" s="1024" t="str">
        <f>C8</f>
        <v>估价对象所在区域基础设施水平</v>
      </c>
      <c r="D22" s="2250"/>
      <c r="E22" s="2752"/>
      <c r="F22" s="1227" t="s">
        <v>749</v>
      </c>
      <c r="G22" s="271"/>
    </row>
    <row r="23" spans="1:18" s="2249" customFormat="1" ht="14.25" thickBot="1">
      <c r="A23" s="2754"/>
      <c r="B23" s="1227" t="s">
        <v>89</v>
      </c>
      <c r="C23" s="283"/>
      <c r="D23" s="2262"/>
      <c r="E23" s="2753"/>
      <c r="F23" s="1228" t="s">
        <v>750</v>
      </c>
      <c r="G23" s="284"/>
      <c r="H23" s="2262"/>
      <c r="I23" s="2263"/>
      <c r="J23" s="2262"/>
      <c r="K23" s="2262"/>
      <c r="L23" s="2263"/>
      <c r="M23" s="2262"/>
      <c r="N23" s="2262"/>
      <c r="O23" s="2263"/>
      <c r="P23" s="2262"/>
      <c r="Q23" s="2262"/>
      <c r="R23" s="2264"/>
    </row>
    <row r="24" spans="1:18" s="2249" customFormat="1" ht="14.25" thickBot="1">
      <c r="A24" s="2755"/>
      <c r="B24" s="1228" t="s">
        <v>88</v>
      </c>
      <c r="C24" s="1229">
        <f>C10</f>
        <v>0</v>
      </c>
      <c r="D24" s="2262"/>
      <c r="E24" s="2265"/>
      <c r="F24" s="2265"/>
      <c r="G24" s="2266"/>
      <c r="H24" s="2262"/>
      <c r="I24" s="2263"/>
      <c r="J24" s="2262"/>
      <c r="K24" s="2262"/>
      <c r="L24" s="2263"/>
      <c r="M24" s="2262"/>
      <c r="N24" s="2262"/>
      <c r="O24" s="2263"/>
      <c r="P24" s="2262"/>
      <c r="Q24" s="2262"/>
      <c r="R24" s="2264"/>
    </row>
    <row r="25" spans="1:18" s="2249" customFormat="1">
      <c r="B25" s="2262"/>
      <c r="C25" s="2262"/>
      <c r="D25" s="2262"/>
      <c r="H25" s="2262"/>
      <c r="I25" s="2263"/>
      <c r="J25" s="2262"/>
      <c r="K25" s="2262"/>
      <c r="L25" s="2263"/>
      <c r="M25" s="2262"/>
      <c r="N25" s="2262"/>
      <c r="O25" s="2263"/>
      <c r="P25" s="2262"/>
      <c r="Q25" s="2262"/>
      <c r="R25" s="2264"/>
    </row>
    <row r="26" spans="1:18" s="2249" customFormat="1">
      <c r="B26" s="2262"/>
      <c r="C26" s="2262"/>
      <c r="D26" s="2262"/>
      <c r="H26" s="2262"/>
      <c r="I26" s="2263"/>
      <c r="J26" s="2262"/>
      <c r="K26" s="2262"/>
      <c r="L26" s="2263"/>
      <c r="M26" s="2262"/>
      <c r="N26" s="2262"/>
      <c r="O26" s="2263"/>
      <c r="P26" s="2262"/>
      <c r="Q26" s="2262"/>
      <c r="R26" s="2264"/>
    </row>
    <row r="27" spans="1:18" s="2249" customFormat="1">
      <c r="B27" s="2262"/>
      <c r="C27" s="2262"/>
      <c r="D27" s="2262"/>
      <c r="H27" s="2262"/>
      <c r="I27" s="2263"/>
      <c r="J27" s="2262"/>
      <c r="K27" s="2262"/>
      <c r="L27" s="2263"/>
      <c r="M27" s="2262"/>
      <c r="N27" s="2262"/>
      <c r="O27" s="2263"/>
      <c r="P27" s="2262"/>
      <c r="Q27" s="2262"/>
      <c r="R27" s="2264"/>
    </row>
    <row r="28" spans="1:18" s="2249" customFormat="1">
      <c r="B28" s="2262"/>
      <c r="C28" s="2262"/>
      <c r="D28" s="2262"/>
      <c r="H28" s="2262"/>
      <c r="I28" s="2263"/>
      <c r="J28" s="2262"/>
      <c r="K28" s="2262"/>
      <c r="L28" s="2263"/>
      <c r="M28" s="2262"/>
      <c r="N28" s="2262"/>
      <c r="O28" s="2263"/>
      <c r="P28" s="2262"/>
      <c r="Q28" s="2262"/>
      <c r="R28" s="2264"/>
    </row>
    <row r="29" spans="1:18" s="2249" customFormat="1">
      <c r="B29" s="2262"/>
      <c r="C29" s="2262"/>
      <c r="D29" s="2262"/>
      <c r="H29" s="2262"/>
      <c r="I29" s="2263"/>
      <c r="J29" s="2262"/>
      <c r="K29" s="2262"/>
      <c r="L29" s="2263"/>
      <c r="M29" s="2262"/>
      <c r="N29" s="2262"/>
      <c r="O29" s="2263"/>
      <c r="P29" s="2262"/>
      <c r="Q29" s="2262"/>
      <c r="R29" s="2264"/>
    </row>
    <row r="30" spans="1:18" s="2249" customFormat="1">
      <c r="B30" s="2262"/>
      <c r="C30" s="2262"/>
      <c r="D30" s="2262"/>
      <c r="H30" s="2262"/>
      <c r="I30" s="2263"/>
      <c r="J30" s="2262"/>
      <c r="K30" s="2262"/>
      <c r="L30" s="2263"/>
      <c r="M30" s="2262"/>
      <c r="N30" s="2262"/>
      <c r="O30" s="2263"/>
      <c r="P30" s="2262"/>
      <c r="Q30" s="2262"/>
      <c r="R30" s="2264"/>
    </row>
    <row r="31" spans="1:18" s="2249" customFormat="1">
      <c r="B31" s="2262"/>
      <c r="C31" s="2262"/>
      <c r="D31" s="2262"/>
      <c r="H31" s="2262"/>
      <c r="I31" s="2263"/>
      <c r="J31" s="2262"/>
      <c r="K31" s="2262"/>
      <c r="L31" s="2263"/>
      <c r="M31" s="2262"/>
      <c r="N31" s="2262"/>
      <c r="O31" s="2263"/>
      <c r="P31" s="2262"/>
      <c r="Q31" s="2262"/>
      <c r="R31" s="2264"/>
    </row>
    <row r="32" spans="1:18" s="2249" customFormat="1">
      <c r="B32" s="2262"/>
      <c r="C32" s="2262"/>
      <c r="D32" s="2262"/>
      <c r="H32" s="2262"/>
      <c r="I32" s="2263"/>
      <c r="J32" s="2262"/>
      <c r="K32" s="2262"/>
      <c r="L32" s="2263"/>
      <c r="M32" s="2262"/>
      <c r="N32" s="2262"/>
      <c r="O32" s="2263"/>
      <c r="P32" s="2262"/>
      <c r="Q32" s="2262"/>
      <c r="R32" s="2264"/>
    </row>
    <row r="33" spans="2:18" s="2249" customFormat="1">
      <c r="B33" s="2262"/>
      <c r="C33" s="2262"/>
      <c r="D33" s="2262"/>
      <c r="H33" s="2262"/>
      <c r="I33" s="2263"/>
      <c r="J33" s="2262"/>
      <c r="K33" s="2262"/>
      <c r="L33" s="2263"/>
      <c r="M33" s="2262"/>
      <c r="N33" s="2262"/>
      <c r="O33" s="2263"/>
      <c r="P33" s="2262"/>
      <c r="Q33" s="2262"/>
      <c r="R33" s="2264"/>
    </row>
    <row r="34" spans="2:18" s="2249" customFormat="1">
      <c r="B34" s="2262"/>
      <c r="C34" s="2262"/>
      <c r="D34" s="2262"/>
      <c r="H34" s="2262"/>
      <c r="I34" s="2263"/>
      <c r="J34" s="2262"/>
      <c r="K34" s="2262"/>
      <c r="L34" s="2263"/>
      <c r="M34" s="2262"/>
      <c r="N34" s="2262"/>
      <c r="O34" s="2263"/>
      <c r="P34" s="2262"/>
      <c r="Q34" s="2262"/>
      <c r="R34" s="2264"/>
    </row>
    <row r="35" spans="2:18" s="2249" customFormat="1">
      <c r="B35" s="2262"/>
      <c r="C35" s="2262"/>
      <c r="D35" s="2262"/>
      <c r="H35" s="2262"/>
      <c r="I35" s="2263"/>
      <c r="J35" s="2262"/>
      <c r="K35" s="2262"/>
      <c r="L35" s="2263"/>
      <c r="M35" s="2262"/>
      <c r="N35" s="2262"/>
      <c r="O35" s="2263"/>
      <c r="P35" s="2262"/>
      <c r="Q35" s="2262"/>
      <c r="R35" s="2264"/>
    </row>
    <row r="36" spans="2:18" s="2249" customFormat="1">
      <c r="B36" s="2262"/>
      <c r="C36" s="2262"/>
      <c r="D36" s="2262"/>
      <c r="H36" s="2262"/>
      <c r="I36" s="2263"/>
      <c r="J36" s="2262"/>
      <c r="K36" s="2262"/>
      <c r="L36" s="2263"/>
      <c r="M36" s="2262"/>
      <c r="N36" s="2262"/>
      <c r="O36" s="2263"/>
      <c r="P36" s="2262"/>
      <c r="Q36" s="2262"/>
      <c r="R36" s="2264"/>
    </row>
    <row r="37" spans="2:18" s="2249" customFormat="1">
      <c r="B37" s="2262"/>
      <c r="C37" s="2262"/>
      <c r="D37" s="2262"/>
      <c r="H37" s="2262"/>
      <c r="I37" s="2263"/>
      <c r="J37" s="2262"/>
      <c r="K37" s="2262"/>
      <c r="L37" s="2263"/>
      <c r="M37" s="2262"/>
      <c r="N37" s="2262"/>
      <c r="O37" s="2263"/>
      <c r="P37" s="2262"/>
      <c r="Q37" s="2262"/>
      <c r="R37" s="2264"/>
    </row>
    <row r="38" spans="2:18" s="2249" customFormat="1">
      <c r="B38" s="2262"/>
      <c r="C38" s="2262"/>
      <c r="D38" s="2262"/>
      <c r="E38" s="2262"/>
      <c r="F38" s="2262"/>
      <c r="G38" s="2263"/>
      <c r="H38" s="2262"/>
      <c r="I38" s="2263"/>
      <c r="J38" s="2262"/>
      <c r="K38" s="2262"/>
      <c r="L38" s="2263"/>
      <c r="M38" s="2262"/>
      <c r="N38" s="2262"/>
      <c r="O38" s="2263"/>
      <c r="P38" s="2262"/>
      <c r="Q38" s="2262"/>
      <c r="R38" s="2264"/>
    </row>
    <row r="39" spans="2:18" s="2249" customFormat="1">
      <c r="B39" s="2262"/>
      <c r="C39" s="2262"/>
      <c r="D39" s="2262"/>
      <c r="E39" s="2262"/>
      <c r="F39" s="2262"/>
      <c r="G39" s="2263"/>
      <c r="H39" s="2262"/>
      <c r="I39" s="2263"/>
      <c r="J39" s="2262"/>
      <c r="K39" s="2262"/>
      <c r="L39" s="2263"/>
      <c r="M39" s="2262"/>
      <c r="N39" s="2262"/>
      <c r="O39" s="2263"/>
      <c r="P39" s="2262"/>
      <c r="Q39" s="2262"/>
      <c r="R39" s="2264"/>
    </row>
    <row r="40" spans="2:18" s="2249" customFormat="1">
      <c r="B40" s="2262"/>
      <c r="C40" s="2262"/>
      <c r="D40" s="2262"/>
      <c r="E40" s="2262"/>
      <c r="F40" s="2262"/>
      <c r="G40" s="2263"/>
      <c r="H40" s="2262"/>
      <c r="I40" s="2263"/>
      <c r="J40" s="2262"/>
      <c r="K40" s="2262"/>
      <c r="L40" s="2263"/>
      <c r="M40" s="2262"/>
      <c r="N40" s="2262"/>
      <c r="O40" s="2263"/>
      <c r="P40" s="2262"/>
      <c r="Q40" s="2262"/>
      <c r="R40" s="2264"/>
    </row>
    <row r="41" spans="2:18" s="2249" customFormat="1">
      <c r="B41" s="2262"/>
      <c r="C41" s="2262"/>
      <c r="D41" s="2262"/>
      <c r="E41" s="2262"/>
      <c r="F41" s="2262"/>
      <c r="G41" s="2263"/>
      <c r="H41" s="2262"/>
      <c r="I41" s="2263"/>
      <c r="J41" s="2262"/>
      <c r="K41" s="2262"/>
      <c r="L41" s="2263"/>
      <c r="M41" s="2262"/>
      <c r="N41" s="2262"/>
      <c r="O41" s="2263"/>
      <c r="P41" s="2262"/>
      <c r="Q41" s="2262"/>
      <c r="R41" s="2264"/>
    </row>
    <row r="42" spans="2:18" s="2249" customFormat="1">
      <c r="B42" s="2262"/>
      <c r="C42" s="2262"/>
      <c r="D42" s="2262"/>
      <c r="E42" s="2262"/>
      <c r="F42" s="2262"/>
      <c r="G42" s="2263"/>
      <c r="H42" s="2262"/>
      <c r="I42" s="2263"/>
      <c r="J42" s="2262"/>
      <c r="K42" s="2262"/>
      <c r="L42" s="2263"/>
      <c r="M42" s="2262"/>
      <c r="N42" s="2262"/>
      <c r="O42" s="2263"/>
      <c r="P42" s="2262"/>
      <c r="Q42" s="2262"/>
      <c r="R42" s="2264"/>
    </row>
    <row r="43" spans="2:18" s="2249" customFormat="1">
      <c r="B43" s="2262"/>
      <c r="C43" s="2262"/>
      <c r="D43" s="2262"/>
      <c r="E43" s="2262"/>
      <c r="F43" s="2262"/>
      <c r="G43" s="2263"/>
      <c r="H43" s="2262"/>
      <c r="I43" s="2263"/>
      <c r="J43" s="2262"/>
      <c r="K43" s="2262"/>
      <c r="L43" s="2263"/>
      <c r="M43" s="2262"/>
      <c r="N43" s="2262"/>
      <c r="O43" s="2263"/>
      <c r="P43" s="2262"/>
      <c r="Q43" s="2262"/>
      <c r="R43" s="2264"/>
    </row>
    <row r="44" spans="2:18" s="2249" customFormat="1">
      <c r="B44" s="2262"/>
      <c r="C44" s="2262"/>
      <c r="D44" s="2262"/>
      <c r="E44" s="2262"/>
      <c r="F44" s="2262"/>
      <c r="G44" s="2263"/>
      <c r="H44" s="2262"/>
      <c r="I44" s="2263"/>
      <c r="J44" s="2262"/>
      <c r="K44" s="2262"/>
      <c r="L44" s="2263"/>
      <c r="M44" s="2262"/>
      <c r="N44" s="2262"/>
      <c r="O44" s="2263"/>
      <c r="P44" s="2262"/>
      <c r="Q44" s="2262"/>
      <c r="R44" s="2264"/>
    </row>
    <row r="45" spans="2:18" s="2249" customFormat="1">
      <c r="B45" s="2262"/>
      <c r="C45" s="2262"/>
      <c r="D45" s="2262"/>
      <c r="E45" s="2262"/>
      <c r="F45" s="2262"/>
      <c r="G45" s="2263"/>
      <c r="H45" s="2262"/>
      <c r="I45" s="2263"/>
      <c r="J45" s="2262"/>
      <c r="K45" s="2262"/>
      <c r="L45" s="2263"/>
      <c r="M45" s="2262"/>
      <c r="N45" s="2262"/>
      <c r="O45" s="2263"/>
      <c r="P45" s="2262"/>
      <c r="Q45" s="2262"/>
      <c r="R45" s="2264"/>
    </row>
    <row r="46" spans="2:18" s="2249" customFormat="1">
      <c r="B46" s="2262"/>
      <c r="C46" s="2262"/>
      <c r="D46" s="2262"/>
      <c r="E46" s="2262"/>
      <c r="F46" s="2262"/>
      <c r="G46" s="2263"/>
      <c r="H46" s="2262"/>
      <c r="I46" s="2263"/>
      <c r="J46" s="2262"/>
      <c r="K46" s="2262"/>
      <c r="L46" s="2263"/>
      <c r="M46" s="2262"/>
      <c r="N46" s="2262"/>
      <c r="O46" s="2263"/>
      <c r="P46" s="2262"/>
      <c r="Q46" s="2262"/>
      <c r="R46" s="2264"/>
    </row>
    <row r="47" spans="2:18" s="2249" customFormat="1">
      <c r="B47" s="2262"/>
      <c r="C47" s="2262"/>
      <c r="D47" s="2262"/>
      <c r="E47" s="2262"/>
      <c r="F47" s="2262"/>
      <c r="G47" s="2263"/>
      <c r="H47" s="2262"/>
      <c r="I47" s="2263"/>
      <c r="J47" s="2262"/>
      <c r="K47" s="2262"/>
      <c r="L47" s="2263"/>
      <c r="M47" s="2262"/>
      <c r="N47" s="2262"/>
      <c r="O47" s="2263"/>
      <c r="P47" s="2262"/>
      <c r="Q47" s="2262"/>
      <c r="R47" s="2264"/>
    </row>
    <row r="48" spans="2:18" s="2249" customFormat="1">
      <c r="B48" s="2262"/>
      <c r="C48" s="2262"/>
      <c r="D48" s="2262"/>
      <c r="E48" s="2262"/>
      <c r="F48" s="2262"/>
      <c r="G48" s="2263"/>
      <c r="H48" s="2262"/>
      <c r="I48" s="2263"/>
      <c r="J48" s="2262"/>
      <c r="K48" s="2262"/>
      <c r="L48" s="2263"/>
      <c r="M48" s="2262"/>
      <c r="N48" s="2262"/>
      <c r="O48" s="2263"/>
      <c r="P48" s="2262"/>
      <c r="Q48" s="2262"/>
      <c r="R48" s="2264"/>
    </row>
    <row r="49" spans="2:18" s="2249" customFormat="1">
      <c r="B49" s="2262"/>
      <c r="C49" s="2262"/>
      <c r="D49" s="2262"/>
      <c r="E49" s="2262"/>
      <c r="F49" s="2262"/>
      <c r="G49" s="2263"/>
      <c r="H49" s="2262"/>
      <c r="I49" s="2263"/>
      <c r="J49" s="2262"/>
      <c r="K49" s="2262"/>
      <c r="L49" s="2263"/>
      <c r="M49" s="2262"/>
      <c r="N49" s="2262"/>
      <c r="O49" s="2263"/>
      <c r="P49" s="2262"/>
      <c r="Q49" s="2262"/>
      <c r="R49" s="2264"/>
    </row>
    <row r="50" spans="2:18" s="2249" customFormat="1">
      <c r="B50" s="2262"/>
      <c r="C50" s="2262"/>
      <c r="D50" s="2262"/>
      <c r="E50" s="2262"/>
      <c r="F50" s="2262"/>
      <c r="G50" s="2263"/>
      <c r="H50" s="2262"/>
      <c r="I50" s="2263"/>
      <c r="J50" s="2262"/>
      <c r="K50" s="2262"/>
      <c r="L50" s="2263"/>
      <c r="M50" s="2262"/>
      <c r="N50" s="2262"/>
      <c r="O50" s="2263"/>
      <c r="P50" s="2262"/>
      <c r="Q50" s="2262"/>
      <c r="R50" s="2264"/>
    </row>
    <row r="51" spans="2:18" s="2249" customFormat="1">
      <c r="B51" s="2262"/>
      <c r="C51" s="2262"/>
      <c r="D51" s="2262"/>
      <c r="E51" s="2262"/>
      <c r="F51" s="2262"/>
      <c r="G51" s="2263"/>
      <c r="H51" s="2262"/>
      <c r="I51" s="2263"/>
      <c r="J51" s="2262"/>
      <c r="K51" s="2262"/>
      <c r="L51" s="2263"/>
      <c r="M51" s="2262"/>
      <c r="N51" s="2262"/>
      <c r="O51" s="2263"/>
      <c r="P51" s="2262"/>
      <c r="Q51" s="2262"/>
      <c r="R51" s="2264"/>
    </row>
    <row r="52" spans="2:18" s="2249" customFormat="1">
      <c r="B52" s="2262"/>
      <c r="C52" s="2262"/>
      <c r="D52" s="2262"/>
      <c r="E52" s="2262"/>
      <c r="F52" s="2262"/>
      <c r="G52" s="2263"/>
      <c r="H52" s="2262"/>
      <c r="I52" s="2263"/>
      <c r="J52" s="2262"/>
      <c r="K52" s="2262"/>
      <c r="L52" s="2263"/>
      <c r="M52" s="2262"/>
      <c r="N52" s="2262"/>
      <c r="O52" s="2263"/>
      <c r="P52" s="2262"/>
      <c r="Q52" s="2262"/>
      <c r="R52" s="2264"/>
    </row>
    <row r="53" spans="2:18" s="2249" customFormat="1">
      <c r="B53" s="2262"/>
      <c r="C53" s="2262"/>
      <c r="D53" s="2262"/>
      <c r="E53" s="2262"/>
      <c r="F53" s="2262"/>
      <c r="G53" s="2263"/>
      <c r="H53" s="2262"/>
      <c r="I53" s="2263"/>
      <c r="J53" s="2262"/>
      <c r="K53" s="2262"/>
      <c r="L53" s="2263"/>
      <c r="M53" s="2262"/>
      <c r="N53" s="2262"/>
      <c r="O53" s="2263"/>
      <c r="P53" s="2262"/>
      <c r="Q53" s="2262"/>
      <c r="R53" s="2264"/>
    </row>
    <row r="54" spans="2:18" s="2249" customFormat="1">
      <c r="B54" s="2262"/>
      <c r="C54" s="2262"/>
      <c r="D54" s="2262"/>
      <c r="E54" s="2262"/>
      <c r="F54" s="2262"/>
      <c r="G54" s="2263"/>
      <c r="H54" s="2262"/>
      <c r="I54" s="2263"/>
      <c r="J54" s="2262"/>
      <c r="K54" s="2262"/>
      <c r="L54" s="2263"/>
      <c r="M54" s="2262"/>
      <c r="N54" s="2262"/>
      <c r="O54" s="2263"/>
      <c r="P54" s="2262"/>
      <c r="Q54" s="2262"/>
      <c r="R54" s="2264"/>
    </row>
    <row r="55" spans="2:18" s="2249" customFormat="1">
      <c r="B55" s="2262"/>
      <c r="C55" s="2262"/>
      <c r="D55" s="2262"/>
      <c r="E55" s="2262"/>
      <c r="F55" s="2262"/>
      <c r="G55" s="2263"/>
      <c r="H55" s="2262"/>
      <c r="I55" s="2263"/>
      <c r="J55" s="2262"/>
      <c r="K55" s="2262"/>
      <c r="L55" s="2263"/>
      <c r="M55" s="2262"/>
      <c r="N55" s="2262"/>
      <c r="O55" s="2263"/>
      <c r="P55" s="2262"/>
      <c r="Q55" s="2262"/>
      <c r="R55" s="2264"/>
    </row>
    <row r="56" spans="2:18" s="2249" customFormat="1">
      <c r="B56" s="2262"/>
      <c r="C56" s="2262"/>
      <c r="D56" s="2262"/>
      <c r="E56" s="2262"/>
      <c r="F56" s="2262"/>
      <c r="G56" s="2263"/>
      <c r="H56" s="2262"/>
      <c r="I56" s="2263"/>
      <c r="J56" s="2262"/>
      <c r="K56" s="2262"/>
      <c r="L56" s="2263"/>
      <c r="M56" s="2262"/>
      <c r="N56" s="2262"/>
      <c r="O56" s="2263"/>
      <c r="P56" s="2262"/>
      <c r="Q56" s="2262"/>
      <c r="R56" s="2264"/>
    </row>
    <row r="57" spans="2:18" s="2249" customFormat="1">
      <c r="B57" s="2262"/>
      <c r="C57" s="2262"/>
      <c r="D57" s="2262"/>
      <c r="E57" s="2262"/>
      <c r="F57" s="2262"/>
      <c r="G57" s="2263"/>
      <c r="H57" s="2262"/>
      <c r="I57" s="2263"/>
      <c r="J57" s="2262"/>
      <c r="K57" s="2262"/>
      <c r="L57" s="2263"/>
      <c r="M57" s="2262"/>
      <c r="N57" s="2262"/>
      <c r="O57" s="2263"/>
      <c r="P57" s="2262"/>
      <c r="Q57" s="2262"/>
      <c r="R57" s="2264"/>
    </row>
    <row r="58" spans="2:18" s="2249" customFormat="1">
      <c r="B58" s="2262"/>
      <c r="C58" s="2262"/>
      <c r="D58" s="2262"/>
      <c r="E58" s="2262"/>
      <c r="F58" s="2262"/>
      <c r="G58" s="2263"/>
      <c r="H58" s="2262"/>
      <c r="I58" s="2263"/>
      <c r="J58" s="2262"/>
      <c r="K58" s="2262"/>
      <c r="L58" s="2263"/>
      <c r="M58" s="2262"/>
      <c r="N58" s="2262"/>
      <c r="O58" s="2263"/>
      <c r="P58" s="2262"/>
      <c r="Q58" s="2262"/>
      <c r="R58" s="2264"/>
    </row>
    <row r="59" spans="2:18" s="2249" customFormat="1">
      <c r="B59" s="2262"/>
      <c r="C59" s="2262"/>
      <c r="D59" s="2262"/>
      <c r="E59" s="2262"/>
      <c r="F59" s="2262"/>
      <c r="G59" s="2263"/>
      <c r="H59" s="2262"/>
      <c r="I59" s="2263"/>
      <c r="J59" s="2262"/>
      <c r="K59" s="2262"/>
      <c r="L59" s="2263"/>
      <c r="M59" s="2262"/>
      <c r="N59" s="2262"/>
      <c r="O59" s="2263"/>
      <c r="P59" s="2262"/>
      <c r="Q59" s="2262"/>
      <c r="R59" s="2264"/>
    </row>
    <row r="60" spans="2:18" s="2249" customFormat="1">
      <c r="B60" s="2262"/>
      <c r="C60" s="2262"/>
      <c r="D60" s="2262"/>
      <c r="E60" s="2262"/>
      <c r="F60" s="2262"/>
      <c r="G60" s="2263"/>
      <c r="H60" s="2262"/>
      <c r="I60" s="2263"/>
      <c r="J60" s="2262"/>
      <c r="K60" s="2262"/>
      <c r="L60" s="2263"/>
      <c r="M60" s="2262"/>
      <c r="N60" s="2262"/>
      <c r="O60" s="2263"/>
      <c r="P60" s="2262"/>
      <c r="Q60" s="2262"/>
      <c r="R60" s="2264"/>
    </row>
    <row r="61" spans="2:18" s="2249" customFormat="1">
      <c r="B61" s="2262"/>
      <c r="C61" s="2262"/>
      <c r="D61" s="2262"/>
      <c r="E61" s="2262"/>
      <c r="F61" s="2262"/>
      <c r="G61" s="2263"/>
      <c r="H61" s="2262"/>
      <c r="I61" s="2263"/>
      <c r="J61" s="2262"/>
      <c r="K61" s="2262"/>
      <c r="L61" s="2263"/>
      <c r="M61" s="2262"/>
      <c r="N61" s="2262"/>
      <c r="O61" s="2263"/>
      <c r="P61" s="2262"/>
      <c r="Q61" s="2262"/>
      <c r="R61" s="2264"/>
    </row>
    <row r="62" spans="2:18" s="2249" customFormat="1">
      <c r="B62" s="2262"/>
      <c r="C62" s="2262"/>
      <c r="D62" s="2262"/>
      <c r="E62" s="2262"/>
      <c r="F62" s="2262"/>
      <c r="G62" s="2263"/>
      <c r="H62" s="2262"/>
      <c r="I62" s="2263"/>
      <c r="J62" s="2262"/>
      <c r="K62" s="2262"/>
      <c r="L62" s="2263"/>
      <c r="M62" s="2262"/>
      <c r="N62" s="2262"/>
      <c r="O62" s="2263"/>
      <c r="P62" s="2262"/>
      <c r="Q62" s="2262"/>
      <c r="R62" s="2264"/>
    </row>
    <row r="63" spans="2:18" s="2249" customFormat="1">
      <c r="B63" s="2262"/>
      <c r="C63" s="2262"/>
      <c r="D63" s="2262"/>
      <c r="E63" s="2262"/>
      <c r="F63" s="2262"/>
      <c r="G63" s="2263"/>
      <c r="H63" s="2262"/>
      <c r="I63" s="2263"/>
      <c r="J63" s="2262"/>
      <c r="K63" s="2262"/>
      <c r="L63" s="2263"/>
      <c r="M63" s="2262"/>
      <c r="N63" s="2262"/>
      <c r="O63" s="2263"/>
      <c r="P63" s="2262"/>
      <c r="Q63" s="2262"/>
      <c r="R63" s="2264"/>
    </row>
    <row r="64" spans="2:18" s="2249" customFormat="1">
      <c r="B64" s="2262"/>
      <c r="C64" s="2262"/>
      <c r="D64" s="2262"/>
      <c r="E64" s="2262"/>
      <c r="F64" s="2262"/>
      <c r="G64" s="2263"/>
      <c r="H64" s="2262"/>
      <c r="I64" s="2263"/>
      <c r="J64" s="2262"/>
      <c r="K64" s="2262"/>
      <c r="L64" s="2263"/>
      <c r="M64" s="2262"/>
      <c r="N64" s="2262"/>
      <c r="O64" s="2263"/>
      <c r="P64" s="2262"/>
      <c r="Q64" s="2262"/>
      <c r="R64" s="2264"/>
    </row>
    <row r="65" spans="2:18" s="2249" customFormat="1">
      <c r="B65" s="2262"/>
      <c r="C65" s="2262"/>
      <c r="D65" s="2262"/>
      <c r="E65" s="2262"/>
      <c r="F65" s="2262"/>
      <c r="G65" s="2263"/>
      <c r="H65" s="2262"/>
      <c r="I65" s="2263"/>
      <c r="J65" s="2262"/>
      <c r="K65" s="2262"/>
      <c r="L65" s="2263"/>
      <c r="M65" s="2262"/>
      <c r="N65" s="2262"/>
      <c r="O65" s="2263"/>
      <c r="P65" s="2262"/>
      <c r="Q65" s="2262"/>
      <c r="R65" s="2264"/>
    </row>
    <row r="66" spans="2:18" s="2249" customFormat="1">
      <c r="B66" s="2262"/>
      <c r="C66" s="2262"/>
      <c r="D66" s="2262"/>
      <c r="E66" s="2262"/>
      <c r="F66" s="2262"/>
      <c r="G66" s="2263"/>
      <c r="H66" s="2262"/>
      <c r="I66" s="2263"/>
      <c r="J66" s="2262"/>
      <c r="K66" s="2262"/>
      <c r="L66" s="2263"/>
      <c r="M66" s="2262"/>
      <c r="N66" s="2262"/>
      <c r="O66" s="2263"/>
      <c r="P66" s="2262"/>
      <c r="Q66" s="2262"/>
      <c r="R66" s="2264"/>
    </row>
    <row r="67" spans="2:18" s="2249" customFormat="1">
      <c r="B67" s="2262"/>
      <c r="C67" s="2262"/>
      <c r="D67" s="2262"/>
      <c r="E67" s="2262"/>
      <c r="F67" s="2262"/>
      <c r="G67" s="2263"/>
      <c r="H67" s="2262"/>
      <c r="I67" s="2263"/>
      <c r="J67" s="2262"/>
      <c r="K67" s="2262"/>
      <c r="L67" s="2263"/>
      <c r="M67" s="2262"/>
      <c r="N67" s="2262"/>
      <c r="O67" s="2263"/>
      <c r="P67" s="2262"/>
      <c r="Q67" s="2262"/>
      <c r="R67" s="2264"/>
    </row>
    <row r="68" spans="2:18" s="2249" customFormat="1">
      <c r="B68" s="2262"/>
      <c r="C68" s="2262"/>
      <c r="D68" s="2262"/>
      <c r="E68" s="2262"/>
      <c r="F68" s="2262"/>
      <c r="G68" s="2263"/>
      <c r="H68" s="2262"/>
      <c r="I68" s="2263"/>
      <c r="J68" s="2262"/>
      <c r="K68" s="2262"/>
      <c r="L68" s="2263"/>
      <c r="M68" s="2262"/>
      <c r="N68" s="2262"/>
      <c r="O68" s="2263"/>
      <c r="P68" s="2262"/>
      <c r="Q68" s="2262"/>
      <c r="R68" s="2264"/>
    </row>
    <row r="69" spans="2:18" s="2249" customFormat="1">
      <c r="B69" s="2262"/>
      <c r="C69" s="2262"/>
      <c r="D69" s="2262"/>
      <c r="E69" s="2262"/>
      <c r="F69" s="2262"/>
      <c r="G69" s="2263"/>
      <c r="H69" s="2262"/>
      <c r="I69" s="2263"/>
      <c r="J69" s="2262"/>
      <c r="K69" s="2262"/>
      <c r="L69" s="2263"/>
      <c r="M69" s="2262"/>
      <c r="N69" s="2262"/>
      <c r="O69" s="2263"/>
      <c r="P69" s="2262"/>
      <c r="Q69" s="2262"/>
      <c r="R69" s="2264"/>
    </row>
    <row r="70" spans="2:18" s="2249" customFormat="1">
      <c r="B70" s="2262"/>
      <c r="C70" s="2262"/>
      <c r="D70" s="2262"/>
      <c r="E70" s="2262"/>
      <c r="F70" s="2262"/>
      <c r="G70" s="2263"/>
      <c r="H70" s="2262"/>
      <c r="I70" s="2263"/>
      <c r="J70" s="2262"/>
      <c r="K70" s="2262"/>
      <c r="L70" s="2263"/>
      <c r="M70" s="2262"/>
      <c r="N70" s="2262"/>
      <c r="O70" s="2263"/>
      <c r="P70" s="2262"/>
      <c r="Q70" s="2262"/>
      <c r="R70" s="2264"/>
    </row>
    <row r="71" spans="2:18" s="2249" customFormat="1">
      <c r="B71" s="2262"/>
      <c r="C71" s="2262"/>
      <c r="D71" s="2262"/>
      <c r="E71" s="2262"/>
      <c r="F71" s="2262"/>
      <c r="G71" s="2263"/>
      <c r="H71" s="2262"/>
      <c r="I71" s="2263"/>
      <c r="J71" s="2262"/>
      <c r="K71" s="2262"/>
      <c r="L71" s="2263"/>
      <c r="M71" s="2262"/>
      <c r="N71" s="2262"/>
      <c r="O71" s="2263"/>
      <c r="P71" s="2262"/>
      <c r="Q71" s="2262"/>
      <c r="R71" s="2264"/>
    </row>
    <row r="72" spans="2:18" s="2249" customFormat="1">
      <c r="B72" s="2262"/>
      <c r="C72" s="2262"/>
      <c r="D72" s="2262"/>
      <c r="E72" s="2262"/>
      <c r="F72" s="2262"/>
      <c r="G72" s="2263"/>
      <c r="H72" s="2262"/>
      <c r="I72" s="2263"/>
      <c r="J72" s="2262"/>
      <c r="K72" s="2262"/>
      <c r="L72" s="2263"/>
      <c r="M72" s="2262"/>
      <c r="N72" s="2262"/>
      <c r="O72" s="2263"/>
      <c r="P72" s="2262"/>
      <c r="Q72" s="2262"/>
      <c r="R72" s="2264"/>
    </row>
    <row r="73" spans="2:18" s="2249" customFormat="1">
      <c r="B73" s="2262"/>
      <c r="C73" s="2262"/>
      <c r="D73" s="2262"/>
      <c r="E73" s="2262"/>
      <c r="F73" s="2262"/>
      <c r="G73" s="2263"/>
      <c r="H73" s="2262"/>
      <c r="I73" s="2263"/>
      <c r="J73" s="2262"/>
      <c r="K73" s="2262"/>
      <c r="L73" s="2263"/>
      <c r="M73" s="2262"/>
      <c r="N73" s="2262"/>
      <c r="O73" s="2263"/>
      <c r="P73" s="2262"/>
      <c r="Q73" s="2262"/>
      <c r="R73" s="2264"/>
    </row>
    <row r="74" spans="2:18" s="2249" customFormat="1">
      <c r="B74" s="2262"/>
      <c r="C74" s="2262"/>
      <c r="D74" s="2262"/>
      <c r="E74" s="2262"/>
      <c r="F74" s="2262"/>
      <c r="G74" s="2263"/>
      <c r="H74" s="2262"/>
      <c r="I74" s="2263"/>
      <c r="J74" s="2262"/>
      <c r="K74" s="2262"/>
      <c r="L74" s="2263"/>
      <c r="M74" s="2262"/>
      <c r="N74" s="2262"/>
      <c r="O74" s="2263"/>
      <c r="P74" s="2262"/>
      <c r="Q74" s="2262"/>
      <c r="R74" s="2264"/>
    </row>
    <row r="75" spans="2:18" s="2249" customFormat="1">
      <c r="B75" s="2262"/>
      <c r="C75" s="2262"/>
      <c r="D75" s="2262"/>
      <c r="E75" s="2262"/>
      <c r="F75" s="2262"/>
      <c r="G75" s="2263"/>
      <c r="H75" s="2262"/>
      <c r="I75" s="2263"/>
      <c r="J75" s="2262"/>
      <c r="K75" s="2262"/>
      <c r="L75" s="2263"/>
      <c r="M75" s="2262"/>
      <c r="N75" s="2262"/>
      <c r="O75" s="2263"/>
      <c r="P75" s="2262"/>
      <c r="Q75" s="2262"/>
      <c r="R75" s="2264"/>
    </row>
    <row r="76" spans="2:18" s="2249" customFormat="1">
      <c r="B76" s="2262"/>
      <c r="C76" s="2262"/>
      <c r="D76" s="2262"/>
      <c r="E76" s="2262"/>
      <c r="F76" s="2262"/>
      <c r="G76" s="2263"/>
      <c r="H76" s="2262"/>
      <c r="I76" s="2263"/>
      <c r="J76" s="2262"/>
      <c r="K76" s="2262"/>
      <c r="L76" s="2263"/>
      <c r="M76" s="2262"/>
      <c r="N76" s="2262"/>
      <c r="O76" s="2263"/>
      <c r="P76" s="2262"/>
      <c r="Q76" s="2262"/>
      <c r="R76" s="2264"/>
    </row>
    <row r="77" spans="2:18" s="2249" customFormat="1">
      <c r="B77" s="2262"/>
      <c r="C77" s="2262"/>
      <c r="D77" s="2262"/>
      <c r="E77" s="2262"/>
      <c r="F77" s="2262"/>
      <c r="G77" s="2263"/>
      <c r="H77" s="2262"/>
      <c r="I77" s="2263"/>
      <c r="J77" s="2262"/>
      <c r="K77" s="2262"/>
      <c r="L77" s="2263"/>
      <c r="M77" s="2262"/>
      <c r="N77" s="2262"/>
      <c r="O77" s="2263"/>
      <c r="P77" s="2262"/>
      <c r="Q77" s="2262"/>
      <c r="R77" s="2264"/>
    </row>
    <row r="78" spans="2:18" s="2249" customFormat="1">
      <c r="B78" s="2262"/>
      <c r="C78" s="2262"/>
      <c r="D78" s="2262"/>
      <c r="E78" s="2262"/>
      <c r="F78" s="2262"/>
      <c r="G78" s="2263"/>
      <c r="H78" s="2262"/>
      <c r="I78" s="2263"/>
      <c r="J78" s="2262"/>
      <c r="K78" s="2262"/>
      <c r="L78" s="2263"/>
      <c r="M78" s="2262"/>
      <c r="N78" s="2262"/>
      <c r="O78" s="2263"/>
      <c r="P78" s="2262"/>
      <c r="Q78" s="2262"/>
      <c r="R78" s="2264"/>
    </row>
    <row r="79" spans="2:18" s="2249" customFormat="1">
      <c r="B79" s="2262"/>
      <c r="C79" s="2262"/>
      <c r="D79" s="2262"/>
      <c r="E79" s="2262"/>
      <c r="F79" s="2262"/>
      <c r="G79" s="2263"/>
      <c r="H79" s="2262"/>
      <c r="I79" s="2263"/>
      <c r="J79" s="2262"/>
      <c r="K79" s="2262"/>
      <c r="L79" s="2263"/>
      <c r="M79" s="2262"/>
      <c r="N79" s="2262"/>
      <c r="O79" s="2263"/>
      <c r="P79" s="2262"/>
      <c r="Q79" s="2262"/>
      <c r="R79" s="2264"/>
    </row>
    <row r="80" spans="2:18" s="2249" customFormat="1">
      <c r="B80" s="2262"/>
      <c r="C80" s="2262"/>
      <c r="D80" s="2262"/>
      <c r="E80" s="2262"/>
      <c r="F80" s="2262"/>
      <c r="G80" s="2263"/>
      <c r="H80" s="2262"/>
      <c r="I80" s="2263"/>
      <c r="J80" s="2262"/>
      <c r="K80" s="2262"/>
      <c r="L80" s="2263"/>
      <c r="M80" s="2262"/>
      <c r="N80" s="2262"/>
      <c r="O80" s="2263"/>
      <c r="P80" s="2262"/>
      <c r="Q80" s="2262"/>
      <c r="R80" s="2264"/>
    </row>
    <row r="81" spans="2:18" s="2249" customFormat="1">
      <c r="B81" s="2262"/>
      <c r="C81" s="2262"/>
      <c r="D81" s="2262"/>
      <c r="E81" s="2262"/>
      <c r="F81" s="2262"/>
      <c r="G81" s="2263"/>
      <c r="H81" s="2262"/>
      <c r="I81" s="2263"/>
      <c r="J81" s="2262"/>
      <c r="K81" s="2262"/>
      <c r="L81" s="2263"/>
      <c r="M81" s="2262"/>
      <c r="N81" s="2262"/>
      <c r="O81" s="2263"/>
      <c r="P81" s="2262"/>
      <c r="Q81" s="2262"/>
      <c r="R81" s="2264"/>
    </row>
    <row r="82" spans="2:18" s="2249" customFormat="1">
      <c r="B82" s="2262"/>
      <c r="C82" s="2262"/>
      <c r="D82" s="2262"/>
      <c r="E82" s="2262"/>
      <c r="F82" s="2262"/>
      <c r="G82" s="2263"/>
      <c r="H82" s="2262"/>
      <c r="I82" s="2263"/>
      <c r="J82" s="2262"/>
      <c r="K82" s="2262"/>
      <c r="L82" s="2263"/>
      <c r="M82" s="2262"/>
      <c r="N82" s="2262"/>
      <c r="O82" s="2263"/>
      <c r="P82" s="2262"/>
      <c r="Q82" s="2262"/>
      <c r="R82" s="2264"/>
    </row>
    <row r="83" spans="2:18" s="2249" customFormat="1">
      <c r="B83" s="2262"/>
      <c r="C83" s="2262"/>
      <c r="D83" s="2262"/>
      <c r="E83" s="2262"/>
      <c r="F83" s="2262"/>
      <c r="G83" s="2263"/>
      <c r="H83" s="2262"/>
      <c r="I83" s="2263"/>
      <c r="J83" s="2262"/>
      <c r="K83" s="2262"/>
      <c r="L83" s="2263"/>
      <c r="M83" s="2262"/>
      <c r="N83" s="2262"/>
      <c r="O83" s="2263"/>
      <c r="P83" s="2262"/>
      <c r="Q83" s="2262"/>
      <c r="R83" s="2264"/>
    </row>
    <row r="84" spans="2:18" s="2249" customFormat="1">
      <c r="B84" s="2262"/>
      <c r="C84" s="2262"/>
      <c r="D84" s="2262"/>
      <c r="E84" s="2262"/>
      <c r="F84" s="2262"/>
      <c r="G84" s="2263"/>
      <c r="H84" s="2262"/>
      <c r="I84" s="2263"/>
      <c r="J84" s="2262"/>
      <c r="K84" s="2262"/>
      <c r="L84" s="2263"/>
      <c r="M84" s="2262"/>
      <c r="N84" s="2262"/>
      <c r="O84" s="2263"/>
      <c r="P84" s="2262"/>
      <c r="Q84" s="2262"/>
      <c r="R84" s="2264"/>
    </row>
    <row r="85" spans="2:18" s="2249" customFormat="1">
      <c r="B85" s="2262"/>
      <c r="C85" s="2262"/>
      <c r="D85" s="2262"/>
      <c r="E85" s="2262"/>
      <c r="F85" s="2262"/>
      <c r="G85" s="2263"/>
      <c r="H85" s="2262"/>
      <c r="I85" s="2263"/>
      <c r="J85" s="2262"/>
      <c r="K85" s="2262"/>
      <c r="L85" s="2263"/>
      <c r="M85" s="2262"/>
      <c r="N85" s="2262"/>
      <c r="O85" s="2263"/>
      <c r="P85" s="2262"/>
      <c r="Q85" s="2262"/>
      <c r="R85" s="2264"/>
    </row>
    <row r="86" spans="2:18" s="2249" customFormat="1">
      <c r="B86" s="2262"/>
      <c r="C86" s="2262"/>
      <c r="D86" s="2262"/>
      <c r="E86" s="2262"/>
      <c r="F86" s="2262"/>
      <c r="G86" s="2263"/>
      <c r="H86" s="2262"/>
      <c r="I86" s="2263"/>
      <c r="J86" s="2262"/>
      <c r="K86" s="2262"/>
      <c r="L86" s="2263"/>
      <c r="M86" s="2262"/>
      <c r="N86" s="2262"/>
      <c r="O86" s="2263"/>
      <c r="P86" s="2262"/>
      <c r="Q86" s="2262"/>
      <c r="R86" s="2264"/>
    </row>
    <row r="87" spans="2:18" s="2249" customFormat="1">
      <c r="B87" s="2262"/>
      <c r="C87" s="2262"/>
      <c r="D87" s="2262"/>
      <c r="E87" s="2262"/>
      <c r="F87" s="2262"/>
      <c r="G87" s="2263"/>
      <c r="H87" s="2262"/>
      <c r="I87" s="2263"/>
      <c r="J87" s="2262"/>
      <c r="K87" s="2262"/>
      <c r="L87" s="2263"/>
      <c r="M87" s="2262"/>
      <c r="N87" s="2262"/>
      <c r="O87" s="2263"/>
      <c r="P87" s="2262"/>
      <c r="Q87" s="2262"/>
      <c r="R87" s="2264"/>
    </row>
    <row r="88" spans="2:18" s="2249" customFormat="1">
      <c r="B88" s="2262"/>
      <c r="C88" s="2262"/>
      <c r="D88" s="2262"/>
      <c r="E88" s="2262"/>
      <c r="F88" s="2262"/>
      <c r="G88" s="2263"/>
      <c r="H88" s="2262"/>
      <c r="I88" s="2263"/>
      <c r="J88" s="2262"/>
      <c r="K88" s="2262"/>
      <c r="L88" s="2263"/>
      <c r="M88" s="2262"/>
      <c r="N88" s="2262"/>
      <c r="O88" s="2263"/>
      <c r="P88" s="2262"/>
      <c r="Q88" s="2262"/>
      <c r="R88" s="2264"/>
    </row>
    <row r="89" spans="2:18" s="2249" customFormat="1">
      <c r="B89" s="2262"/>
      <c r="C89" s="2262"/>
      <c r="D89" s="2262"/>
      <c r="E89" s="2262"/>
      <c r="F89" s="2262"/>
      <c r="G89" s="2263"/>
      <c r="H89" s="2262"/>
      <c r="I89" s="2263"/>
      <c r="J89" s="2262"/>
      <c r="K89" s="2262"/>
      <c r="L89" s="2263"/>
      <c r="M89" s="2262"/>
      <c r="N89" s="2262"/>
      <c r="O89" s="2263"/>
      <c r="P89" s="2262"/>
      <c r="Q89" s="2262"/>
      <c r="R89" s="2264"/>
    </row>
    <row r="90" spans="2:18" s="2249" customFormat="1">
      <c r="B90" s="2262"/>
      <c r="C90" s="2262"/>
      <c r="D90" s="2262"/>
      <c r="E90" s="2262"/>
      <c r="F90" s="2262"/>
      <c r="G90" s="2263"/>
      <c r="H90" s="2262"/>
      <c r="I90" s="2263"/>
      <c r="J90" s="2262"/>
      <c r="K90" s="2262"/>
      <c r="L90" s="2263"/>
      <c r="M90" s="2262"/>
      <c r="N90" s="2262"/>
      <c r="O90" s="2263"/>
      <c r="P90" s="2262"/>
      <c r="Q90" s="2262"/>
      <c r="R90" s="2264"/>
    </row>
    <row r="91" spans="2:18" s="2249" customFormat="1">
      <c r="B91" s="2262"/>
      <c r="C91" s="2262"/>
      <c r="D91" s="2262"/>
      <c r="E91" s="2262"/>
      <c r="F91" s="2262"/>
      <c r="G91" s="2263"/>
      <c r="H91" s="2262"/>
      <c r="I91" s="2263"/>
      <c r="J91" s="2262"/>
      <c r="K91" s="2262"/>
      <c r="L91" s="2263"/>
      <c r="M91" s="2262"/>
      <c r="N91" s="2262"/>
      <c r="O91" s="2263"/>
      <c r="P91" s="2262"/>
      <c r="Q91" s="2262"/>
      <c r="R91" s="2264"/>
    </row>
    <row r="92" spans="2:18" s="2249" customFormat="1">
      <c r="B92" s="2262"/>
      <c r="C92" s="2262"/>
      <c r="D92" s="2262"/>
      <c r="E92" s="2262"/>
      <c r="F92" s="2262"/>
      <c r="G92" s="2263"/>
      <c r="H92" s="2262"/>
      <c r="I92" s="2263"/>
      <c r="J92" s="2262"/>
      <c r="K92" s="2262"/>
      <c r="L92" s="2263"/>
      <c r="M92" s="2262"/>
      <c r="N92" s="2262"/>
      <c r="O92" s="2263"/>
      <c r="P92" s="2262"/>
      <c r="Q92" s="2262"/>
      <c r="R92" s="2264"/>
    </row>
    <row r="93" spans="2:18" s="2249" customFormat="1">
      <c r="B93" s="2262"/>
      <c r="C93" s="2262"/>
      <c r="D93" s="2262"/>
      <c r="E93" s="2262"/>
      <c r="F93" s="2262"/>
      <c r="G93" s="2263"/>
      <c r="H93" s="2262"/>
      <c r="I93" s="2263"/>
      <c r="J93" s="2262"/>
      <c r="K93" s="2262"/>
      <c r="L93" s="2263"/>
      <c r="M93" s="2262"/>
      <c r="N93" s="2262"/>
      <c r="O93" s="2263"/>
      <c r="P93" s="2262"/>
      <c r="Q93" s="2262"/>
      <c r="R93" s="2264"/>
    </row>
    <row r="94" spans="2:18" s="2249" customFormat="1">
      <c r="B94" s="2262"/>
      <c r="C94" s="2262"/>
      <c r="D94" s="2262"/>
      <c r="E94" s="2262"/>
      <c r="F94" s="2262"/>
      <c r="G94" s="2263"/>
      <c r="H94" s="2262"/>
      <c r="I94" s="2263"/>
      <c r="J94" s="2262"/>
      <c r="K94" s="2262"/>
      <c r="L94" s="2263"/>
      <c r="M94" s="2262"/>
      <c r="N94" s="2262"/>
      <c r="O94" s="2263"/>
      <c r="P94" s="2262"/>
      <c r="Q94" s="2262"/>
      <c r="R94" s="2264"/>
    </row>
    <row r="95" spans="2:18" s="2249" customFormat="1">
      <c r="B95" s="2262"/>
      <c r="C95" s="2262"/>
      <c r="D95" s="2262"/>
      <c r="E95" s="2262"/>
      <c r="F95" s="2262"/>
      <c r="G95" s="2263"/>
      <c r="H95" s="2262"/>
      <c r="I95" s="2263"/>
      <c r="J95" s="2262"/>
      <c r="K95" s="2262"/>
      <c r="L95" s="2263"/>
      <c r="M95" s="2262"/>
      <c r="N95" s="2262"/>
      <c r="O95" s="2263"/>
      <c r="P95" s="2262"/>
      <c r="Q95" s="2262"/>
      <c r="R95" s="2264"/>
    </row>
    <row r="96" spans="2:18" s="2249" customFormat="1">
      <c r="B96" s="2262"/>
      <c r="C96" s="2262"/>
      <c r="D96" s="2262"/>
      <c r="E96" s="2262"/>
      <c r="F96" s="2262"/>
      <c r="G96" s="2263"/>
      <c r="H96" s="2262"/>
      <c r="I96" s="2263"/>
      <c r="J96" s="2262"/>
      <c r="K96" s="2262"/>
      <c r="L96" s="2263"/>
      <c r="M96" s="2262"/>
      <c r="N96" s="2262"/>
      <c r="O96" s="2263"/>
      <c r="P96" s="2262"/>
      <c r="Q96" s="2262"/>
      <c r="R96" s="2264"/>
    </row>
    <row r="97" spans="2:18" s="2249" customFormat="1">
      <c r="B97" s="2262"/>
      <c r="C97" s="2262"/>
      <c r="D97" s="2262"/>
      <c r="E97" s="2262"/>
      <c r="F97" s="2262"/>
      <c r="G97" s="2263"/>
      <c r="H97" s="2262"/>
      <c r="I97" s="2263"/>
      <c r="J97" s="2262"/>
      <c r="K97" s="2262"/>
      <c r="L97" s="2263"/>
      <c r="M97" s="2262"/>
      <c r="N97" s="2262"/>
      <c r="O97" s="2263"/>
      <c r="P97" s="2262"/>
      <c r="Q97" s="2262"/>
      <c r="R97" s="2264"/>
    </row>
    <row r="98" spans="2:18" s="2249" customFormat="1">
      <c r="B98" s="2262"/>
      <c r="C98" s="2262"/>
      <c r="D98" s="2262"/>
      <c r="E98" s="2262"/>
      <c r="F98" s="2262"/>
      <c r="G98" s="2263"/>
      <c r="H98" s="2262"/>
      <c r="I98" s="2263"/>
      <c r="J98" s="2262"/>
      <c r="K98" s="2262"/>
      <c r="L98" s="2263"/>
      <c r="M98" s="2262"/>
      <c r="N98" s="2262"/>
      <c r="O98" s="2263"/>
      <c r="P98" s="2262"/>
      <c r="Q98" s="2262"/>
      <c r="R98" s="2264"/>
    </row>
    <row r="99" spans="2:18" s="2249" customFormat="1">
      <c r="B99" s="2262"/>
      <c r="C99" s="2262"/>
      <c r="D99" s="2262"/>
      <c r="E99" s="2262"/>
      <c r="F99" s="2262"/>
      <c r="G99" s="2263"/>
      <c r="H99" s="2262"/>
      <c r="I99" s="2263"/>
      <c r="J99" s="2262"/>
      <c r="K99" s="2262"/>
      <c r="L99" s="2263"/>
      <c r="M99" s="2262"/>
      <c r="N99" s="2262"/>
      <c r="O99" s="2263"/>
      <c r="P99" s="2262"/>
      <c r="Q99" s="2262"/>
      <c r="R99" s="2264"/>
    </row>
    <row r="100" spans="2:18" s="2249" customFormat="1">
      <c r="B100" s="2262"/>
      <c r="C100" s="2262"/>
      <c r="D100" s="2262"/>
      <c r="E100" s="2262"/>
      <c r="F100" s="2262"/>
      <c r="G100" s="2263"/>
      <c r="H100" s="2262"/>
      <c r="I100" s="2263"/>
      <c r="J100" s="2262"/>
      <c r="K100" s="2262"/>
      <c r="L100" s="2263"/>
      <c r="M100" s="2262"/>
      <c r="N100" s="2262"/>
      <c r="O100" s="2263"/>
      <c r="P100" s="2262"/>
      <c r="Q100" s="2262"/>
      <c r="R100" s="2264"/>
    </row>
    <row r="101" spans="2:18" s="2249" customFormat="1">
      <c r="B101" s="2262"/>
      <c r="C101" s="2262"/>
      <c r="D101" s="2262"/>
      <c r="E101" s="2262"/>
      <c r="F101" s="2262"/>
      <c r="G101" s="2263"/>
      <c r="H101" s="2262"/>
      <c r="I101" s="2263"/>
      <c r="J101" s="2262"/>
      <c r="K101" s="2262"/>
      <c r="L101" s="2263"/>
      <c r="M101" s="2262"/>
      <c r="N101" s="2262"/>
      <c r="O101" s="2263"/>
      <c r="P101" s="2262"/>
      <c r="Q101" s="2262"/>
      <c r="R101" s="2264"/>
    </row>
    <row r="102" spans="2:18" s="2249" customFormat="1">
      <c r="B102" s="2262"/>
      <c r="C102" s="2262"/>
      <c r="D102" s="2262"/>
      <c r="E102" s="2262"/>
      <c r="F102" s="2262"/>
      <c r="G102" s="2263"/>
      <c r="H102" s="2262"/>
      <c r="I102" s="2263"/>
      <c r="J102" s="2262"/>
      <c r="K102" s="2262"/>
      <c r="L102" s="2263"/>
      <c r="M102" s="2262"/>
      <c r="N102" s="2262"/>
      <c r="O102" s="2263"/>
      <c r="P102" s="2262"/>
      <c r="Q102" s="2262"/>
      <c r="R102" s="2264"/>
    </row>
    <row r="103" spans="2:18" s="2249" customFormat="1">
      <c r="B103" s="2262"/>
      <c r="C103" s="2262"/>
      <c r="D103" s="2262"/>
      <c r="E103" s="2262"/>
      <c r="F103" s="2262"/>
      <c r="G103" s="2263"/>
      <c r="H103" s="2262"/>
      <c r="I103" s="2263"/>
      <c r="J103" s="2262"/>
      <c r="K103" s="2262"/>
      <c r="L103" s="2263"/>
      <c r="M103" s="2262"/>
      <c r="N103" s="2262"/>
      <c r="O103" s="2263"/>
      <c r="P103" s="2262"/>
      <c r="Q103" s="2262"/>
      <c r="R103" s="2264"/>
    </row>
    <row r="104" spans="2:18" s="2249" customFormat="1">
      <c r="B104" s="2262"/>
      <c r="C104" s="2262"/>
      <c r="D104" s="2262"/>
      <c r="E104" s="2262"/>
      <c r="F104" s="2262"/>
      <c r="G104" s="2263"/>
      <c r="H104" s="2262"/>
      <c r="I104" s="2263"/>
      <c r="J104" s="2262"/>
      <c r="K104" s="2262"/>
      <c r="L104" s="2263"/>
      <c r="M104" s="2262"/>
      <c r="N104" s="2262"/>
      <c r="O104" s="2263"/>
      <c r="P104" s="2262"/>
      <c r="Q104" s="2262"/>
      <c r="R104" s="2264"/>
    </row>
    <row r="105" spans="2:18" s="2249" customFormat="1">
      <c r="B105" s="2262"/>
      <c r="C105" s="2262"/>
      <c r="D105" s="2262"/>
      <c r="E105" s="2262"/>
      <c r="F105" s="2262"/>
      <c r="G105" s="2263"/>
      <c r="H105" s="2262"/>
      <c r="I105" s="2263"/>
      <c r="J105" s="2262"/>
      <c r="K105" s="2262"/>
      <c r="L105" s="2263"/>
      <c r="M105" s="2262"/>
      <c r="N105" s="2262"/>
      <c r="O105" s="2263"/>
      <c r="P105" s="2262"/>
      <c r="Q105" s="2262"/>
      <c r="R105" s="2264"/>
    </row>
    <row r="106" spans="2:18" s="2249" customFormat="1">
      <c r="B106" s="2262"/>
      <c r="C106" s="2262"/>
      <c r="D106" s="2262"/>
      <c r="E106" s="2262"/>
      <c r="F106" s="2262"/>
      <c r="G106" s="2263"/>
      <c r="H106" s="2262"/>
      <c r="I106" s="2263"/>
      <c r="J106" s="2262"/>
      <c r="K106" s="2262"/>
      <c r="L106" s="2263"/>
      <c r="M106" s="2262"/>
      <c r="N106" s="2262"/>
      <c r="O106" s="2263"/>
      <c r="P106" s="2262"/>
      <c r="Q106" s="2262"/>
      <c r="R106" s="2264"/>
    </row>
    <row r="107" spans="2:18" s="2249" customFormat="1">
      <c r="B107" s="2262"/>
      <c r="C107" s="2262"/>
      <c r="D107" s="2262"/>
      <c r="E107" s="2262"/>
      <c r="F107" s="2262"/>
      <c r="G107" s="2263"/>
      <c r="H107" s="2262"/>
      <c r="I107" s="2263"/>
      <c r="J107" s="2262"/>
      <c r="K107" s="2262"/>
      <c r="L107" s="2263"/>
      <c r="M107" s="2262"/>
      <c r="N107" s="2262"/>
      <c r="O107" s="2263"/>
      <c r="P107" s="2262"/>
      <c r="Q107" s="2262"/>
      <c r="R107" s="2264"/>
    </row>
    <row r="108" spans="2:18" s="2249" customFormat="1">
      <c r="B108" s="2262"/>
      <c r="C108" s="2262"/>
      <c r="D108" s="2262"/>
      <c r="E108" s="2262"/>
      <c r="F108" s="2262"/>
      <c r="G108" s="2263"/>
      <c r="H108" s="2262"/>
      <c r="I108" s="2263"/>
      <c r="J108" s="2262"/>
      <c r="K108" s="2262"/>
      <c r="L108" s="2263"/>
      <c r="M108" s="2262"/>
      <c r="N108" s="2262"/>
      <c r="O108" s="2263"/>
      <c r="P108" s="2262"/>
      <c r="Q108" s="2262"/>
      <c r="R108" s="2264"/>
    </row>
    <row r="109" spans="2:18" s="2249" customFormat="1">
      <c r="B109" s="2262"/>
      <c r="C109" s="2262"/>
      <c r="D109" s="2262"/>
      <c r="E109" s="2262"/>
      <c r="F109" s="2262"/>
      <c r="G109" s="2263"/>
      <c r="H109" s="2262"/>
      <c r="I109" s="2263"/>
      <c r="J109" s="2262"/>
      <c r="K109" s="2262"/>
      <c r="L109" s="2263"/>
      <c r="M109" s="2262"/>
      <c r="N109" s="2262"/>
      <c r="O109" s="2263"/>
      <c r="P109" s="2262"/>
      <c r="Q109" s="2262"/>
      <c r="R109" s="2264"/>
    </row>
    <row r="110" spans="2:18" s="2249" customFormat="1">
      <c r="B110" s="2262"/>
      <c r="C110" s="2262"/>
      <c r="D110" s="2262"/>
      <c r="E110" s="2262"/>
      <c r="F110" s="2262"/>
      <c r="G110" s="2263"/>
      <c r="H110" s="2262"/>
      <c r="I110" s="2263"/>
      <c r="J110" s="2262"/>
      <c r="K110" s="2262"/>
      <c r="L110" s="2263"/>
      <c r="M110" s="2262"/>
      <c r="N110" s="2262"/>
      <c r="O110" s="2263"/>
      <c r="P110" s="2262"/>
      <c r="Q110" s="2262"/>
      <c r="R110" s="2264"/>
    </row>
    <row r="111" spans="2:18" s="2249" customFormat="1">
      <c r="B111" s="2262"/>
      <c r="C111" s="2262"/>
      <c r="D111" s="2262"/>
      <c r="E111" s="2262"/>
      <c r="F111" s="2262"/>
      <c r="G111" s="2263"/>
      <c r="H111" s="2262"/>
      <c r="I111" s="2263"/>
      <c r="J111" s="2262"/>
      <c r="K111" s="2262"/>
      <c r="L111" s="2263"/>
      <c r="M111" s="2262"/>
      <c r="N111" s="2262"/>
      <c r="O111" s="2263"/>
      <c r="P111" s="2262"/>
      <c r="Q111" s="2262"/>
      <c r="R111" s="2264"/>
    </row>
    <row r="112" spans="2:18" s="2249" customFormat="1">
      <c r="B112" s="2262"/>
      <c r="C112" s="2262"/>
      <c r="D112" s="2262"/>
      <c r="E112" s="2262"/>
      <c r="F112" s="2262"/>
      <c r="G112" s="2263"/>
      <c r="H112" s="2262"/>
      <c r="I112" s="2263"/>
      <c r="J112" s="2262"/>
      <c r="K112" s="2262"/>
      <c r="L112" s="2263"/>
      <c r="M112" s="2262"/>
      <c r="N112" s="2262"/>
      <c r="O112" s="2263"/>
      <c r="P112" s="2262"/>
      <c r="Q112" s="2262"/>
      <c r="R112" s="2264"/>
    </row>
    <row r="113" spans="2:18" s="2249" customFormat="1">
      <c r="B113" s="2262"/>
      <c r="C113" s="2262"/>
      <c r="D113" s="2262"/>
      <c r="E113" s="2262"/>
      <c r="F113" s="2262"/>
      <c r="G113" s="2263"/>
      <c r="H113" s="2262"/>
      <c r="I113" s="2263"/>
      <c r="J113" s="2262"/>
      <c r="K113" s="2262"/>
      <c r="L113" s="2263"/>
      <c r="M113" s="2262"/>
      <c r="N113" s="2262"/>
      <c r="O113" s="2263"/>
      <c r="P113" s="2262"/>
      <c r="Q113" s="2262"/>
      <c r="R113" s="2264"/>
    </row>
    <row r="114" spans="2:18" s="2249" customFormat="1">
      <c r="B114" s="2262"/>
      <c r="C114" s="2262"/>
      <c r="D114" s="2262"/>
      <c r="E114" s="2262"/>
      <c r="F114" s="2262"/>
      <c r="G114" s="2263"/>
      <c r="H114" s="2262"/>
      <c r="I114" s="2263"/>
      <c r="J114" s="2262"/>
      <c r="K114" s="2262"/>
      <c r="L114" s="2263"/>
      <c r="M114" s="2262"/>
      <c r="N114" s="2262"/>
      <c r="O114" s="2263"/>
      <c r="P114" s="2262"/>
      <c r="Q114" s="2262"/>
      <c r="R114" s="2264"/>
    </row>
    <row r="115" spans="2:18" s="2249" customFormat="1">
      <c r="B115" s="2262"/>
      <c r="C115" s="2262"/>
      <c r="D115" s="2262"/>
      <c r="E115" s="2262"/>
      <c r="F115" s="2262"/>
      <c r="G115" s="2263"/>
      <c r="H115" s="2262"/>
      <c r="I115" s="2263"/>
      <c r="J115" s="2262"/>
      <c r="K115" s="2262"/>
      <c r="L115" s="2263"/>
      <c r="M115" s="2262"/>
      <c r="N115" s="2262"/>
      <c r="O115" s="2263"/>
      <c r="P115" s="2262"/>
      <c r="Q115" s="2262"/>
      <c r="R115" s="2264"/>
    </row>
    <row r="116" spans="2:18" s="2249" customFormat="1">
      <c r="B116" s="2262"/>
      <c r="C116" s="2262"/>
      <c r="D116" s="2262"/>
      <c r="E116" s="2262"/>
      <c r="F116" s="2262"/>
      <c r="G116" s="2263"/>
      <c r="H116" s="2262"/>
      <c r="I116" s="2263"/>
      <c r="J116" s="2262"/>
      <c r="K116" s="2262"/>
      <c r="L116" s="2263"/>
      <c r="M116" s="2262"/>
      <c r="N116" s="2262"/>
      <c r="O116" s="2263"/>
      <c r="P116" s="2262"/>
      <c r="Q116" s="2262"/>
      <c r="R116" s="2264"/>
    </row>
    <row r="117" spans="2:18" s="2249" customFormat="1">
      <c r="B117" s="2262"/>
      <c r="C117" s="2262"/>
      <c r="D117" s="2262"/>
      <c r="E117" s="2262"/>
      <c r="F117" s="2262"/>
      <c r="G117" s="2263"/>
      <c r="H117" s="2262"/>
      <c r="I117" s="2263"/>
      <c r="J117" s="2262"/>
      <c r="K117" s="2262"/>
      <c r="L117" s="2263"/>
      <c r="M117" s="2262"/>
      <c r="N117" s="2262"/>
      <c r="O117" s="2263"/>
      <c r="P117" s="2262"/>
      <c r="Q117" s="2262"/>
      <c r="R117" s="2264"/>
    </row>
    <row r="118" spans="2:18" s="2249" customFormat="1">
      <c r="B118" s="2262"/>
      <c r="C118" s="2262"/>
      <c r="D118" s="2262"/>
      <c r="E118" s="2262"/>
      <c r="F118" s="2262"/>
      <c r="G118" s="2263"/>
      <c r="H118" s="2262"/>
      <c r="I118" s="2263"/>
      <c r="J118" s="2262"/>
      <c r="K118" s="2262"/>
      <c r="L118" s="2263"/>
      <c r="M118" s="2262"/>
      <c r="N118" s="2262"/>
      <c r="O118" s="2263"/>
      <c r="P118" s="2262"/>
      <c r="Q118" s="2262"/>
      <c r="R118" s="2264"/>
    </row>
    <row r="119" spans="2:18" s="2249" customFormat="1">
      <c r="B119" s="2262"/>
      <c r="C119" s="2262"/>
      <c r="D119" s="2262"/>
      <c r="E119" s="2262"/>
      <c r="F119" s="2262"/>
      <c r="G119" s="2263"/>
      <c r="H119" s="2262"/>
      <c r="I119" s="2263"/>
      <c r="J119" s="2262"/>
      <c r="K119" s="2262"/>
      <c r="L119" s="2263"/>
      <c r="M119" s="2262"/>
      <c r="N119" s="2262"/>
      <c r="O119" s="2263"/>
      <c r="P119" s="2262"/>
      <c r="Q119" s="2262"/>
      <c r="R119" s="2264"/>
    </row>
    <row r="120" spans="2:18" s="2249" customFormat="1">
      <c r="B120" s="2262"/>
      <c r="C120" s="2262"/>
      <c r="D120" s="2262"/>
      <c r="E120" s="2262"/>
      <c r="F120" s="2262"/>
      <c r="G120" s="2263"/>
      <c r="H120" s="2262"/>
      <c r="I120" s="2263"/>
      <c r="J120" s="2262"/>
      <c r="K120" s="2262"/>
      <c r="L120" s="2263"/>
      <c r="M120" s="2262"/>
      <c r="N120" s="2262"/>
      <c r="O120" s="2263"/>
      <c r="P120" s="2262"/>
      <c r="Q120" s="2262"/>
      <c r="R120" s="2264"/>
    </row>
    <row r="121" spans="2:18" s="2249" customFormat="1">
      <c r="B121" s="2262"/>
      <c r="C121" s="2262"/>
      <c r="D121" s="2262"/>
      <c r="E121" s="2262"/>
      <c r="F121" s="2262"/>
      <c r="G121" s="2263"/>
      <c r="H121" s="2262"/>
      <c r="I121" s="2263"/>
      <c r="J121" s="2262"/>
      <c r="K121" s="2262"/>
      <c r="L121" s="2263"/>
      <c r="M121" s="2262"/>
      <c r="N121" s="2262"/>
      <c r="O121" s="2263"/>
      <c r="P121" s="2262"/>
      <c r="Q121" s="2262"/>
      <c r="R121" s="2264"/>
    </row>
    <row r="122" spans="2:18" s="2249" customFormat="1">
      <c r="B122" s="2262"/>
      <c r="C122" s="2262"/>
      <c r="D122" s="2262"/>
      <c r="E122" s="2262"/>
      <c r="F122" s="2262"/>
      <c r="G122" s="2263"/>
      <c r="H122" s="2262"/>
      <c r="I122" s="2263"/>
      <c r="J122" s="2262"/>
      <c r="K122" s="2262"/>
      <c r="L122" s="2263"/>
      <c r="M122" s="2262"/>
      <c r="N122" s="2262"/>
      <c r="O122" s="2263"/>
      <c r="P122" s="2262"/>
      <c r="Q122" s="2262"/>
      <c r="R122" s="2264"/>
    </row>
    <row r="123" spans="2:18" s="2249" customFormat="1">
      <c r="B123" s="2262"/>
      <c r="C123" s="2262"/>
      <c r="D123" s="2262"/>
      <c r="E123" s="2262"/>
      <c r="F123" s="2262"/>
      <c r="G123" s="2263"/>
      <c r="H123" s="2262"/>
      <c r="I123" s="2263"/>
      <c r="J123" s="2262"/>
      <c r="K123" s="2262"/>
      <c r="L123" s="2263"/>
      <c r="M123" s="2262"/>
      <c r="N123" s="2262"/>
      <c r="O123" s="2263"/>
      <c r="P123" s="2262"/>
      <c r="Q123" s="2262"/>
      <c r="R123" s="2264"/>
    </row>
    <row r="124" spans="2:18" s="2249" customFormat="1">
      <c r="B124" s="2262"/>
      <c r="C124" s="2262"/>
      <c r="D124" s="2262"/>
      <c r="E124" s="2262"/>
      <c r="F124" s="2262"/>
      <c r="G124" s="2263"/>
      <c r="H124" s="2262"/>
      <c r="I124" s="2263"/>
      <c r="J124" s="2262"/>
      <c r="K124" s="2262"/>
      <c r="L124" s="2263"/>
      <c r="M124" s="2262"/>
      <c r="N124" s="2262"/>
      <c r="O124" s="2263"/>
      <c r="P124" s="2262"/>
      <c r="Q124" s="2262"/>
      <c r="R124" s="2264"/>
    </row>
    <row r="125" spans="2:18" s="2249" customFormat="1">
      <c r="B125" s="2262"/>
      <c r="C125" s="2262"/>
      <c r="D125" s="2262"/>
      <c r="E125" s="2262"/>
      <c r="F125" s="2262"/>
      <c r="G125" s="2263"/>
      <c r="H125" s="2262"/>
      <c r="I125" s="2263"/>
      <c r="J125" s="2262"/>
      <c r="K125" s="2262"/>
      <c r="L125" s="2263"/>
      <c r="M125" s="2262"/>
      <c r="N125" s="2262"/>
      <c r="O125" s="2263"/>
      <c r="P125" s="2262"/>
      <c r="Q125" s="2262"/>
      <c r="R125" s="2264"/>
    </row>
    <row r="126" spans="2:18" s="2249" customFormat="1">
      <c r="B126" s="2262"/>
      <c r="C126" s="2262"/>
      <c r="D126" s="2262"/>
      <c r="E126" s="2262"/>
      <c r="F126" s="2262"/>
      <c r="G126" s="2263"/>
      <c r="H126" s="2262"/>
      <c r="I126" s="2263"/>
      <c r="J126" s="2262"/>
      <c r="K126" s="2262"/>
      <c r="L126" s="2263"/>
      <c r="M126" s="2262"/>
      <c r="N126" s="2262"/>
      <c r="O126" s="2263"/>
      <c r="P126" s="2262"/>
      <c r="Q126" s="2262"/>
      <c r="R126" s="2264"/>
    </row>
    <row r="127" spans="2:18" s="2249" customFormat="1">
      <c r="B127" s="2262"/>
      <c r="C127" s="2262"/>
      <c r="D127" s="2262"/>
      <c r="E127" s="2262"/>
      <c r="F127" s="2262"/>
      <c r="G127" s="2263"/>
      <c r="H127" s="2262"/>
      <c r="I127" s="2263"/>
      <c r="J127" s="2262"/>
      <c r="K127" s="2262"/>
      <c r="L127" s="2263"/>
      <c r="M127" s="2262"/>
      <c r="N127" s="2262"/>
      <c r="O127" s="2263"/>
      <c r="P127" s="2262"/>
      <c r="Q127" s="2262"/>
      <c r="R127" s="2264"/>
    </row>
    <row r="128" spans="2:18" s="2249" customFormat="1">
      <c r="B128" s="2262"/>
      <c r="C128" s="2262"/>
      <c r="D128" s="2262"/>
      <c r="E128" s="2262"/>
      <c r="F128" s="2262"/>
      <c r="G128" s="2263"/>
      <c r="H128" s="2262"/>
      <c r="I128" s="2263"/>
      <c r="J128" s="2262"/>
      <c r="K128" s="2262"/>
      <c r="L128" s="2263"/>
      <c r="M128" s="2262"/>
      <c r="N128" s="2262"/>
      <c r="O128" s="2263"/>
      <c r="P128" s="2262"/>
      <c r="Q128" s="2262"/>
      <c r="R128" s="2264"/>
    </row>
    <row r="129" spans="2:18" s="2249" customFormat="1">
      <c r="B129" s="2262"/>
      <c r="C129" s="2262"/>
      <c r="D129" s="2262"/>
      <c r="E129" s="2262"/>
      <c r="F129" s="2262"/>
      <c r="G129" s="2263"/>
      <c r="H129" s="2262"/>
      <c r="I129" s="2263"/>
      <c r="J129" s="2262"/>
      <c r="K129" s="2262"/>
      <c r="L129" s="2263"/>
      <c r="M129" s="2262"/>
      <c r="N129" s="2262"/>
      <c r="O129" s="2263"/>
      <c r="P129" s="2262"/>
      <c r="Q129" s="2262"/>
      <c r="R129" s="2264"/>
    </row>
    <row r="130" spans="2:18" s="2249" customFormat="1">
      <c r="B130" s="2262"/>
      <c r="C130" s="2262"/>
      <c r="D130" s="2262"/>
      <c r="E130" s="2262"/>
      <c r="F130" s="2262"/>
      <c r="G130" s="2263"/>
      <c r="H130" s="2262"/>
      <c r="I130" s="2263"/>
      <c r="J130" s="2262"/>
      <c r="K130" s="2262"/>
      <c r="L130" s="2263"/>
      <c r="M130" s="2262"/>
      <c r="N130" s="2262"/>
      <c r="O130" s="2263"/>
      <c r="P130" s="2262"/>
      <c r="Q130" s="2262"/>
      <c r="R130" s="2264"/>
    </row>
    <row r="131" spans="2:18" s="2249" customFormat="1">
      <c r="B131" s="2262"/>
      <c r="C131" s="2262"/>
      <c r="D131" s="2262"/>
      <c r="E131" s="2262"/>
      <c r="F131" s="2262"/>
      <c r="G131" s="2263"/>
      <c r="H131" s="2262"/>
      <c r="I131" s="2263"/>
      <c r="J131" s="2262"/>
      <c r="K131" s="2262"/>
      <c r="L131" s="2263"/>
      <c r="M131" s="2262"/>
      <c r="N131" s="2262"/>
      <c r="O131" s="2263"/>
      <c r="P131" s="2262"/>
      <c r="Q131" s="2262"/>
      <c r="R131" s="2264"/>
    </row>
    <row r="132" spans="2:18" s="2249" customFormat="1">
      <c r="B132" s="2262"/>
      <c r="C132" s="2262"/>
      <c r="D132" s="2262"/>
      <c r="E132" s="2262"/>
      <c r="F132" s="2262"/>
      <c r="G132" s="2263"/>
      <c r="H132" s="2262"/>
      <c r="I132" s="2263"/>
      <c r="J132" s="2262"/>
      <c r="K132" s="2262"/>
      <c r="L132" s="2263"/>
      <c r="M132" s="2262"/>
      <c r="N132" s="2262"/>
      <c r="O132" s="2263"/>
      <c r="P132" s="2262"/>
      <c r="Q132" s="2262"/>
      <c r="R132" s="2264"/>
    </row>
    <row r="133" spans="2:18" s="2249" customFormat="1">
      <c r="B133" s="2262"/>
      <c r="C133" s="2262"/>
      <c r="D133" s="2262"/>
      <c r="E133" s="2262"/>
      <c r="F133" s="2262"/>
      <c r="G133" s="2263"/>
      <c r="H133" s="2262"/>
      <c r="I133" s="2263"/>
      <c r="J133" s="2262"/>
      <c r="K133" s="2262"/>
      <c r="L133" s="2263"/>
      <c r="M133" s="2262"/>
      <c r="N133" s="2262"/>
      <c r="O133" s="2263"/>
      <c r="P133" s="2262"/>
      <c r="Q133" s="2262"/>
      <c r="R133" s="2264"/>
    </row>
    <row r="134" spans="2:18" s="2249" customFormat="1">
      <c r="B134" s="2262"/>
      <c r="C134" s="2262"/>
      <c r="D134" s="2262"/>
      <c r="E134" s="2262"/>
      <c r="F134" s="2262"/>
      <c r="G134" s="2263"/>
      <c r="H134" s="2262"/>
      <c r="I134" s="2263"/>
      <c r="J134" s="2262"/>
      <c r="K134" s="2262"/>
      <c r="L134" s="2263"/>
      <c r="M134" s="2262"/>
      <c r="N134" s="2262"/>
      <c r="O134" s="2263"/>
      <c r="P134" s="2262"/>
      <c r="Q134" s="2262"/>
      <c r="R134" s="2264"/>
    </row>
    <row r="135" spans="2:18" s="2249" customFormat="1">
      <c r="B135" s="2262"/>
      <c r="C135" s="2262"/>
      <c r="D135" s="2262"/>
      <c r="E135" s="2262"/>
      <c r="F135" s="2262"/>
      <c r="G135" s="2263"/>
      <c r="H135" s="2262"/>
      <c r="I135" s="2263"/>
      <c r="J135" s="2262"/>
      <c r="K135" s="2262"/>
      <c r="L135" s="2263"/>
      <c r="M135" s="2262"/>
      <c r="N135" s="2262"/>
      <c r="O135" s="2263"/>
      <c r="P135" s="2262"/>
      <c r="Q135" s="2262"/>
      <c r="R135" s="2264"/>
    </row>
    <row r="136" spans="2:18" s="2249" customFormat="1">
      <c r="B136" s="2262"/>
      <c r="C136" s="2262"/>
      <c r="D136" s="2262"/>
      <c r="E136" s="2262"/>
      <c r="F136" s="2262"/>
      <c r="G136" s="2263"/>
      <c r="H136" s="2262"/>
      <c r="I136" s="2263"/>
      <c r="J136" s="2262"/>
      <c r="K136" s="2262"/>
      <c r="L136" s="2263"/>
      <c r="M136" s="2262"/>
      <c r="N136" s="2262"/>
      <c r="O136" s="2263"/>
      <c r="P136" s="2262"/>
      <c r="Q136" s="2262"/>
      <c r="R136" s="2264"/>
    </row>
    <row r="137" spans="2:18" s="2249" customFormat="1">
      <c r="B137" s="2262"/>
      <c r="C137" s="2262"/>
      <c r="D137" s="2262"/>
      <c r="E137" s="2262"/>
      <c r="F137" s="2262"/>
      <c r="G137" s="2263"/>
      <c r="H137" s="2262"/>
      <c r="I137" s="2263"/>
      <c r="J137" s="2262"/>
      <c r="K137" s="2262"/>
      <c r="L137" s="2263"/>
      <c r="M137" s="2262"/>
      <c r="N137" s="2262"/>
      <c r="O137" s="2263"/>
      <c r="P137" s="2262"/>
      <c r="Q137" s="2262"/>
      <c r="R137" s="2264"/>
    </row>
    <row r="138" spans="2:18" s="2249" customFormat="1">
      <c r="B138" s="2262"/>
      <c r="C138" s="2262"/>
      <c r="D138" s="2262"/>
      <c r="E138" s="2262"/>
      <c r="F138" s="2262"/>
      <c r="G138" s="2263"/>
      <c r="H138" s="2262"/>
      <c r="I138" s="2263"/>
      <c r="J138" s="2262"/>
      <c r="K138" s="2262"/>
      <c r="L138" s="2263"/>
      <c r="M138" s="2262"/>
      <c r="N138" s="2262"/>
      <c r="O138" s="2263"/>
      <c r="P138" s="2262"/>
      <c r="Q138" s="2262"/>
      <c r="R138" s="2264"/>
    </row>
    <row r="139" spans="2:18" s="2249" customFormat="1">
      <c r="B139" s="2262"/>
      <c r="C139" s="2262"/>
      <c r="D139" s="2262"/>
      <c r="E139" s="2262"/>
      <c r="F139" s="2262"/>
      <c r="G139" s="2263"/>
      <c r="H139" s="2262"/>
      <c r="I139" s="2263"/>
      <c r="J139" s="2262"/>
      <c r="K139" s="2262"/>
      <c r="L139" s="2263"/>
      <c r="M139" s="2262"/>
      <c r="N139" s="2262"/>
      <c r="O139" s="2263"/>
      <c r="P139" s="2262"/>
      <c r="Q139" s="2262"/>
      <c r="R139" s="2264"/>
    </row>
    <row r="140" spans="2:18" s="2249" customFormat="1">
      <c r="B140" s="2262"/>
      <c r="C140" s="2262"/>
      <c r="D140" s="2262"/>
      <c r="E140" s="2262"/>
      <c r="F140" s="2262"/>
      <c r="G140" s="2263"/>
      <c r="H140" s="2262"/>
      <c r="I140" s="2263"/>
      <c r="J140" s="2262"/>
      <c r="K140" s="2262"/>
      <c r="L140" s="2263"/>
      <c r="M140" s="2262"/>
      <c r="N140" s="2262"/>
      <c r="O140" s="2263"/>
      <c r="P140" s="2262"/>
      <c r="Q140" s="2262"/>
      <c r="R140" s="2264"/>
    </row>
    <row r="141" spans="2:18" s="2249" customFormat="1">
      <c r="B141" s="2262"/>
      <c r="C141" s="2262"/>
      <c r="D141" s="2262"/>
      <c r="E141" s="2262"/>
      <c r="F141" s="2262"/>
      <c r="G141" s="2263"/>
      <c r="H141" s="2262"/>
      <c r="I141" s="2263"/>
      <c r="J141" s="2262"/>
      <c r="K141" s="2262"/>
      <c r="L141" s="2263"/>
      <c r="M141" s="2262"/>
      <c r="N141" s="2262"/>
      <c r="O141" s="2263"/>
      <c r="P141" s="2262"/>
      <c r="Q141" s="2262"/>
      <c r="R141" s="2264"/>
    </row>
    <row r="142" spans="2:18" s="2249" customFormat="1">
      <c r="B142" s="2262"/>
      <c r="C142" s="2262"/>
      <c r="D142" s="2262"/>
      <c r="E142" s="2262"/>
      <c r="F142" s="2262"/>
      <c r="G142" s="2263"/>
      <c r="H142" s="2262"/>
      <c r="I142" s="2263"/>
      <c r="J142" s="2262"/>
      <c r="K142" s="2262"/>
      <c r="L142" s="2263"/>
      <c r="M142" s="2262"/>
      <c r="N142" s="2262"/>
      <c r="O142" s="2263"/>
      <c r="P142" s="2262"/>
      <c r="Q142" s="2262"/>
      <c r="R142" s="2264"/>
    </row>
    <row r="143" spans="2:18" s="2249" customFormat="1">
      <c r="B143" s="2262"/>
      <c r="C143" s="2262"/>
      <c r="D143" s="2262"/>
      <c r="E143" s="2262"/>
      <c r="F143" s="2262"/>
      <c r="G143" s="2263"/>
      <c r="H143" s="2262"/>
      <c r="I143" s="2263"/>
      <c r="J143" s="2262"/>
      <c r="K143" s="2262"/>
      <c r="L143" s="2263"/>
      <c r="M143" s="2262"/>
      <c r="N143" s="2262"/>
      <c r="O143" s="2263"/>
      <c r="P143" s="2262"/>
      <c r="Q143" s="2262"/>
      <c r="R143" s="2264"/>
    </row>
    <row r="144" spans="2:18" s="2249" customFormat="1">
      <c r="B144" s="2262"/>
      <c r="C144" s="2262"/>
      <c r="D144" s="2262"/>
      <c r="E144" s="2262"/>
      <c r="F144" s="2262"/>
      <c r="G144" s="2263"/>
      <c r="H144" s="2262"/>
      <c r="I144" s="2263"/>
      <c r="J144" s="2262"/>
      <c r="K144" s="2262"/>
      <c r="L144" s="2263"/>
      <c r="M144" s="2262"/>
      <c r="N144" s="2262"/>
      <c r="O144" s="2263"/>
      <c r="P144" s="2262"/>
      <c r="Q144" s="2262"/>
      <c r="R144" s="2264"/>
    </row>
    <row r="145" spans="2:18" s="2249" customFormat="1">
      <c r="B145" s="2262"/>
      <c r="C145" s="2262"/>
      <c r="D145" s="2262"/>
      <c r="E145" s="2262"/>
      <c r="F145" s="2262"/>
      <c r="G145" s="2263"/>
      <c r="H145" s="2262"/>
      <c r="I145" s="2263"/>
      <c r="J145" s="2262"/>
      <c r="K145" s="2262"/>
      <c r="L145" s="2263"/>
      <c r="M145" s="2262"/>
      <c r="N145" s="2262"/>
      <c r="O145" s="2263"/>
      <c r="P145" s="2262"/>
      <c r="Q145" s="2262"/>
      <c r="R145" s="2264"/>
    </row>
    <row r="146" spans="2:18" s="2249" customFormat="1">
      <c r="B146" s="2262"/>
      <c r="C146" s="2262"/>
      <c r="D146" s="2262"/>
      <c r="E146" s="2262"/>
      <c r="F146" s="2262"/>
      <c r="G146" s="2263"/>
      <c r="H146" s="2262"/>
      <c r="I146" s="2263"/>
      <c r="J146" s="2262"/>
      <c r="K146" s="2262"/>
      <c r="L146" s="2263"/>
      <c r="M146" s="2262"/>
      <c r="N146" s="2262"/>
      <c r="O146" s="2263"/>
      <c r="P146" s="2262"/>
      <c r="Q146" s="2262"/>
      <c r="R146" s="2264"/>
    </row>
    <row r="147" spans="2:18" s="2249" customFormat="1">
      <c r="B147" s="2262"/>
      <c r="C147" s="2262"/>
      <c r="D147" s="2262"/>
      <c r="E147" s="2262"/>
      <c r="F147" s="2262"/>
      <c r="G147" s="2263"/>
      <c r="H147" s="2262"/>
      <c r="I147" s="2263"/>
      <c r="J147" s="2262"/>
      <c r="K147" s="2262"/>
      <c r="L147" s="2263"/>
      <c r="M147" s="2262"/>
      <c r="N147" s="2262"/>
      <c r="O147" s="2263"/>
      <c r="P147" s="2262"/>
      <c r="Q147" s="2262"/>
      <c r="R147" s="2264"/>
    </row>
    <row r="148" spans="2:18" s="2249" customFormat="1">
      <c r="B148" s="2262"/>
      <c r="C148" s="2262"/>
      <c r="D148" s="2262"/>
      <c r="E148" s="2262"/>
      <c r="F148" s="2262"/>
      <c r="G148" s="2263"/>
      <c r="H148" s="2262"/>
      <c r="I148" s="2263"/>
      <c r="J148" s="2262"/>
      <c r="K148" s="2262"/>
      <c r="L148" s="2263"/>
      <c r="M148" s="2262"/>
      <c r="N148" s="2262"/>
      <c r="O148" s="2263"/>
      <c r="P148" s="2262"/>
      <c r="Q148" s="2262"/>
      <c r="R148" s="2264"/>
    </row>
    <row r="149" spans="2:18" s="2249" customFormat="1">
      <c r="B149" s="2262"/>
      <c r="C149" s="2262"/>
      <c r="D149" s="2262"/>
      <c r="E149" s="2262"/>
      <c r="F149" s="2262"/>
      <c r="G149" s="2263"/>
      <c r="H149" s="2262"/>
      <c r="I149" s="2263"/>
      <c r="J149" s="2262"/>
      <c r="K149" s="2262"/>
      <c r="L149" s="2263"/>
      <c r="M149" s="2262"/>
      <c r="N149" s="2262"/>
      <c r="O149" s="2263"/>
      <c r="P149" s="2262"/>
      <c r="Q149" s="2262"/>
      <c r="R149" s="2264"/>
    </row>
    <row r="150" spans="2:18" s="2249" customFormat="1">
      <c r="B150" s="2262"/>
      <c r="C150" s="2262"/>
      <c r="D150" s="2262"/>
      <c r="E150" s="2262"/>
      <c r="F150" s="2262"/>
      <c r="G150" s="2263"/>
      <c r="H150" s="2262"/>
      <c r="I150" s="2263"/>
      <c r="J150" s="2262"/>
      <c r="K150" s="2262"/>
      <c r="L150" s="2263"/>
      <c r="M150" s="2262"/>
      <c r="N150" s="2262"/>
      <c r="O150" s="2263"/>
      <c r="P150" s="2262"/>
      <c r="Q150" s="2262"/>
      <c r="R150" s="2264"/>
    </row>
    <row r="151" spans="2:18" s="2249" customFormat="1">
      <c r="B151" s="2262"/>
      <c r="C151" s="2262"/>
      <c r="D151" s="2262"/>
      <c r="E151" s="2262"/>
      <c r="F151" s="2262"/>
      <c r="G151" s="2263"/>
      <c r="H151" s="2262"/>
      <c r="I151" s="2263"/>
      <c r="J151" s="2262"/>
      <c r="K151" s="2262"/>
      <c r="L151" s="2263"/>
      <c r="M151" s="2262"/>
      <c r="N151" s="2262"/>
      <c r="O151" s="2263"/>
      <c r="P151" s="2262"/>
      <c r="Q151" s="2262"/>
      <c r="R151" s="2264"/>
    </row>
    <row r="152" spans="2:18" s="2249" customFormat="1">
      <c r="B152" s="2262"/>
      <c r="C152" s="2262"/>
      <c r="D152" s="2262"/>
      <c r="E152" s="2262"/>
      <c r="F152" s="2262"/>
      <c r="G152" s="2263"/>
      <c r="H152" s="2262"/>
      <c r="I152" s="2263"/>
      <c r="J152" s="2262"/>
      <c r="K152" s="2262"/>
      <c r="L152" s="2263"/>
      <c r="M152" s="2262"/>
      <c r="N152" s="2262"/>
      <c r="O152" s="2263"/>
      <c r="P152" s="2262"/>
      <c r="Q152" s="2262"/>
      <c r="R152" s="2264"/>
    </row>
    <row r="153" spans="2:18" s="2249" customFormat="1">
      <c r="B153" s="2262"/>
      <c r="C153" s="2262"/>
      <c r="D153" s="2262"/>
      <c r="E153" s="2262"/>
      <c r="F153" s="2262"/>
      <c r="G153" s="2263"/>
      <c r="H153" s="2262"/>
      <c r="I153" s="2263"/>
      <c r="J153" s="2262"/>
      <c r="K153" s="2262"/>
      <c r="L153" s="2263"/>
      <c r="M153" s="2262"/>
      <c r="N153" s="2262"/>
      <c r="O153" s="2263"/>
      <c r="P153" s="2262"/>
      <c r="Q153" s="2262"/>
      <c r="R153" s="2264"/>
    </row>
    <row r="154" spans="2:18" s="2249" customFormat="1">
      <c r="B154" s="2262"/>
      <c r="C154" s="2262"/>
      <c r="D154" s="2262"/>
      <c r="E154" s="2262"/>
      <c r="F154" s="2262"/>
      <c r="G154" s="2263"/>
      <c r="H154" s="2262"/>
      <c r="I154" s="2263"/>
      <c r="J154" s="2262"/>
      <c r="K154" s="2262"/>
      <c r="L154" s="2263"/>
      <c r="M154" s="2262"/>
      <c r="N154" s="2262"/>
      <c r="O154" s="2263"/>
      <c r="P154" s="2262"/>
      <c r="Q154" s="2262"/>
      <c r="R154" s="2264"/>
    </row>
    <row r="155" spans="2:18" s="2249" customFormat="1">
      <c r="B155" s="2262"/>
      <c r="C155" s="2262"/>
      <c r="D155" s="2262"/>
      <c r="E155" s="2262"/>
      <c r="F155" s="2262"/>
      <c r="G155" s="2263"/>
      <c r="H155" s="2262"/>
      <c r="I155" s="2263"/>
      <c r="J155" s="2262"/>
      <c r="K155" s="2262"/>
      <c r="L155" s="2263"/>
      <c r="M155" s="2262"/>
      <c r="N155" s="2262"/>
      <c r="O155" s="2263"/>
      <c r="P155" s="2262"/>
      <c r="Q155" s="2262"/>
      <c r="R155" s="2264"/>
    </row>
    <row r="156" spans="2:18" s="2249" customFormat="1">
      <c r="B156" s="2262"/>
      <c r="C156" s="2262"/>
      <c r="D156" s="2262"/>
      <c r="E156" s="2262"/>
      <c r="F156" s="2262"/>
      <c r="G156" s="2263"/>
      <c r="H156" s="2262"/>
      <c r="I156" s="2263"/>
      <c r="J156" s="2262"/>
      <c r="K156" s="2262"/>
      <c r="L156" s="2263"/>
      <c r="M156" s="2262"/>
      <c r="N156" s="2262"/>
      <c r="O156" s="2263"/>
      <c r="P156" s="2262"/>
      <c r="Q156" s="2262"/>
      <c r="R156" s="2264"/>
    </row>
    <row r="157" spans="2:18" s="2249" customFormat="1">
      <c r="B157" s="2262"/>
      <c r="C157" s="2262"/>
      <c r="D157" s="2262"/>
      <c r="E157" s="2262"/>
      <c r="F157" s="2262"/>
      <c r="G157" s="2263"/>
      <c r="H157" s="2262"/>
      <c r="I157" s="2263"/>
      <c r="J157" s="2262"/>
      <c r="K157" s="2262"/>
      <c r="L157" s="2263"/>
      <c r="M157" s="2262"/>
      <c r="N157" s="2262"/>
      <c r="O157" s="2263"/>
      <c r="P157" s="2262"/>
      <c r="Q157" s="2262"/>
      <c r="R157" s="2264"/>
    </row>
    <row r="158" spans="2:18" s="2249" customFormat="1">
      <c r="B158" s="2262"/>
      <c r="C158" s="2262"/>
      <c r="D158" s="2262"/>
      <c r="E158" s="2262"/>
      <c r="F158" s="2262"/>
      <c r="G158" s="2263"/>
      <c r="H158" s="2262"/>
      <c r="I158" s="2263"/>
      <c r="J158" s="2262"/>
      <c r="K158" s="2262"/>
      <c r="L158" s="2263"/>
      <c r="M158" s="2262"/>
      <c r="N158" s="2262"/>
      <c r="O158" s="2263"/>
      <c r="P158" s="2262"/>
      <c r="Q158" s="2262"/>
      <c r="R158" s="2264"/>
    </row>
    <row r="159" spans="2:18" s="2249" customFormat="1">
      <c r="B159" s="2262"/>
      <c r="C159" s="2262"/>
      <c r="D159" s="2262"/>
      <c r="E159" s="2262"/>
      <c r="F159" s="2262"/>
      <c r="G159" s="2263"/>
      <c r="H159" s="2262"/>
      <c r="I159" s="2263"/>
      <c r="J159" s="2262"/>
      <c r="K159" s="2262"/>
      <c r="L159" s="2263"/>
      <c r="M159" s="2262"/>
      <c r="N159" s="2262"/>
      <c r="O159" s="2263"/>
      <c r="P159" s="2262"/>
      <c r="Q159" s="2262"/>
      <c r="R159" s="2264"/>
    </row>
    <row r="160" spans="2:18" s="2249" customFormat="1">
      <c r="B160" s="2262"/>
      <c r="C160" s="2262"/>
      <c r="D160" s="2262"/>
      <c r="E160" s="2262"/>
      <c r="F160" s="2262"/>
      <c r="G160" s="2263"/>
      <c r="H160" s="2262"/>
      <c r="I160" s="2263"/>
      <c r="J160" s="2262"/>
      <c r="K160" s="2262"/>
      <c r="L160" s="2263"/>
      <c r="M160" s="2262"/>
      <c r="N160" s="2262"/>
      <c r="O160" s="2263"/>
      <c r="P160" s="2262"/>
      <c r="Q160" s="2262"/>
      <c r="R160" s="2264"/>
    </row>
    <row r="161" spans="2:18" s="2249" customFormat="1">
      <c r="B161" s="2262"/>
      <c r="C161" s="2262"/>
      <c r="D161" s="2262"/>
      <c r="E161" s="2262"/>
      <c r="F161" s="2262"/>
      <c r="G161" s="2263"/>
      <c r="H161" s="2262"/>
      <c r="I161" s="2263"/>
      <c r="J161" s="2262"/>
      <c r="K161" s="2262"/>
      <c r="L161" s="2263"/>
      <c r="M161" s="2262"/>
      <c r="N161" s="2262"/>
      <c r="O161" s="2263"/>
      <c r="P161" s="2262"/>
      <c r="Q161" s="2262"/>
      <c r="R161" s="2264"/>
    </row>
    <row r="162" spans="2:18" s="2249" customFormat="1">
      <c r="B162" s="2262"/>
      <c r="C162" s="2262"/>
      <c r="D162" s="2262"/>
      <c r="E162" s="2262"/>
      <c r="F162" s="2262"/>
      <c r="G162" s="2263"/>
      <c r="H162" s="2262"/>
      <c r="I162" s="2263"/>
      <c r="J162" s="2262"/>
      <c r="K162" s="2262"/>
      <c r="L162" s="2263"/>
      <c r="M162" s="2262"/>
      <c r="N162" s="2262"/>
      <c r="O162" s="2263"/>
      <c r="P162" s="2262"/>
      <c r="Q162" s="2262"/>
      <c r="R162" s="2264"/>
    </row>
    <row r="163" spans="2:18" s="2249" customFormat="1">
      <c r="B163" s="2262"/>
      <c r="C163" s="2262"/>
      <c r="D163" s="2262"/>
      <c r="E163" s="2262"/>
      <c r="F163" s="2262"/>
      <c r="G163" s="2263"/>
      <c r="H163" s="2262"/>
      <c r="I163" s="2263"/>
      <c r="J163" s="2262"/>
      <c r="K163" s="2262"/>
      <c r="L163" s="2263"/>
      <c r="M163" s="2262"/>
      <c r="N163" s="2262"/>
      <c r="O163" s="2263"/>
      <c r="P163" s="2262"/>
      <c r="Q163" s="2262"/>
      <c r="R163" s="2264"/>
    </row>
    <row r="164" spans="2:18" s="2249" customFormat="1">
      <c r="B164" s="2262"/>
      <c r="C164" s="2262"/>
      <c r="D164" s="2262"/>
      <c r="E164" s="2262"/>
      <c r="F164" s="2262"/>
      <c r="G164" s="2263"/>
      <c r="H164" s="2262"/>
      <c r="I164" s="2263"/>
      <c r="J164" s="2262"/>
      <c r="K164" s="2262"/>
      <c r="L164" s="2263"/>
      <c r="M164" s="2262"/>
      <c r="N164" s="2262"/>
      <c r="O164" s="2263"/>
      <c r="P164" s="2262"/>
      <c r="Q164" s="2262"/>
      <c r="R164" s="2264"/>
    </row>
    <row r="165" spans="2:18" s="2249" customFormat="1">
      <c r="B165" s="2262"/>
      <c r="C165" s="2262"/>
      <c r="D165" s="2262"/>
      <c r="E165" s="2262"/>
      <c r="F165" s="2262"/>
      <c r="G165" s="2263"/>
      <c r="H165" s="2262"/>
      <c r="I165" s="2263"/>
      <c r="J165" s="2262"/>
      <c r="K165" s="2262"/>
      <c r="L165" s="2263"/>
      <c r="M165" s="2262"/>
      <c r="N165" s="2262"/>
      <c r="O165" s="2263"/>
      <c r="P165" s="2262"/>
      <c r="Q165" s="2262"/>
      <c r="R165" s="2264"/>
    </row>
    <row r="166" spans="2:18" s="2249" customFormat="1">
      <c r="B166" s="2262"/>
      <c r="C166" s="2262"/>
      <c r="D166" s="2262"/>
      <c r="E166" s="2262"/>
      <c r="F166" s="2262"/>
      <c r="G166" s="2263"/>
      <c r="H166" s="2262"/>
      <c r="I166" s="2263"/>
      <c r="J166" s="2262"/>
      <c r="K166" s="2262"/>
      <c r="L166" s="2263"/>
      <c r="M166" s="2262"/>
      <c r="N166" s="2262"/>
      <c r="O166" s="2263"/>
      <c r="P166" s="2262"/>
      <c r="Q166" s="2262"/>
      <c r="R166" s="2264"/>
    </row>
    <row r="167" spans="2:18" s="2249" customFormat="1">
      <c r="B167" s="2262"/>
      <c r="C167" s="2262"/>
      <c r="D167" s="2262"/>
      <c r="E167" s="2262"/>
      <c r="F167" s="2262"/>
      <c r="G167" s="2263"/>
      <c r="H167" s="2262"/>
      <c r="I167" s="2263"/>
      <c r="J167" s="2262"/>
      <c r="K167" s="2262"/>
      <c r="L167" s="2263"/>
      <c r="M167" s="2262"/>
      <c r="N167" s="2262"/>
      <c r="O167" s="2263"/>
      <c r="P167" s="2262"/>
      <c r="Q167" s="2262"/>
      <c r="R167" s="2264"/>
    </row>
    <row r="168" spans="2:18" s="2249" customFormat="1">
      <c r="B168" s="2262"/>
      <c r="C168" s="2262"/>
      <c r="D168" s="2262"/>
      <c r="E168" s="2262"/>
      <c r="F168" s="2262"/>
      <c r="G168" s="2263"/>
      <c r="H168" s="2262"/>
      <c r="I168" s="2263"/>
      <c r="J168" s="2262"/>
      <c r="K168" s="2262"/>
      <c r="L168" s="2263"/>
      <c r="M168" s="2262"/>
      <c r="N168" s="2262"/>
      <c r="O168" s="2263"/>
      <c r="P168" s="2262"/>
      <c r="Q168" s="2262"/>
      <c r="R168" s="2264"/>
    </row>
    <row r="169" spans="2:18" s="2249" customFormat="1">
      <c r="B169" s="2262"/>
      <c r="C169" s="2262"/>
      <c r="D169" s="2262"/>
      <c r="E169" s="2262"/>
      <c r="F169" s="2262"/>
      <c r="G169" s="2263"/>
      <c r="H169" s="2262"/>
      <c r="I169" s="2263"/>
      <c r="J169" s="2262"/>
      <c r="K169" s="2262"/>
      <c r="L169" s="2263"/>
      <c r="M169" s="2262"/>
      <c r="N169" s="2262"/>
      <c r="O169" s="2263"/>
      <c r="P169" s="2262"/>
      <c r="Q169" s="2262"/>
      <c r="R169" s="2264"/>
    </row>
    <row r="170" spans="2:18" s="2249" customFormat="1">
      <c r="B170" s="2262"/>
      <c r="C170" s="2262"/>
      <c r="D170" s="2262"/>
      <c r="E170" s="2262"/>
      <c r="F170" s="2262"/>
      <c r="G170" s="2263"/>
      <c r="H170" s="2262"/>
      <c r="I170" s="2263"/>
      <c r="J170" s="2262"/>
      <c r="K170" s="2262"/>
      <c r="L170" s="2263"/>
      <c r="M170" s="2262"/>
      <c r="N170" s="2262"/>
      <c r="O170" s="2263"/>
      <c r="P170" s="2262"/>
      <c r="Q170" s="2262"/>
      <c r="R170" s="2264"/>
    </row>
    <row r="171" spans="2:18" s="2249" customFormat="1">
      <c r="B171" s="2262"/>
      <c r="C171" s="2262"/>
      <c r="D171" s="2262"/>
      <c r="E171" s="2262"/>
      <c r="F171" s="2262"/>
      <c r="G171" s="2263"/>
      <c r="H171" s="2262"/>
      <c r="I171" s="2263"/>
      <c r="J171" s="2262"/>
      <c r="K171" s="2262"/>
      <c r="L171" s="2263"/>
      <c r="M171" s="2262"/>
      <c r="N171" s="2262"/>
      <c r="O171" s="2263"/>
      <c r="P171" s="2262"/>
      <c r="Q171" s="2262"/>
      <c r="R171" s="2264"/>
    </row>
    <row r="172" spans="2:18" s="2249" customFormat="1">
      <c r="B172" s="2262"/>
      <c r="C172" s="2262"/>
      <c r="D172" s="2262"/>
      <c r="E172" s="2262"/>
      <c r="F172" s="2262"/>
      <c r="G172" s="2263"/>
      <c r="H172" s="2262"/>
      <c r="I172" s="2263"/>
      <c r="J172" s="2262"/>
      <c r="K172" s="2262"/>
      <c r="L172" s="2263"/>
      <c r="M172" s="2262"/>
      <c r="N172" s="2262"/>
      <c r="O172" s="2263"/>
      <c r="P172" s="2262"/>
      <c r="Q172" s="2262"/>
      <c r="R172" s="2264"/>
    </row>
    <row r="173" spans="2:18" s="2249" customFormat="1">
      <c r="B173" s="2262"/>
      <c r="C173" s="2262"/>
      <c r="D173" s="2262"/>
      <c r="E173" s="2262"/>
      <c r="F173" s="2262"/>
      <c r="G173" s="2263"/>
      <c r="H173" s="2262"/>
      <c r="I173" s="2263"/>
      <c r="J173" s="2262"/>
      <c r="K173" s="2262"/>
      <c r="L173" s="2263"/>
      <c r="M173" s="2262"/>
      <c r="N173" s="2262"/>
      <c r="O173" s="2263"/>
      <c r="P173" s="2262"/>
      <c r="Q173" s="2262"/>
      <c r="R173" s="2264"/>
    </row>
    <row r="174" spans="2:18" s="2249" customFormat="1">
      <c r="B174" s="2262"/>
      <c r="C174" s="2262"/>
      <c r="D174" s="2262"/>
      <c r="E174" s="2262"/>
      <c r="F174" s="2262"/>
      <c r="G174" s="2263"/>
      <c r="H174" s="2262"/>
      <c r="I174" s="2263"/>
      <c r="J174" s="2262"/>
      <c r="K174" s="2262"/>
      <c r="L174" s="2263"/>
      <c r="M174" s="2262"/>
      <c r="N174" s="2262"/>
      <c r="O174" s="2263"/>
      <c r="P174" s="2262"/>
      <c r="Q174" s="2262"/>
      <c r="R174" s="2264"/>
    </row>
    <row r="175" spans="2:18" s="2249" customFormat="1">
      <c r="B175" s="2262"/>
      <c r="C175" s="2262"/>
      <c r="D175" s="2262"/>
      <c r="E175" s="2262"/>
      <c r="F175" s="2262"/>
      <c r="G175" s="2263"/>
      <c r="H175" s="2262"/>
      <c r="I175" s="2263"/>
      <c r="J175" s="2262"/>
      <c r="K175" s="2262"/>
      <c r="L175" s="2263"/>
      <c r="M175" s="2262"/>
      <c r="N175" s="2262"/>
      <c r="O175" s="2263"/>
      <c r="P175" s="2262"/>
      <c r="Q175" s="2262"/>
      <c r="R175" s="2264"/>
    </row>
    <row r="176" spans="2:18" s="2249" customFormat="1">
      <c r="B176" s="2262"/>
      <c r="C176" s="2262"/>
      <c r="D176" s="2262"/>
      <c r="E176" s="2262"/>
      <c r="F176" s="2262"/>
      <c r="G176" s="2263"/>
      <c r="H176" s="2262"/>
      <c r="I176" s="2263"/>
      <c r="J176" s="2262"/>
      <c r="K176" s="2262"/>
      <c r="L176" s="2263"/>
      <c r="M176" s="2262"/>
      <c r="N176" s="2262"/>
      <c r="O176" s="2263"/>
      <c r="P176" s="2262"/>
      <c r="Q176" s="2262"/>
      <c r="R176" s="2264"/>
    </row>
    <row r="177" spans="1:18" s="2249" customFormat="1">
      <c r="B177" s="2262"/>
      <c r="C177" s="2262"/>
      <c r="D177" s="2262"/>
      <c r="E177" s="2262"/>
      <c r="F177" s="2262"/>
      <c r="G177" s="2263"/>
      <c r="H177" s="2262"/>
      <c r="I177" s="2263"/>
      <c r="J177" s="2262"/>
      <c r="K177" s="2262"/>
      <c r="L177" s="2263"/>
      <c r="M177" s="2262"/>
      <c r="N177" s="2262"/>
      <c r="O177" s="2263"/>
      <c r="P177" s="2262"/>
      <c r="Q177" s="2262"/>
      <c r="R177" s="2264"/>
    </row>
    <row r="178" spans="1:18" s="2249" customFormat="1">
      <c r="B178" s="2262"/>
      <c r="C178" s="2262"/>
      <c r="D178" s="2262"/>
      <c r="E178" s="2262"/>
      <c r="F178" s="2262"/>
      <c r="G178" s="2263"/>
      <c r="H178" s="2262"/>
      <c r="I178" s="2263"/>
      <c r="J178" s="2262"/>
      <c r="K178" s="2262"/>
      <c r="L178" s="2263"/>
      <c r="M178" s="2262"/>
      <c r="N178" s="2262"/>
      <c r="O178" s="2263"/>
      <c r="P178" s="2262"/>
      <c r="Q178" s="2262"/>
      <c r="R178" s="2264"/>
    </row>
    <row r="179" spans="1:18" s="2249" customFormat="1">
      <c r="B179" s="2262"/>
      <c r="C179" s="2262"/>
      <c r="D179" s="2262"/>
      <c r="E179" s="2262"/>
      <c r="F179" s="2262"/>
      <c r="G179" s="2263"/>
      <c r="H179" s="2262"/>
      <c r="I179" s="2263"/>
      <c r="J179" s="2262"/>
      <c r="K179" s="2262"/>
      <c r="L179" s="2263"/>
      <c r="M179" s="2262"/>
      <c r="N179" s="2262"/>
      <c r="O179" s="2263"/>
      <c r="P179" s="2262"/>
      <c r="Q179" s="2262"/>
      <c r="R179" s="2264"/>
    </row>
    <row r="180" spans="1:18" s="2249" customFormat="1">
      <c r="B180" s="2262"/>
      <c r="C180" s="2262"/>
      <c r="D180" s="2262"/>
      <c r="E180" s="2262"/>
      <c r="F180" s="2262"/>
      <c r="G180" s="2263"/>
      <c r="H180" s="2262"/>
      <c r="I180" s="2263"/>
      <c r="J180" s="2262"/>
      <c r="K180" s="2262"/>
      <c r="L180" s="2263"/>
      <c r="M180" s="2262"/>
      <c r="N180" s="2262"/>
      <c r="O180" s="2263"/>
      <c r="P180" s="2262"/>
      <c r="Q180" s="2262"/>
      <c r="R180" s="2264"/>
    </row>
    <row r="181" spans="1:18" s="2249" customFormat="1">
      <c r="B181" s="2262"/>
      <c r="C181" s="2262"/>
      <c r="D181" s="2262"/>
      <c r="E181" s="2262"/>
      <c r="F181" s="2262"/>
      <c r="G181" s="2263"/>
      <c r="H181" s="2262"/>
      <c r="I181" s="2263"/>
      <c r="J181" s="2262"/>
      <c r="K181" s="2262"/>
      <c r="L181" s="2263"/>
      <c r="M181" s="2262"/>
      <c r="N181" s="2262"/>
      <c r="O181" s="2263"/>
      <c r="P181" s="2262"/>
      <c r="Q181" s="2262"/>
      <c r="R181" s="2264"/>
    </row>
    <row r="182" spans="1:18" s="2249" customFormat="1">
      <c r="B182" s="2262"/>
      <c r="C182" s="2262"/>
      <c r="D182" s="2262"/>
      <c r="E182" s="2262"/>
      <c r="F182" s="2262"/>
      <c r="G182" s="2263"/>
      <c r="H182" s="2262"/>
      <c r="I182" s="2263"/>
      <c r="J182" s="2262"/>
      <c r="K182" s="2262"/>
      <c r="L182" s="2263"/>
      <c r="M182" s="2262"/>
      <c r="N182" s="2262"/>
      <c r="O182" s="2263"/>
      <c r="P182" s="2262"/>
      <c r="Q182" s="2262"/>
      <c r="R182" s="2264"/>
    </row>
    <row r="183" spans="1:18" s="2249" customFormat="1">
      <c r="B183" s="2262"/>
      <c r="C183" s="2262"/>
      <c r="D183" s="2262"/>
      <c r="E183" s="2262"/>
      <c r="F183" s="2262"/>
      <c r="G183" s="2263"/>
      <c r="H183" s="2262"/>
      <c r="I183" s="2263"/>
      <c r="J183" s="2262"/>
      <c r="K183" s="2262"/>
      <c r="L183" s="2263"/>
      <c r="M183" s="2262"/>
      <c r="N183" s="2262"/>
      <c r="O183" s="2263"/>
      <c r="P183" s="2262"/>
      <c r="Q183" s="2262"/>
      <c r="R183" s="2264"/>
    </row>
    <row r="184" spans="1:18" s="2249" customFormat="1">
      <c r="B184" s="2262"/>
      <c r="C184" s="2262"/>
      <c r="D184" s="2262"/>
      <c r="E184" s="2262"/>
      <c r="F184" s="2262"/>
      <c r="G184" s="2263"/>
      <c r="H184" s="2262"/>
      <c r="I184" s="2263"/>
      <c r="J184" s="2262"/>
      <c r="K184" s="2262"/>
      <c r="L184" s="2263"/>
      <c r="M184" s="2262"/>
      <c r="N184" s="2262"/>
      <c r="O184" s="2263"/>
      <c r="P184" s="2262"/>
      <c r="Q184" s="2262"/>
      <c r="R184" s="2264"/>
    </row>
    <row r="185" spans="1:18" s="2249" customFormat="1">
      <c r="B185" s="2262"/>
      <c r="C185" s="2262"/>
      <c r="D185" s="2262"/>
      <c r="E185" s="2262"/>
      <c r="F185" s="2262"/>
      <c r="G185" s="2263"/>
      <c r="H185" s="2262"/>
      <c r="I185" s="2263"/>
      <c r="J185" s="2262"/>
      <c r="K185" s="2262"/>
      <c r="L185" s="2263"/>
      <c r="M185" s="2262"/>
      <c r="N185" s="2262"/>
      <c r="O185" s="2263"/>
      <c r="P185" s="2262"/>
      <c r="Q185" s="2262"/>
      <c r="R185" s="2264"/>
    </row>
    <row r="186" spans="1:18">
      <c r="A186" s="2249"/>
      <c r="B186" s="2262"/>
      <c r="C186" s="2262"/>
      <c r="E186" s="2262"/>
      <c r="F186" s="2262"/>
      <c r="G186" s="2263"/>
    </row>
    <row r="187" spans="1:18">
      <c r="A187" s="2249"/>
      <c r="B187" s="2262"/>
      <c r="C187" s="2262"/>
      <c r="E187" s="2262"/>
      <c r="F187" s="2262"/>
      <c r="G187" s="2263"/>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H21" sqref="H21"/>
    </sheetView>
  </sheetViews>
  <sheetFormatPr defaultRowHeight="13.5"/>
  <cols>
    <col min="1" max="1" width="23.375" style="3249" customWidth="1"/>
    <col min="2" max="9" width="15.75" style="3249" customWidth="1"/>
    <col min="10" max="16384" width="9" style="3249"/>
  </cols>
  <sheetData>
    <row r="1" spans="1:10" ht="16.5">
      <c r="A1" s="3254" t="s">
        <v>2992</v>
      </c>
      <c r="B1" s="3254">
        <f>SUM(B14:B23)</f>
        <v>140172.37</v>
      </c>
      <c r="C1" s="3253"/>
      <c r="D1" s="3253"/>
      <c r="E1" s="3253"/>
      <c r="F1" s="3253"/>
      <c r="G1" s="3251"/>
    </row>
    <row r="2" spans="1:10" ht="16.5">
      <c r="A2" s="3254" t="s">
        <v>2980</v>
      </c>
      <c r="B2" s="3254">
        <f>SUM(C14:C23)</f>
        <v>107868.37</v>
      </c>
      <c r="C2" s="3253"/>
      <c r="D2" s="3253"/>
      <c r="E2" s="3253"/>
      <c r="F2" s="3253"/>
      <c r="G2" s="3251"/>
    </row>
    <row r="3" spans="1:10" ht="16.5">
      <c r="A3" s="3254" t="s">
        <v>2989</v>
      </c>
      <c r="B3" s="3255">
        <f>项目基本情况!D3</f>
        <v>42941</v>
      </c>
      <c r="C3" s="3253"/>
      <c r="D3" s="3253"/>
      <c r="E3" s="3253"/>
      <c r="F3" s="3253"/>
      <c r="G3" s="3251"/>
    </row>
    <row r="4" spans="1:10" ht="33">
      <c r="A4" s="3254" t="s">
        <v>2988</v>
      </c>
      <c r="B4" s="3254" t="s">
        <v>2987</v>
      </c>
      <c r="C4" s="3254" t="s">
        <v>2986</v>
      </c>
      <c r="D4" s="3254" t="s">
        <v>2985</v>
      </c>
      <c r="E4" s="3253"/>
      <c r="F4" s="3251"/>
      <c r="G4" s="3251"/>
    </row>
    <row r="5" spans="1:10" ht="16.5">
      <c r="A5" s="3254" t="s">
        <v>2984</v>
      </c>
      <c r="B5" s="3254">
        <f ca="1">SUM(D14:D23)</f>
        <v>172747</v>
      </c>
      <c r="C5" s="3254">
        <f ca="1">ROUND(B5*10000/$B$1,0)</f>
        <v>12324</v>
      </c>
      <c r="D5" s="3254">
        <f ca="1">ROUND(B5*10000/$B$2,0)</f>
        <v>16015</v>
      </c>
      <c r="E5" s="3253"/>
      <c r="F5" s="3251"/>
      <c r="G5" s="3251"/>
    </row>
    <row r="6" spans="1:10" ht="16.5">
      <c r="A6" s="3254" t="s">
        <v>2983</v>
      </c>
      <c r="B6" s="3254">
        <f ca="1">SUM(G14:G23)</f>
        <v>172747</v>
      </c>
      <c r="C6" s="3254">
        <f ca="1">ROUND(B6*10000/$B$1,0)</f>
        <v>12324</v>
      </c>
      <c r="D6" s="3254">
        <f ca="1">ROUND(B6*10000/$B$2,0)</f>
        <v>16015</v>
      </c>
      <c r="E6" s="3253"/>
      <c r="F6" s="3251"/>
      <c r="G6" s="3251"/>
    </row>
    <row r="7" spans="1:10" ht="16.5">
      <c r="A7" s="3254" t="s">
        <v>2991</v>
      </c>
      <c r="B7" s="3254">
        <f>SUM(H14:H23)</f>
        <v>0</v>
      </c>
      <c r="C7" s="3254">
        <f>ROUND(B7*10000/$B$1,0)</f>
        <v>0</v>
      </c>
      <c r="D7" s="3254">
        <f>ROUND(B7*10000/$B$2,0)</f>
        <v>0</v>
      </c>
      <c r="E7" s="3253"/>
      <c r="F7" s="3251"/>
      <c r="G7" s="3251"/>
    </row>
    <row r="8" spans="1:10" ht="16.5">
      <c r="A8" s="3254" t="s">
        <v>2880</v>
      </c>
      <c r="B8" s="3254">
        <f ca="1">SUM(I14:I23)</f>
        <v>147413</v>
      </c>
      <c r="C8" s="3254">
        <f ca="1">ROUND(B8*10000/$B$1,0)</f>
        <v>10517</v>
      </c>
      <c r="D8" s="3254">
        <f ca="1">ROUND(B8*10000/$B$2,0)</f>
        <v>13666</v>
      </c>
      <c r="E8" s="3253"/>
      <c r="F8" s="3251"/>
      <c r="G8" s="3251"/>
    </row>
    <row r="9" spans="1:10" ht="16.5">
      <c r="A9" s="3254" t="s">
        <v>2982</v>
      </c>
      <c r="B9" s="3256"/>
      <c r="C9" s="3253"/>
      <c r="D9" s="3253"/>
      <c r="E9" s="3253"/>
      <c r="F9" s="3251"/>
      <c r="G9" s="3251"/>
    </row>
    <row r="10" spans="1:10" ht="16.5">
      <c r="A10" s="3254" t="s">
        <v>2981</v>
      </c>
      <c r="B10" s="3256"/>
      <c r="C10" s="3253"/>
      <c r="D10" s="3253"/>
      <c r="E10" s="3253"/>
      <c r="F10" s="3251"/>
      <c r="G10" s="3251"/>
    </row>
    <row r="11" spans="1:10" ht="16.5">
      <c r="A11" s="3254" t="s">
        <v>2997</v>
      </c>
      <c r="B11" s="3256"/>
      <c r="C11" s="3253"/>
      <c r="D11" s="3253"/>
      <c r="E11" s="3253"/>
      <c r="F11" s="3251"/>
      <c r="G11" s="3251"/>
    </row>
    <row r="12" spans="1:10" ht="16.5">
      <c r="A12" s="3253"/>
      <c r="B12" s="3253"/>
      <c r="C12" s="3253"/>
      <c r="D12" s="3253"/>
      <c r="E12" s="3253"/>
      <c r="F12" s="3251"/>
      <c r="G12" s="3251"/>
    </row>
    <row r="13" spans="1:10" ht="33">
      <c r="A13" s="3259" t="s">
        <v>2996</v>
      </c>
      <c r="B13" s="3252" t="s">
        <v>2993</v>
      </c>
      <c r="C13" s="3252" t="s">
        <v>2995</v>
      </c>
      <c r="D13" s="3252" t="s">
        <v>2994</v>
      </c>
      <c r="E13" s="3254" t="s">
        <v>2986</v>
      </c>
      <c r="F13" s="3254" t="s">
        <v>2985</v>
      </c>
      <c r="G13" s="3252" t="s">
        <v>2979</v>
      </c>
      <c r="H13" s="3252" t="s">
        <v>2990</v>
      </c>
      <c r="I13" s="3252" t="s">
        <v>2978</v>
      </c>
      <c r="J13" s="3251"/>
    </row>
    <row r="14" spans="1:10" ht="16.5">
      <c r="A14" s="3250" t="s">
        <v>2977</v>
      </c>
      <c r="B14" s="3252">
        <f>'数据-汇总表'!E3</f>
        <v>88021.11</v>
      </c>
      <c r="C14" s="3252">
        <f>'数据-汇总表'!D3</f>
        <v>104051.87</v>
      </c>
      <c r="D14" s="3252">
        <f ca="1">结果表!H118</f>
        <v>16368</v>
      </c>
      <c r="E14" s="3252">
        <f ca="1">ROUND(D14*10000/B14,0)</f>
        <v>1860</v>
      </c>
      <c r="F14" s="3252">
        <f ca="1">ROUND(D14*10000/C14,0)</f>
        <v>1573</v>
      </c>
      <c r="G14" s="3252">
        <f ca="1">结果表!D122</f>
        <v>16368</v>
      </c>
      <c r="H14" s="3252" t="str">
        <f>结果表!D124</f>
        <v>——</v>
      </c>
      <c r="I14" s="3252">
        <f ca="1">结果表!D126</f>
        <v>15487</v>
      </c>
      <c r="J14" s="3251"/>
    </row>
    <row r="15" spans="1:10" ht="16.5">
      <c r="A15" s="3250" t="s">
        <v>2976</v>
      </c>
      <c r="B15" s="3377">
        <v>52151.26</v>
      </c>
      <c r="C15" s="3377">
        <v>3816.5</v>
      </c>
      <c r="D15" s="3377">
        <v>156379</v>
      </c>
      <c r="E15" s="3252">
        <f t="shared" ref="E15:E23" si="0">ROUND(D15*10000/B15,0)</f>
        <v>29986</v>
      </c>
      <c r="F15" s="3252">
        <f t="shared" ref="F15:F23" si="1">ROUND(D15*10000/C15,0)</f>
        <v>409745</v>
      </c>
      <c r="G15" s="3258">
        <v>156379</v>
      </c>
      <c r="H15" s="3258" t="s">
        <v>529</v>
      </c>
      <c r="I15" s="3257">
        <v>131926</v>
      </c>
      <c r="J15" s="3251"/>
    </row>
    <row r="16" spans="1:10" ht="16.5">
      <c r="A16" s="3250" t="s">
        <v>2975</v>
      </c>
      <c r="B16" s="3257"/>
      <c r="C16" s="3257"/>
      <c r="D16" s="3257"/>
      <c r="E16" s="3252" t="e">
        <f t="shared" si="0"/>
        <v>#DIV/0!</v>
      </c>
      <c r="F16" s="3252" t="e">
        <f t="shared" si="1"/>
        <v>#DIV/0!</v>
      </c>
      <c r="G16" s="3258"/>
      <c r="H16" s="3258"/>
      <c r="I16" s="3257"/>
    </row>
    <row r="17" spans="1:9" ht="16.5">
      <c r="A17" s="3250" t="s">
        <v>2974</v>
      </c>
      <c r="B17" s="3257"/>
      <c r="C17" s="3257"/>
      <c r="D17" s="3257"/>
      <c r="E17" s="3252" t="e">
        <f t="shared" si="0"/>
        <v>#DIV/0!</v>
      </c>
      <c r="F17" s="3252" t="e">
        <f t="shared" si="1"/>
        <v>#DIV/0!</v>
      </c>
      <c r="G17" s="3258"/>
      <c r="H17" s="3258"/>
      <c r="I17" s="3257"/>
    </row>
    <row r="18" spans="1:9" ht="16.5">
      <c r="A18" s="3250" t="s">
        <v>2973</v>
      </c>
      <c r="B18" s="3257"/>
      <c r="C18" s="3257"/>
      <c r="D18" s="3257"/>
      <c r="E18" s="3252" t="e">
        <f t="shared" si="0"/>
        <v>#DIV/0!</v>
      </c>
      <c r="F18" s="3252" t="e">
        <f t="shared" si="1"/>
        <v>#DIV/0!</v>
      </c>
      <c r="G18" s="3257"/>
      <c r="H18" s="3257"/>
      <c r="I18" s="3257"/>
    </row>
    <row r="19" spans="1:9" ht="16.5">
      <c r="A19" s="3250" t="s">
        <v>2972</v>
      </c>
      <c r="B19" s="3257"/>
      <c r="C19" s="3257"/>
      <c r="D19" s="3257"/>
      <c r="E19" s="3252" t="e">
        <f t="shared" si="0"/>
        <v>#DIV/0!</v>
      </c>
      <c r="F19" s="3252" t="e">
        <f t="shared" si="1"/>
        <v>#DIV/0!</v>
      </c>
      <c r="G19" s="3257"/>
      <c r="H19" s="3257"/>
      <c r="I19" s="3257"/>
    </row>
    <row r="20" spans="1:9" ht="16.5">
      <c r="A20" s="3250" t="s">
        <v>2971</v>
      </c>
      <c r="B20" s="3257"/>
      <c r="C20" s="3257"/>
      <c r="D20" s="3257"/>
      <c r="E20" s="3252" t="e">
        <f t="shared" si="0"/>
        <v>#DIV/0!</v>
      </c>
      <c r="F20" s="3252" t="e">
        <f t="shared" si="1"/>
        <v>#DIV/0!</v>
      </c>
      <c r="G20" s="3257"/>
      <c r="H20" s="3257"/>
      <c r="I20" s="3257"/>
    </row>
    <row r="21" spans="1:9" ht="16.5">
      <c r="A21" s="3250" t="s">
        <v>2970</v>
      </c>
      <c r="B21" s="3257"/>
      <c r="C21" s="3257"/>
      <c r="D21" s="3257"/>
      <c r="E21" s="3252" t="e">
        <f t="shared" si="0"/>
        <v>#DIV/0!</v>
      </c>
      <c r="F21" s="3252" t="e">
        <f t="shared" si="1"/>
        <v>#DIV/0!</v>
      </c>
      <c r="G21" s="3257"/>
      <c r="H21" s="3257"/>
      <c r="I21" s="3257"/>
    </row>
    <row r="22" spans="1:9" ht="16.5">
      <c r="A22" s="3250" t="s">
        <v>2969</v>
      </c>
      <c r="B22" s="3257"/>
      <c r="C22" s="3257"/>
      <c r="D22" s="3257"/>
      <c r="E22" s="3252" t="e">
        <f t="shared" si="0"/>
        <v>#DIV/0!</v>
      </c>
      <c r="F22" s="3252" t="e">
        <f t="shared" si="1"/>
        <v>#DIV/0!</v>
      </c>
      <c r="G22" s="3257"/>
      <c r="H22" s="3257"/>
      <c r="I22" s="3257"/>
    </row>
    <row r="23" spans="1:9" ht="16.5">
      <c r="A23" s="3250" t="s">
        <v>2968</v>
      </c>
      <c r="B23" s="3257"/>
      <c r="C23" s="3257"/>
      <c r="D23" s="3257"/>
      <c r="E23" s="3254" t="e">
        <f t="shared" si="0"/>
        <v>#DIV/0!</v>
      </c>
      <c r="F23" s="3254" t="e">
        <f t="shared" si="1"/>
        <v>#DIV/0!</v>
      </c>
      <c r="G23" s="3257"/>
      <c r="H23" s="3257"/>
      <c r="I23" s="3257"/>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G36" sqref="G36"/>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762</v>
      </c>
      <c r="B1" s="1242"/>
      <c r="C1" s="2091"/>
      <c r="D1" s="1242"/>
      <c r="E1" s="1242"/>
      <c r="F1" s="2075" t="s">
        <v>2114</v>
      </c>
      <c r="G1" s="2048" t="s">
        <v>3227</v>
      </c>
      <c r="H1" s="2104" t="str">
        <f>IF(G1="现房","——","估价对象范围")</f>
        <v>估价对象范围</v>
      </c>
      <c r="I1" s="2081" t="s">
        <v>3228</v>
      </c>
    </row>
    <row r="2" spans="1:12" ht="21.75" customHeight="1" thickBot="1">
      <c r="A2" s="3526" t="str">
        <f>项目基本情况!S2</f>
        <v>出让国有建设用地使用权及在建建筑物房地产</v>
      </c>
      <c r="B2" s="3527"/>
      <c r="C2" s="3527"/>
      <c r="D2" s="3527"/>
      <c r="E2" s="3527"/>
      <c r="F2" s="3527"/>
      <c r="G2" s="3527"/>
      <c r="H2" s="3527"/>
      <c r="I2" s="3528"/>
    </row>
    <row r="3" spans="1:12" ht="12">
      <c r="A3" s="3530" t="s">
        <v>10</v>
      </c>
      <c r="B3" s="3531"/>
      <c r="C3" s="3531"/>
      <c r="D3" s="3531"/>
      <c r="E3" s="3531"/>
      <c r="F3" s="3531"/>
      <c r="G3" s="3531"/>
      <c r="H3" s="3531"/>
      <c r="I3" s="3531"/>
    </row>
    <row r="4" spans="1:12" ht="13.5">
      <c r="A4" s="428" t="s">
        <v>11</v>
      </c>
      <c r="B4" s="429" t="s">
        <v>12</v>
      </c>
      <c r="C4" s="430" t="s">
        <v>3052</v>
      </c>
      <c r="D4" s="430" t="s">
        <v>3264</v>
      </c>
      <c r="E4" s="3535" t="s">
        <v>763</v>
      </c>
      <c r="F4" s="3536"/>
      <c r="G4" s="3536"/>
      <c r="H4" s="3536"/>
      <c r="I4" s="3537"/>
      <c r="K4" s="2177" t="str">
        <f>IF(ISNUMBER(FIND("比较法",结果表!C4)),"比较法",IF(ISNUMBER(FIND("成本法",结果表!C4)),"成本法",IF(ISNUMBER(FIND("假设开发法",结果表!C4)),"假设开发法",IF(ISNUMBER(FIND("收益法",结果表!C4)),"收益法","基准地价系数修正法"))))</f>
        <v>成本法</v>
      </c>
      <c r="L4" s="2177" t="str">
        <f>IF(ISNUMBER(FIND("比较法",结果表!D4)),"比较法",IF(ISNUMBER(FIND("成本法",结果表!D4)),"成本法",IF(ISNUMBER(FIND("假设开发法",结果表!D4)),"假设开发法",IF(ISNUMBER(FIND("收益法",结果表!D4)),"收益法","基准地价系数修正法"))))</f>
        <v>假设开发法</v>
      </c>
    </row>
    <row r="5" spans="1:12" ht="12.75">
      <c r="A5" s="3508" t="s">
        <v>13</v>
      </c>
      <c r="B5" s="3495">
        <v>25</v>
      </c>
      <c r="C5" s="3532"/>
      <c r="D5" s="3529"/>
      <c r="E5" s="470" t="s">
        <v>806</v>
      </c>
      <c r="F5" s="431"/>
      <c r="G5" s="431"/>
      <c r="H5" s="431"/>
      <c r="I5" s="432"/>
    </row>
    <row r="6" spans="1:12" ht="12.75">
      <c r="A6" s="3508"/>
      <c r="B6" s="3495"/>
      <c r="C6" s="3534"/>
      <c r="D6" s="3529"/>
      <c r="E6" s="470" t="s">
        <v>807</v>
      </c>
      <c r="F6" s="431"/>
      <c r="G6" s="431"/>
      <c r="H6" s="431"/>
      <c r="I6" s="432"/>
    </row>
    <row r="7" spans="1:12" ht="12.75">
      <c r="A7" s="3508"/>
      <c r="B7" s="3495"/>
      <c r="C7" s="3533"/>
      <c r="D7" s="3529"/>
      <c r="E7" s="470" t="s">
        <v>808</v>
      </c>
      <c r="F7" s="431"/>
      <c r="G7" s="431"/>
      <c r="H7" s="431"/>
      <c r="I7" s="432"/>
    </row>
    <row r="8" spans="1:12" ht="12.75">
      <c r="A8" s="3508" t="s">
        <v>14</v>
      </c>
      <c r="B8" s="3495">
        <v>15</v>
      </c>
      <c r="C8" s="3532"/>
      <c r="D8" s="3529"/>
      <c r="E8" s="470" t="s">
        <v>809</v>
      </c>
      <c r="F8" s="431"/>
      <c r="G8" s="431"/>
      <c r="H8" s="431"/>
      <c r="I8" s="432"/>
    </row>
    <row r="9" spans="1:12" ht="12.75">
      <c r="A9" s="3508"/>
      <c r="B9" s="3495"/>
      <c r="C9" s="3533"/>
      <c r="D9" s="3529"/>
      <c r="E9" s="470" t="s">
        <v>810</v>
      </c>
      <c r="F9" s="431"/>
      <c r="G9" s="431"/>
      <c r="H9" s="431"/>
      <c r="I9" s="432"/>
    </row>
    <row r="10" spans="1:12" ht="12.75">
      <c r="A10" s="3508" t="s">
        <v>15</v>
      </c>
      <c r="B10" s="3495">
        <v>15</v>
      </c>
      <c r="C10" s="3532"/>
      <c r="D10" s="3529"/>
      <c r="E10" s="470" t="s">
        <v>811</v>
      </c>
      <c r="F10" s="431"/>
      <c r="G10" s="431"/>
      <c r="H10" s="431"/>
      <c r="I10" s="432"/>
    </row>
    <row r="11" spans="1:12" ht="12.75">
      <c r="A11" s="3508"/>
      <c r="B11" s="3495"/>
      <c r="C11" s="3533"/>
      <c r="D11" s="3529"/>
      <c r="E11" s="470" t="s">
        <v>812</v>
      </c>
      <c r="F11" s="431"/>
      <c r="G11" s="431"/>
      <c r="H11" s="431"/>
      <c r="I11" s="432"/>
    </row>
    <row r="12" spans="1:12" ht="12.75">
      <c r="A12" s="3508" t="s">
        <v>16</v>
      </c>
      <c r="B12" s="3495">
        <v>15</v>
      </c>
      <c r="C12" s="3532"/>
      <c r="D12" s="3529"/>
      <c r="E12" s="470" t="s">
        <v>813</v>
      </c>
      <c r="F12" s="431"/>
      <c r="G12" s="431"/>
      <c r="H12" s="431"/>
      <c r="I12" s="432"/>
    </row>
    <row r="13" spans="1:12" ht="12.75">
      <c r="A13" s="3508"/>
      <c r="B13" s="3495"/>
      <c r="C13" s="3533"/>
      <c r="D13" s="3529"/>
      <c r="E13" s="470" t="s">
        <v>814</v>
      </c>
      <c r="F13" s="431"/>
      <c r="G13" s="431"/>
      <c r="H13" s="431"/>
      <c r="I13" s="432"/>
    </row>
    <row r="14" spans="1:12" ht="12.75">
      <c r="A14" s="3508" t="s">
        <v>17</v>
      </c>
      <c r="B14" s="3495">
        <v>30</v>
      </c>
      <c r="C14" s="3511">
        <v>5</v>
      </c>
      <c r="D14" s="3560">
        <v>5</v>
      </c>
      <c r="E14" s="470" t="s">
        <v>815</v>
      </c>
      <c r="F14" s="431"/>
      <c r="G14" s="431"/>
      <c r="H14" s="431"/>
      <c r="I14" s="432"/>
    </row>
    <row r="15" spans="1:12" ht="12.75">
      <c r="A15" s="3508"/>
      <c r="B15" s="3495"/>
      <c r="C15" s="3512"/>
      <c r="D15" s="3560"/>
      <c r="E15" s="470" t="s">
        <v>816</v>
      </c>
      <c r="F15" s="431"/>
      <c r="G15" s="431"/>
      <c r="H15" s="431"/>
      <c r="I15" s="432"/>
    </row>
    <row r="16" spans="1:12" ht="12.75">
      <c r="A16" s="3508"/>
      <c r="B16" s="3495"/>
      <c r="C16" s="3513"/>
      <c r="D16" s="3560"/>
      <c r="E16" s="470" t="s">
        <v>817</v>
      </c>
      <c r="F16" s="431"/>
      <c r="G16" s="431"/>
      <c r="H16" s="431"/>
      <c r="I16" s="432"/>
    </row>
    <row r="17" spans="1:35" ht="14.25">
      <c r="A17" s="433" t="s">
        <v>18</v>
      </c>
      <c r="B17" s="38"/>
      <c r="C17" s="471">
        <f>SUM(C5:C16)</f>
        <v>5</v>
      </c>
      <c r="D17" s="471">
        <f>SUM(D5:D16)</f>
        <v>5</v>
      </c>
      <c r="E17" s="2270"/>
      <c r="F17" s="2270"/>
      <c r="G17" s="2270"/>
      <c r="H17" s="2270"/>
      <c r="I17" s="2270"/>
      <c r="K17" s="2177"/>
      <c r="L17" s="2178" t="s">
        <v>2321</v>
      </c>
      <c r="M17" s="2178" t="s">
        <v>2322</v>
      </c>
    </row>
    <row r="18" spans="1:35" ht="15" thickBot="1">
      <c r="A18" s="434" t="s">
        <v>19</v>
      </c>
      <c r="B18" s="18"/>
      <c r="C18" s="472">
        <f>ROUND(C17/SUM(C17:D17),2)</f>
        <v>0.5</v>
      </c>
      <c r="D18" s="472">
        <f>1-C18</f>
        <v>0.5</v>
      </c>
      <c r="E18" s="2270"/>
      <c r="F18" s="2270"/>
      <c r="G18" s="2270"/>
      <c r="H18" s="2270"/>
      <c r="I18" s="2270"/>
      <c r="K18" s="2177" t="s">
        <v>2136</v>
      </c>
      <c r="L18" s="2177">
        <f>IF(C1="",'数据-汇总表'!E3,SUMIF(项目类型,C1,'数据-汇总表'!E17:E26)+SUMIF(项目类型,C1,'数据-汇总表'!I17:I26))</f>
        <v>88021.11</v>
      </c>
      <c r="M18" s="2177">
        <f>IF(C1="",'数据-汇总表'!E3,SUMIF(项目类型,C1,'数据-汇总表'!E17:E26))</f>
        <v>88021.11</v>
      </c>
    </row>
    <row r="19" spans="1:35" ht="14.25">
      <c r="A19" s="435" t="s">
        <v>179</v>
      </c>
      <c r="B19" s="436" t="s">
        <v>20</v>
      </c>
      <c r="C19" s="473">
        <f ca="1">SUMIF(INDIRECT("'"&amp;C4&amp;"'"&amp;"!A:A"),结果表!B19,INDIRECT("'"&amp;C4&amp;"'"&amp;"!B:B"))</f>
        <v>16824</v>
      </c>
      <c r="D19" s="474">
        <f ca="1">SUMIF(INDIRECT("'"&amp;D4&amp;"'"&amp;"!A:A"),结果表!B19,INDIRECT("'"&amp;D4&amp;"'"&amp;"!B:B"))</f>
        <v>15912</v>
      </c>
      <c r="E19" s="435" t="s">
        <v>178</v>
      </c>
      <c r="F19" s="436" t="s">
        <v>20</v>
      </c>
      <c r="G19" s="475">
        <f ca="1">ROUND(C19*$C$18+D19*$D$18,0)</f>
        <v>16368</v>
      </c>
      <c r="H19" s="437" t="s">
        <v>225</v>
      </c>
      <c r="I19" s="2270"/>
      <c r="K19" s="2177" t="s">
        <v>2137</v>
      </c>
      <c r="L19" s="2177">
        <f>IF(C1="",'数据-汇总表'!D3,SUMIF(项目类型,C1,'数据-汇总表'!D17:D26)+SUMIF(项目类型,C1,'数据-汇总表'!H17:H27))</f>
        <v>104051.87</v>
      </c>
      <c r="M19" s="2177">
        <f>IF(C1="",'数据-汇总表'!D3,SUMIF(项目类型,C1,'数据-汇总表'!D17:D26))</f>
        <v>104051.87</v>
      </c>
    </row>
    <row r="20" spans="1:35" ht="14.25">
      <c r="A20" s="438"/>
      <c r="B20" s="439" t="s">
        <v>21</v>
      </c>
      <c r="C20" s="476">
        <f ca="1">SUMIF(INDIRECT("'"&amp;C4&amp;"'"&amp;"!A:A"),结果表!B20,INDIRECT("'"&amp;C4&amp;"'"&amp;"!B:B"))</f>
        <v>1911</v>
      </c>
      <c r="D20" s="477">
        <f ca="1">SUMIF(INDIRECT("'"&amp;D4&amp;"'"&amp;"!A:A"),结果表!B20,INDIRECT("'"&amp;D4&amp;"'"&amp;"!B:B"))</f>
        <v>1808</v>
      </c>
      <c r="E20" s="438"/>
      <c r="F20" s="439" t="s">
        <v>21</v>
      </c>
      <c r="G20" s="478">
        <f ca="1">ROUND(C20*$C$18+D20*$D$18,0)</f>
        <v>1860</v>
      </c>
      <c r="H20" s="440" t="s">
        <v>224</v>
      </c>
      <c r="I20" s="2270"/>
    </row>
    <row r="21" spans="1:35" ht="15" customHeight="1" thickBot="1">
      <c r="A21" s="442"/>
      <c r="B21" s="443" t="s">
        <v>22</v>
      </c>
      <c r="C21" s="1421">
        <f ca="1">ROUND(C19*10000/L19,0)</f>
        <v>1617</v>
      </c>
      <c r="D21" s="1422">
        <f ca="1">ROUND(D19*10000/L19,0)</f>
        <v>1529</v>
      </c>
      <c r="E21" s="442"/>
      <c r="F21" s="443" t="s">
        <v>22</v>
      </c>
      <c r="G21" s="479">
        <f ca="1">ROUND(G19*10000/L19,0)</f>
        <v>1573</v>
      </c>
      <c r="H21" s="444" t="s">
        <v>224</v>
      </c>
      <c r="I21" s="2270"/>
    </row>
    <row r="22" spans="1:35" ht="15" thickBot="1">
      <c r="A22" s="275" t="s">
        <v>180</v>
      </c>
      <c r="B22" s="1423"/>
      <c r="C22" s="1424"/>
      <c r="D22" s="1425">
        <f ca="1">IF(C19&lt;D19,D19/C19-1,C19/D19-1)</f>
        <v>5.731523378582204E-2</v>
      </c>
      <c r="E22" s="2270"/>
      <c r="F22" s="2270"/>
      <c r="G22" s="2270"/>
      <c r="H22" s="2270"/>
      <c r="I22" s="2270"/>
    </row>
    <row r="23" spans="1:35" ht="12.75" hidden="1" thickBot="1">
      <c r="A23" s="1242"/>
      <c r="B23" s="1242"/>
      <c r="C23" s="1242"/>
      <c r="D23" s="1242"/>
      <c r="E23" s="2270"/>
      <c r="F23" s="2270"/>
      <c r="G23" s="2270"/>
      <c r="H23" s="2270"/>
      <c r="I23" s="2270"/>
      <c r="K23" s="1445">
        <f>'数据-汇总表'!E3*25000/10000</f>
        <v>220052.77499999999</v>
      </c>
      <c r="L23" s="1445">
        <f>250000*0.4</f>
        <v>100000</v>
      </c>
    </row>
    <row r="24" spans="1:35" ht="14.25" hidden="1">
      <c r="A24" s="3502" t="s">
        <v>176</v>
      </c>
      <c r="B24" s="436" t="s">
        <v>20</v>
      </c>
      <c r="C24" s="475">
        <f>IF(B30=0,0,D30)</f>
        <v>0</v>
      </c>
      <c r="D24" s="445"/>
      <c r="E24" s="2270"/>
      <c r="F24" s="2270"/>
      <c r="G24" s="2270"/>
      <c r="H24" s="2270"/>
      <c r="I24" s="2270"/>
      <c r="K24" s="1445">
        <f>52151*30000/10000</f>
        <v>156453</v>
      </c>
    </row>
    <row r="25" spans="1:35" ht="14.25" hidden="1">
      <c r="A25" s="3503"/>
      <c r="B25" s="439" t="s">
        <v>21</v>
      </c>
      <c r="C25" s="480">
        <f>IF(B30=0,0,C30)</f>
        <v>0</v>
      </c>
      <c r="D25" s="446"/>
      <c r="E25" s="2270"/>
      <c r="F25" s="2270"/>
      <c r="G25" s="2270"/>
      <c r="H25" s="2270"/>
      <c r="I25" s="2270"/>
      <c r="L25" s="2091"/>
    </row>
    <row r="26" spans="1:35" ht="13.5" hidden="1" customHeight="1">
      <c r="A26" s="447" t="s">
        <v>177</v>
      </c>
      <c r="B26" s="448" t="s">
        <v>120</v>
      </c>
      <c r="C26" s="448" t="s">
        <v>121</v>
      </c>
      <c r="D26" s="449" t="s">
        <v>122</v>
      </c>
      <c r="E26" s="2270"/>
      <c r="F26" s="2270"/>
      <c r="G26" s="2270"/>
      <c r="H26" s="2270"/>
      <c r="I26" s="2270"/>
    </row>
    <row r="27" spans="1:35" ht="14.25" hidden="1">
      <c r="A27" s="447"/>
      <c r="B27" s="481">
        <v>0</v>
      </c>
      <c r="C27" s="481">
        <v>0</v>
      </c>
      <c r="D27" s="482">
        <f>ROUND(C27*B27/10000,0)</f>
        <v>0</v>
      </c>
      <c r="E27" s="2270"/>
      <c r="F27" s="2270"/>
      <c r="G27" s="2270"/>
      <c r="H27" s="2270"/>
      <c r="I27" s="2270"/>
    </row>
    <row r="28" spans="1:35" ht="14.25" hidden="1">
      <c r="A28" s="447"/>
      <c r="B28" s="481"/>
      <c r="C28" s="481"/>
      <c r="D28" s="482"/>
      <c r="E28" s="2270"/>
      <c r="F28" s="2270"/>
      <c r="G28" s="2270"/>
      <c r="H28" s="2270"/>
      <c r="I28" s="2270"/>
    </row>
    <row r="29" spans="1:35" ht="14.25" hidden="1">
      <c r="A29" s="447"/>
      <c r="B29" s="481"/>
      <c r="C29" s="481"/>
      <c r="D29" s="482"/>
      <c r="E29" s="2270"/>
      <c r="F29" s="2270"/>
      <c r="G29" s="2270"/>
      <c r="H29" s="2270"/>
      <c r="I29" s="2270"/>
    </row>
    <row r="30" spans="1:35" ht="14.25" hidden="1">
      <c r="A30" s="450" t="s">
        <v>175</v>
      </c>
      <c r="B30" s="483">
        <f>SUM(B27:B29)</f>
        <v>0</v>
      </c>
      <c r="C30" s="483" t="e">
        <f>ROUND(D30*10000/B30,0)</f>
        <v>#DIV/0!</v>
      </c>
      <c r="D30" s="483">
        <f>SUM(D27:D29)</f>
        <v>0</v>
      </c>
      <c r="E30" s="2270"/>
      <c r="F30" s="2270"/>
      <c r="G30" s="2270"/>
      <c r="H30" s="2270"/>
      <c r="I30" s="2270"/>
    </row>
    <row r="31" spans="1:35" s="1244" customFormat="1" ht="14.25" hidden="1" thickBot="1">
      <c r="A31" s="451"/>
      <c r="B31" s="451"/>
      <c r="C31" s="451"/>
      <c r="D31" s="451"/>
      <c r="E31" s="2270"/>
      <c r="F31" s="2270"/>
      <c r="G31" s="2270"/>
      <c r="H31" s="2270"/>
      <c r="I31" s="2270"/>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174</v>
      </c>
      <c r="B32" s="453"/>
      <c r="C32" s="484">
        <f ca="1">IF(D32="总价",G19-C24,G20-C25)</f>
        <v>16368</v>
      </c>
      <c r="D32" s="2085" t="s">
        <v>207</v>
      </c>
      <c r="E32" s="2270"/>
      <c r="F32" s="2270"/>
      <c r="G32" s="2270"/>
      <c r="H32" s="2270"/>
      <c r="I32" s="2270"/>
    </row>
    <row r="33" spans="1:15" ht="13.5">
      <c r="A33" s="456" t="s">
        <v>764</v>
      </c>
      <c r="B33" s="2084"/>
      <c r="C33" s="2870" t="s">
        <v>3272</v>
      </c>
      <c r="D33" s="2873" t="s">
        <v>3052</v>
      </c>
      <c r="E33" s="2082" t="s">
        <v>2116</v>
      </c>
      <c r="F33" s="2083" t="str">
        <f>IF(D32="楼面单价","取值（单价）","取值（总价）")</f>
        <v>取值（总价）</v>
      </c>
      <c r="G33" s="2270"/>
      <c r="H33" s="2270"/>
      <c r="I33" s="2270"/>
    </row>
    <row r="34" spans="1:15" ht="15">
      <c r="A34" s="457"/>
      <c r="B34" s="458" t="s">
        <v>767</v>
      </c>
      <c r="C34" s="488">
        <f ca="1">IF(C33="自定义",F34,C32-C35)</f>
        <v>6269</v>
      </c>
      <c r="D34" s="2086">
        <f ca="1">IF(C33="自定义",ROUND(C34/C32,3),IF(C33="收益比率",SUMIF(INDIRECT("'"&amp;D33&amp;"'"&amp;"!b:b"),"土地收益比率",INDIRECT("'"&amp;D33&amp;"'"&amp;"!c:c")),SUMIF(INDIRECT("'"&amp;D33&amp;"'"&amp;"!b:b"),"土地成本比率",INDIRECT("'"&amp;D33&amp;"'"&amp;"!c:c"))))</f>
        <v>0.38300000000000001</v>
      </c>
      <c r="E34" s="2871" t="s">
        <v>2117</v>
      </c>
      <c r="F34" s="3247"/>
      <c r="G34" s="2270"/>
      <c r="H34" s="2270"/>
      <c r="I34" s="2270"/>
    </row>
    <row r="35" spans="1:15" ht="15.75" thickBot="1">
      <c r="A35" s="460"/>
      <c r="B35" s="2874" t="s">
        <v>769</v>
      </c>
      <c r="C35" s="2875">
        <f ca="1">IF(C33="自定义",F35,ROUND(C32*D35,0))</f>
        <v>10099</v>
      </c>
      <c r="D35" s="2876">
        <f ca="1">IF(C33="自定义",ROUND(C35/C32,3),IF(C33="收益比率",SUMIF(INDIRECT("'"&amp;D33&amp;"'"&amp;"!b:b"),"建筑物收益比率",INDIRECT("'"&amp;D33&amp;"'"&amp;"!c:c")),SUMIF(INDIRECT("'"&amp;D33&amp;"'"&amp;"!b:b"),"建筑物成本比率",INDIRECT("'"&amp;D33&amp;"'"&amp;"!c:c"))))</f>
        <v>0.61699999999999999</v>
      </c>
      <c r="E35" s="2872" t="s">
        <v>2118</v>
      </c>
      <c r="F35" s="494"/>
      <c r="G35" s="2270"/>
      <c r="H35" s="2270"/>
      <c r="I35" s="2270"/>
    </row>
    <row r="36" spans="1:15" ht="15.75" thickBot="1">
      <c r="A36" s="3518" t="s">
        <v>765</v>
      </c>
      <c r="B36" s="454" t="s">
        <v>766</v>
      </c>
      <c r="C36" s="485"/>
      <c r="D36" s="455"/>
      <c r="E36" s="1245"/>
      <c r="F36" s="2271"/>
      <c r="G36" s="2270"/>
      <c r="H36" s="2270"/>
      <c r="I36" s="2270"/>
    </row>
    <row r="37" spans="1:15" ht="15.75" thickBot="1">
      <c r="A37" s="3519"/>
      <c r="B37" s="13" t="s">
        <v>768</v>
      </c>
      <c r="C37" s="487"/>
      <c r="D37" s="2219"/>
      <c r="E37" s="2219"/>
      <c r="F37" s="2271"/>
      <c r="G37" s="2270"/>
      <c r="H37" s="2270"/>
      <c r="I37" s="2270"/>
    </row>
    <row r="38" spans="1:15" ht="15.75" thickBot="1">
      <c r="A38" s="3520"/>
      <c r="B38" s="459" t="s">
        <v>770</v>
      </c>
      <c r="C38" s="1136"/>
      <c r="D38" s="1246" t="s">
        <v>771</v>
      </c>
      <c r="E38" s="2219"/>
      <c r="F38" s="2271"/>
      <c r="G38" s="2270"/>
      <c r="H38" s="2270"/>
      <c r="I38" s="2270"/>
    </row>
    <row r="39" spans="1:15" ht="13.5">
      <c r="A39" s="438" t="s">
        <v>772</v>
      </c>
      <c r="B39" s="461" t="s">
        <v>773</v>
      </c>
      <c r="C39" s="462" t="s">
        <v>774</v>
      </c>
      <c r="D39" s="462" t="s">
        <v>775</v>
      </c>
      <c r="E39" s="463" t="s">
        <v>776</v>
      </c>
      <c r="F39" s="2271"/>
      <c r="G39" s="2270"/>
      <c r="H39" s="2270"/>
      <c r="I39" s="2270"/>
    </row>
    <row r="40" spans="1:15" ht="13.5">
      <c r="A40" s="1247" t="s">
        <v>777</v>
      </c>
      <c r="B40" s="489"/>
      <c r="C40" s="490"/>
      <c r="D40" s="490"/>
      <c r="E40" s="491"/>
      <c r="F40" s="2271"/>
      <c r="G40" s="2270"/>
      <c r="H40" s="2270"/>
      <c r="I40" s="2270"/>
    </row>
    <row r="41" spans="1:15" ht="13.5">
      <c r="A41" s="1247" t="s">
        <v>778</v>
      </c>
      <c r="B41" s="489"/>
      <c r="C41" s="490"/>
      <c r="D41" s="490"/>
      <c r="E41" s="491"/>
      <c r="F41" s="2271"/>
      <c r="G41" s="2270"/>
      <c r="H41" s="2270"/>
      <c r="I41" s="2270"/>
    </row>
    <row r="42" spans="1:15" ht="14.25" thickBot="1">
      <c r="A42" s="1248"/>
      <c r="B42" s="492"/>
      <c r="C42" s="493"/>
      <c r="D42" s="493"/>
      <c r="E42" s="494"/>
      <c r="F42" s="2271"/>
      <c r="G42" s="2270"/>
      <c r="H42" s="2270"/>
      <c r="I42" s="2270"/>
    </row>
    <row r="43" spans="1:15" ht="12">
      <c r="A43" s="241"/>
      <c r="B43" s="241"/>
      <c r="C43" s="241"/>
      <c r="D43" s="241"/>
      <c r="E43" s="241"/>
      <c r="F43" s="1249"/>
      <c r="G43" s="1249"/>
      <c r="H43" s="1249"/>
      <c r="I43" s="1250"/>
    </row>
    <row r="44" spans="1:15" ht="18.75">
      <c r="A44" s="1251" t="s">
        <v>779</v>
      </c>
      <c r="B44" s="1252"/>
      <c r="C44" s="1252"/>
      <c r="D44" s="1253"/>
      <c r="E44" s="1253"/>
      <c r="F44" s="1254"/>
      <c r="G44" s="1254"/>
      <c r="H44" s="1254"/>
      <c r="I44" s="1254"/>
      <c r="J44" s="3264" t="s">
        <v>211</v>
      </c>
      <c r="K44" s="3265"/>
      <c r="L44" s="3265"/>
      <c r="M44" s="3265"/>
      <c r="N44" s="3265"/>
      <c r="O44" s="3265"/>
    </row>
    <row r="45" spans="1:15" ht="14.25" customHeight="1" thickBot="1">
      <c r="A45" s="3499" t="s">
        <v>798</v>
      </c>
      <c r="B45" s="3500"/>
      <c r="C45" s="3501"/>
      <c r="D45" s="495">
        <f ca="1">ROUND(H101*F45,0)</f>
        <v>16368</v>
      </c>
      <c r="E45" s="496" t="s">
        <v>799</v>
      </c>
      <c r="F45" s="497">
        <v>1</v>
      </c>
      <c r="G45" s="498" t="s">
        <v>800</v>
      </c>
      <c r="H45" s="2270"/>
      <c r="I45" s="2270"/>
      <c r="J45" s="3564" t="s">
        <v>212</v>
      </c>
      <c r="K45" s="3564"/>
      <c r="L45" s="3564"/>
      <c r="M45" s="3564"/>
      <c r="N45" s="3564"/>
      <c r="O45" s="3564"/>
    </row>
    <row r="46" spans="1:15" ht="14.25" customHeight="1">
      <c r="A46" s="3496" t="s">
        <v>284</v>
      </c>
      <c r="B46" s="3497"/>
      <c r="C46" s="3497"/>
      <c r="D46" s="3497"/>
      <c r="E46" s="3497"/>
      <c r="F46" s="3497"/>
      <c r="G46" s="3498"/>
      <c r="H46" s="2272"/>
      <c r="I46" s="2225"/>
      <c r="J46" s="1492">
        <v>1</v>
      </c>
      <c r="K46" s="3564" t="s">
        <v>213</v>
      </c>
      <c r="L46" s="3564"/>
      <c r="M46" s="3588"/>
      <c r="N46" s="3588"/>
      <c r="O46" s="3588"/>
    </row>
    <row r="47" spans="1:15" ht="12" customHeight="1">
      <c r="A47" s="500" t="s">
        <v>285</v>
      </c>
      <c r="B47" s="501"/>
      <c r="C47" s="502"/>
      <c r="D47" s="503" t="s">
        <v>286</v>
      </c>
      <c r="E47" s="313" t="s">
        <v>287</v>
      </c>
      <c r="F47" s="504" t="s">
        <v>801</v>
      </c>
      <c r="G47" s="505" t="s">
        <v>802</v>
      </c>
      <c r="H47" s="2272"/>
      <c r="I47" s="2225"/>
      <c r="J47" s="1492">
        <v>2</v>
      </c>
      <c r="K47" s="3564" t="s">
        <v>214</v>
      </c>
      <c r="L47" s="3564"/>
      <c r="M47" s="3589">
        <f>'数据-取费表'!B2</f>
        <v>42941</v>
      </c>
      <c r="N47" s="3589"/>
      <c r="O47" s="3589"/>
    </row>
    <row r="48" spans="1:15" ht="25.5">
      <c r="A48" s="3525" t="s">
        <v>288</v>
      </c>
      <c r="B48" s="3510"/>
      <c r="C48" s="3510"/>
      <c r="D48" s="470">
        <f ca="1">IF(H48="情况1",0,IF(H48="情况2",D52,IF(H48="情况3",D53,IF(H48="情况4",D54))))</f>
        <v>873</v>
      </c>
      <c r="E48" s="1916" t="str">
        <f>IF(H48="情况4","(销售额-原购置价)×税（费）率","销售额×税（费）率")</f>
        <v>销售额×税（费）率</v>
      </c>
      <c r="F48" s="506">
        <f>IF(H48="情况1","免征",'数据-取费表'!B41)</f>
        <v>5.6000000000000001E-2</v>
      </c>
      <c r="G48" s="464" t="s">
        <v>780</v>
      </c>
      <c r="H48" s="1431" t="s">
        <v>3218</v>
      </c>
      <c r="I48" s="2272"/>
      <c r="J48" s="1492">
        <v>3</v>
      </c>
      <c r="K48" s="3564" t="s">
        <v>781</v>
      </c>
      <c r="L48" s="3564"/>
      <c r="M48" s="3590">
        <f ca="1">H101</f>
        <v>16368</v>
      </c>
      <c r="N48" s="3590"/>
      <c r="O48" s="3590"/>
    </row>
    <row r="49" spans="1:35" ht="25.5" customHeight="1">
      <c r="A49" s="507" t="s">
        <v>803</v>
      </c>
      <c r="B49" s="3494" t="s">
        <v>804</v>
      </c>
      <c r="C49" s="3494"/>
      <c r="D49" s="508">
        <v>0</v>
      </c>
      <c r="E49" s="312" t="s">
        <v>805</v>
      </c>
      <c r="F49" s="317" t="s">
        <v>170</v>
      </c>
      <c r="G49" s="3570"/>
      <c r="H49" s="2270"/>
      <c r="I49" s="2273"/>
      <c r="J49" s="1492">
        <v>4</v>
      </c>
      <c r="K49" s="3564" t="str">
        <f>IF(项目基本情况!E8="房地产抵押价值","房地产抵押价值","抵押担保权已注销时的房地产抵押价值")</f>
        <v>房地产抵押价值</v>
      </c>
      <c r="L49" s="3564"/>
      <c r="M49" s="3590">
        <f ca="1">IF(项目基本情况!E8="房地产抵押价值",H107,H109)</f>
        <v>16368</v>
      </c>
      <c r="N49" s="3590"/>
      <c r="O49" s="3590"/>
    </row>
    <row r="50" spans="1:35" ht="25.5" customHeight="1">
      <c r="A50" s="509"/>
      <c r="B50" s="3494" t="s">
        <v>291</v>
      </c>
      <c r="C50" s="3494"/>
      <c r="D50" s="510"/>
      <c r="E50" s="320"/>
      <c r="F50" s="511"/>
      <c r="G50" s="3571"/>
      <c r="H50" s="2270"/>
      <c r="I50" s="2273"/>
      <c r="J50" s="3564" t="s">
        <v>215</v>
      </c>
      <c r="K50" s="3564"/>
      <c r="L50" s="3564"/>
      <c r="M50" s="3564"/>
      <c r="N50" s="3564"/>
      <c r="O50" s="3564"/>
    </row>
    <row r="51" spans="1:35" ht="12" customHeight="1">
      <c r="A51" s="512"/>
      <c r="B51" s="3494" t="s">
        <v>292</v>
      </c>
      <c r="C51" s="3494"/>
      <c r="D51" s="513"/>
      <c r="E51" s="319"/>
      <c r="F51" s="511"/>
      <c r="G51" s="3572"/>
      <c r="H51" s="2270"/>
      <c r="I51" s="2273"/>
      <c r="J51" s="3266" t="s">
        <v>216</v>
      </c>
      <c r="K51" s="3564" t="s">
        <v>217</v>
      </c>
      <c r="L51" s="3564"/>
      <c r="M51" s="3266" t="s">
        <v>3005</v>
      </c>
      <c r="N51" s="3266" t="s">
        <v>218</v>
      </c>
      <c r="O51" s="3266" t="s">
        <v>219</v>
      </c>
    </row>
    <row r="52" spans="1:35" ht="24" customHeight="1">
      <c r="A52" s="514" t="s">
        <v>293</v>
      </c>
      <c r="B52" s="3494" t="s">
        <v>294</v>
      </c>
      <c r="C52" s="3494"/>
      <c r="D52" s="513">
        <f ca="1">ROUND(D45*'数据-取费表'!B41/(1+'数据-取费表'!C42),0)</f>
        <v>873</v>
      </c>
      <c r="E52" s="299" t="s">
        <v>295</v>
      </c>
      <c r="F52" s="515">
        <f>'数据-取费表'!B41</f>
        <v>5.6000000000000001E-2</v>
      </c>
      <c r="G52" s="465"/>
      <c r="H52" s="2270"/>
      <c r="I52" s="2273"/>
      <c r="J52" s="1492">
        <v>1</v>
      </c>
      <c r="K52" s="3565" t="s">
        <v>782</v>
      </c>
      <c r="L52" s="3565"/>
      <c r="M52" s="3267">
        <f ca="1">D48</f>
        <v>873</v>
      </c>
      <c r="N52" s="1491" t="str">
        <f>E48</f>
        <v>销售额×税（费）率</v>
      </c>
      <c r="O52" s="3268">
        <f>F48</f>
        <v>5.6000000000000001E-2</v>
      </c>
    </row>
    <row r="53" spans="1:35" ht="12" customHeight="1">
      <c r="A53" s="514" t="s">
        <v>296</v>
      </c>
      <c r="B53" s="3516" t="s">
        <v>297</v>
      </c>
      <c r="C53" s="3517"/>
      <c r="D53" s="513">
        <f ca="1">ROUND(D45*'数据-取费表'!B41/(1+'数据-取费表'!C42),0)</f>
        <v>873</v>
      </c>
      <c r="E53" s="299" t="s">
        <v>295</v>
      </c>
      <c r="F53" s="515">
        <f>'数据-取费表'!B41</f>
        <v>5.6000000000000001E-2</v>
      </c>
      <c r="G53" s="465"/>
      <c r="H53" s="2270"/>
      <c r="I53" s="2273"/>
      <c r="J53" s="1492">
        <v>2</v>
      </c>
      <c r="K53" s="3565" t="s">
        <v>783</v>
      </c>
      <c r="L53" s="3565"/>
      <c r="M53" s="3267">
        <f t="shared" ref="M53:O54" ca="1" si="0">D55</f>
        <v>8</v>
      </c>
      <c r="N53" s="1491" t="str">
        <f t="shared" si="0"/>
        <v>销售额×税（费）率</v>
      </c>
      <c r="O53" s="3268">
        <f t="shared" si="0"/>
        <v>5.0000000000000001E-4</v>
      </c>
    </row>
    <row r="54" spans="1:35" ht="12" customHeight="1">
      <c r="A54" s="514" t="s">
        <v>298</v>
      </c>
      <c r="B54" s="3516" t="s">
        <v>299</v>
      </c>
      <c r="C54" s="3517"/>
      <c r="D54" s="513">
        <f ca="1">C68</f>
        <v>873</v>
      </c>
      <c r="E54" s="319" t="s">
        <v>300</v>
      </c>
      <c r="F54" s="515">
        <f>'数据-取费表'!B41</f>
        <v>5.6000000000000001E-2</v>
      </c>
      <c r="G54" s="465"/>
      <c r="H54" s="2274"/>
      <c r="I54" s="2273"/>
      <c r="J54" s="1492">
        <v>3</v>
      </c>
      <c r="K54" s="3565" t="s">
        <v>784</v>
      </c>
      <c r="L54" s="3565"/>
      <c r="M54" s="3267">
        <f t="shared" ca="1" si="0"/>
        <v>0</v>
      </c>
      <c r="N54" s="1491" t="str">
        <f t="shared" si="0"/>
        <v>增值额×税（费）率</v>
      </c>
      <c r="O54" s="3269" t="str">
        <f t="shared" si="0"/>
        <v>——</v>
      </c>
    </row>
    <row r="55" spans="1:35" ht="24" customHeight="1">
      <c r="A55" s="3509" t="s">
        <v>301</v>
      </c>
      <c r="B55" s="3510"/>
      <c r="C55" s="3510"/>
      <c r="D55" s="516">
        <f ca="1">IF(H55="个人住宅",0,ROUND(D45*I55,0))</f>
        <v>8</v>
      </c>
      <c r="E55" s="299" t="s">
        <v>302</v>
      </c>
      <c r="F55" s="515">
        <f>IF(H55="正常",I55,"免征")</f>
        <v>5.0000000000000001E-4</v>
      </c>
      <c r="G55" s="465"/>
      <c r="H55" s="1431" t="s">
        <v>155</v>
      </c>
      <c r="I55" s="517">
        <f>'数据-取费表'!B49</f>
        <v>5.0000000000000001E-4</v>
      </c>
      <c r="J55" s="1492" t="str">
        <f>IF(H59="非个人房产","",4)</f>
        <v/>
      </c>
      <c r="K55" s="3565" t="str">
        <f>IF(H59="非个人房产","——","个人所得税")</f>
        <v>——</v>
      </c>
      <c r="L55" s="3565"/>
      <c r="M55" s="3270" t="str">
        <f>D59</f>
        <v>——</v>
      </c>
      <c r="N55" s="3271" t="str">
        <f>E59</f>
        <v>——</v>
      </c>
      <c r="O55" s="3272" t="str">
        <f>F59</f>
        <v>——</v>
      </c>
    </row>
    <row r="56" spans="1:35" ht="24.75">
      <c r="A56" s="3509" t="s">
        <v>303</v>
      </c>
      <c r="B56" s="3510"/>
      <c r="C56" s="3510"/>
      <c r="D56" s="516">
        <f ca="1">IF(H56="个人住宅",D57,D58)</f>
        <v>0</v>
      </c>
      <c r="E56" s="299" t="s">
        <v>304</v>
      </c>
      <c r="F56" s="515" t="str">
        <f>IF(H56="正常",F58,"免征")</f>
        <v>——</v>
      </c>
      <c r="G56" s="1255" t="s">
        <v>785</v>
      </c>
      <c r="H56" s="1430" t="s">
        <v>155</v>
      </c>
      <c r="I56" s="2275"/>
      <c r="J56" s="1492" t="str">
        <f>IF(项目基本情况!K6="上海银行",IF(J55="",4,J55+1),"")</f>
        <v/>
      </c>
      <c r="K56" s="3592" t="str">
        <f>IF(项目基本情况!K6="上海银行","其他处置费用","")</f>
        <v/>
      </c>
      <c r="L56" s="3593"/>
      <c r="M56" s="3267" t="str">
        <f>IF(项目基本情况!K6="上海银行",M69,"")</f>
        <v/>
      </c>
      <c r="N56" s="3595" t="str">
        <f>IF(项目基本情况!K6="上海银行","包含处置中涉及的律师、诉讼、拍卖、评估等费用","")</f>
        <v/>
      </c>
      <c r="O56" s="3596"/>
    </row>
    <row r="57" spans="1:35" ht="12.75">
      <c r="A57" s="514" t="s">
        <v>289</v>
      </c>
      <c r="B57" s="3523" t="s">
        <v>305</v>
      </c>
      <c r="C57" s="3549"/>
      <c r="D57" s="518">
        <v>0</v>
      </c>
      <c r="E57" s="312" t="s">
        <v>290</v>
      </c>
      <c r="F57" s="486"/>
      <c r="G57" s="465"/>
      <c r="H57" s="2275"/>
      <c r="I57" s="2275"/>
      <c r="J57" s="3575">
        <f>IF(AND(J55="",J56=""),4,IF(项目基本情况!K6="上海银行",结果表!J56+1,结果表!J55+1))</f>
        <v>4</v>
      </c>
      <c r="K57" s="3565" t="s">
        <v>786</v>
      </c>
      <c r="L57" s="3273" t="s">
        <v>220</v>
      </c>
      <c r="M57" s="3274"/>
      <c r="N57" s="3275">
        <f ca="1">SUMIF(M52:M56,"&lt;9e307")</f>
        <v>881</v>
      </c>
      <c r="O57" s="3276"/>
      <c r="P57" s="3263">
        <f ca="1">N57/M49</f>
        <v>5.382453567937439E-2</v>
      </c>
    </row>
    <row r="58" spans="1:35" ht="24.75">
      <c r="A58" s="514" t="s">
        <v>293</v>
      </c>
      <c r="B58" s="3523" t="s">
        <v>306</v>
      </c>
      <c r="C58" s="3524"/>
      <c r="D58" s="516">
        <f ca="1">IF(H58="转让取得",C81,C97)</f>
        <v>0</v>
      </c>
      <c r="E58" s="299" t="s">
        <v>304</v>
      </c>
      <c r="F58" s="313" t="s">
        <v>170</v>
      </c>
      <c r="G58" s="465"/>
      <c r="H58" s="1430" t="s">
        <v>1135</v>
      </c>
      <c r="I58" s="2275"/>
      <c r="J58" s="3575"/>
      <c r="K58" s="3565"/>
      <c r="L58" s="3273" t="s">
        <v>221</v>
      </c>
      <c r="M58" s="3277"/>
      <c r="N58" s="3278" t="str">
        <f ca="1">NUMBERSTRING(INT(N57*10000),2)&amp;"元整"</f>
        <v>捌佰捌拾壹万元整</v>
      </c>
      <c r="O58" s="3279"/>
    </row>
    <row r="59" spans="1:35" ht="24.75" thickBot="1">
      <c r="A59" s="3568" t="s">
        <v>307</v>
      </c>
      <c r="B59" s="3569"/>
      <c r="C59" s="3569"/>
      <c r="D59" s="519" t="str">
        <f>IF(H59="非个人房产","——",IF(H59="个人住宅",0,ROUND(D45*I59,0)))</f>
        <v>——</v>
      </c>
      <c r="E59" s="520" t="str">
        <f>IF(H59="非个人房产","——","销售额×税（费）率")</f>
        <v>——</v>
      </c>
      <c r="F59" s="521" t="str">
        <f>IF(H59="非个人房产","——",IF(H59="个人住宅","免征",I59))</f>
        <v>——</v>
      </c>
      <c r="G59" s="1256" t="s">
        <v>169</v>
      </c>
      <c r="H59" s="1430" t="s">
        <v>1134</v>
      </c>
      <c r="I59" s="522">
        <v>0.01</v>
      </c>
      <c r="J59" s="3566">
        <f>J57+1</f>
        <v>5</v>
      </c>
      <c r="K59" s="3565" t="s">
        <v>171</v>
      </c>
      <c r="L59" s="1491" t="s">
        <v>220</v>
      </c>
      <c r="M59" s="3280"/>
      <c r="N59" s="3281">
        <f ca="1">M49-N57</f>
        <v>15487</v>
      </c>
      <c r="O59" s="3282"/>
    </row>
    <row r="60" spans="1:35" ht="12" customHeight="1">
      <c r="A60" s="1257"/>
      <c r="B60" s="1242"/>
      <c r="C60" s="1242"/>
      <c r="D60" s="1242"/>
      <c r="E60" s="229"/>
      <c r="F60" s="2275"/>
      <c r="G60" s="2275"/>
      <c r="H60" s="2276"/>
      <c r="I60" s="2270"/>
      <c r="J60" s="3567"/>
      <c r="K60" s="3565"/>
      <c r="L60" s="3273" t="s">
        <v>221</v>
      </c>
      <c r="M60" s="3277"/>
      <c r="N60" s="3278" t="str">
        <f ca="1">NUMBERSTRING(INT(N59*10000),2)&amp;"元整"</f>
        <v>壹亿伍仟肆佰捌拾柒万元整</v>
      </c>
      <c r="O60" s="3279"/>
    </row>
    <row r="61" spans="1:35" ht="13.5" thickBot="1">
      <c r="A61" s="3507" t="s">
        <v>308</v>
      </c>
      <c r="B61" s="3507"/>
      <c r="C61" s="3507"/>
      <c r="D61" s="3507"/>
      <c r="E61" s="3507"/>
      <c r="F61" s="2275"/>
      <c r="G61" s="2275"/>
      <c r="H61" s="2276"/>
      <c r="I61" s="2270"/>
      <c r="J61" s="1492">
        <f>J59+1</f>
        <v>6</v>
      </c>
      <c r="K61" s="3565" t="s">
        <v>222</v>
      </c>
      <c r="L61" s="3565"/>
      <c r="M61" s="3283"/>
      <c r="N61" s="3284">
        <f ca="1">ROUND(N59*10000/'数据-汇总表'!E3,0)</f>
        <v>1759</v>
      </c>
      <c r="O61" s="3285"/>
    </row>
    <row r="62" spans="1:35" ht="12.75">
      <c r="A62" s="3521" t="s">
        <v>309</v>
      </c>
      <c r="B62" s="3522"/>
      <c r="C62" s="1910"/>
      <c r="D62" s="1910" t="s">
        <v>317</v>
      </c>
      <c r="E62" s="523" t="s">
        <v>318</v>
      </c>
      <c r="F62" s="2275"/>
      <c r="G62" s="2275"/>
      <c r="H62" s="2276"/>
      <c r="I62" s="2270"/>
    </row>
    <row r="63" spans="1:35" ht="12.75">
      <c r="A63" s="534" t="s">
        <v>1897</v>
      </c>
      <c r="B63" s="524" t="s">
        <v>310</v>
      </c>
      <c r="C63" s="525">
        <f ca="1">ROUND((C64+C65)/(1+'数据-取费表'!C42),0)</f>
        <v>15589</v>
      </c>
      <c r="D63" s="526"/>
      <c r="E63" s="527"/>
      <c r="F63" s="2275"/>
      <c r="G63" s="2275"/>
      <c r="H63" s="2276"/>
      <c r="I63" s="2270"/>
      <c r="J63" s="3594" t="s">
        <v>2998</v>
      </c>
      <c r="K63" s="3262" t="s">
        <v>2999</v>
      </c>
      <c r="L63" s="3260">
        <f ca="1">IF(M49&gt;10000,M49*0.5%,IF(AND(M49&gt;1000,M49&lt;=10000),M49*1%,IF(AND(M49&gt;100,M49&lt;=1000),M49*3%,IF(AND(M49&gt;10,M49&lt;=100),M49*5%,M49*8%))))</f>
        <v>81.84</v>
      </c>
      <c r="M63" s="313">
        <f ca="1">ROUND(L63,1)</f>
        <v>81.8</v>
      </c>
      <c r="Z63" s="1433"/>
      <c r="AI63" s="1243"/>
    </row>
    <row r="64" spans="1:35" ht="14.25" customHeight="1">
      <c r="A64" s="528" t="s">
        <v>1892</v>
      </c>
      <c r="B64" s="529" t="s">
        <v>311</v>
      </c>
      <c r="C64" s="530">
        <f ca="1">D45</f>
        <v>16368</v>
      </c>
      <c r="D64" s="531" t="s">
        <v>166</v>
      </c>
      <c r="E64" s="532"/>
      <c r="F64" s="2275"/>
      <c r="G64" s="2275"/>
      <c r="H64" s="2276"/>
      <c r="I64" s="2270"/>
      <c r="J64" s="3594"/>
      <c r="K64" s="3262" t="s">
        <v>3000</v>
      </c>
      <c r="L64" s="3260">
        <f ca="1">IF(M49&gt;2000,M49*0.5%,IF(AND(M49&gt;1000,M49&lt;=2000),M49*0.6%,IF(AND(M49&gt;500,M49&lt;=1000),M49*0.7%,IF(AND(M49&gt;200,M49&lt;=500),M49*0.8%,IF(AND(M49&gt;100,M49&lt;=200),M49*0.9%,IF(AND(M49&gt;50,M49&lt;=100),M49*1%,IF(AND(M49&gt;20,M49&lt;=50),M49*1.5%,IF(AND(M49&gt;10,M49&lt;=20),M49*2%,IF(AND(M49&gt;1,M49&lt;=10),M49*2.5%)))))))))</f>
        <v>81.84</v>
      </c>
      <c r="M64" s="313">
        <f t="shared" ref="M64:M65" ca="1" si="1">ROUND(L64,1)</f>
        <v>81.8</v>
      </c>
      <c r="N64" s="468" t="s">
        <v>3006</v>
      </c>
      <c r="Z64" s="1433"/>
      <c r="AI64" s="1243"/>
    </row>
    <row r="65" spans="1:35" ht="14.25" customHeight="1">
      <c r="A65" s="528" t="s">
        <v>1893</v>
      </c>
      <c r="B65" s="529" t="s">
        <v>312</v>
      </c>
      <c r="C65" s="533"/>
      <c r="D65" s="531"/>
      <c r="E65" s="532"/>
      <c r="F65" s="2275"/>
      <c r="G65" s="2275"/>
      <c r="H65" s="2276"/>
      <c r="I65" s="2270"/>
      <c r="J65" s="3594"/>
      <c r="K65" s="3262" t="s">
        <v>3001</v>
      </c>
      <c r="L65" s="3260">
        <f ca="1">IF(M49&gt;1000,M49*0.1%,IF(AND(M49&gt;500,M49&lt;=1000),M49*0.5%,IF(AND(M49&gt;50,M49&lt;=500),M49*1%,IF(AND(M49&gt;1,M49&lt;=50),M49*1.5%))))</f>
        <v>16.368000000000002</v>
      </c>
      <c r="M65" s="313">
        <f t="shared" ca="1" si="1"/>
        <v>16.399999999999999</v>
      </c>
      <c r="N65" s="468" t="s">
        <v>3007</v>
      </c>
      <c r="Z65" s="1433"/>
      <c r="AI65" s="1243"/>
    </row>
    <row r="66" spans="1:35" ht="14.25" customHeight="1">
      <c r="A66" s="534" t="s">
        <v>1894</v>
      </c>
      <c r="B66" s="535" t="s">
        <v>313</v>
      </c>
      <c r="C66" s="536"/>
      <c r="D66" s="537" t="s">
        <v>166</v>
      </c>
      <c r="E66" s="3314" t="s">
        <v>3045</v>
      </c>
      <c r="F66" s="2275"/>
      <c r="G66" s="2275"/>
      <c r="H66" s="2276"/>
      <c r="I66" s="2270"/>
      <c r="J66" s="3594"/>
      <c r="K66" s="3262" t="s">
        <v>3002</v>
      </c>
      <c r="L66" s="3260">
        <f ca="1">M49*0.5%</f>
        <v>81.84</v>
      </c>
      <c r="M66" s="313">
        <f ca="1">IF(L66&gt;0.5,0.5,ROUND(L66,0))</f>
        <v>0.5</v>
      </c>
      <c r="N66" s="468" t="s">
        <v>3008</v>
      </c>
      <c r="Z66" s="1433"/>
      <c r="AI66" s="1243"/>
    </row>
    <row r="67" spans="1:35" ht="14.25" customHeight="1">
      <c r="A67" s="534" t="s">
        <v>1895</v>
      </c>
      <c r="B67" s="535" t="s">
        <v>314</v>
      </c>
      <c r="C67" s="538">
        <f ca="1">C63-C66</f>
        <v>15589</v>
      </c>
      <c r="D67" s="531" t="s">
        <v>166</v>
      </c>
      <c r="E67" s="532"/>
      <c r="F67" s="2275"/>
      <c r="G67" s="2275"/>
      <c r="H67" s="2276"/>
      <c r="I67" s="2270"/>
      <c r="J67" s="3594"/>
      <c r="K67" s="3262" t="s">
        <v>3003</v>
      </c>
      <c r="L67" s="3260">
        <f ca="1">IF(M49&gt;=10000,(8.25+(M49-10000)*0.01%),IF(AND(M49&gt;=8000,M49&lt;10000),(7.85+(M49-8000)*0.02%),IF(AND(M49&gt;=5000,M49&lt;8000),(6.65+(M49-5000)*0.04%),IF(AND(M49&gt;=2000,M49&lt;5000),(4.25+(PM49-2000)*0.08%),IF(AND(M49&gt;=1000,M49&lt;2000),(2.75+(M49-1000)*0.15%),IF(AND(M49&gt;=100,M49&lt;1000),(0.5+(M49-100)*0.25%),IF(AND(M49&gt;0,M49&lt;100),M49*0.5%)))))))</f>
        <v>8.8868000000000009</v>
      </c>
      <c r="M67" s="313">
        <f ca="1">ROUND(L67*0.9,1)</f>
        <v>8</v>
      </c>
      <c r="Z67" s="1433"/>
      <c r="AI67" s="1243"/>
    </row>
    <row r="68" spans="1:35" ht="14.25" customHeight="1" thickBot="1">
      <c r="A68" s="539" t="s">
        <v>1896</v>
      </c>
      <c r="B68" s="540" t="s">
        <v>315</v>
      </c>
      <c r="C68" s="541">
        <f ca="1">IF(C67&lt;=0,0,ROUND(C67*D68,0))</f>
        <v>873</v>
      </c>
      <c r="D68" s="542">
        <f>'数据-取费表'!B41</f>
        <v>5.6000000000000001E-2</v>
      </c>
      <c r="E68" s="543"/>
      <c r="F68" s="2275"/>
      <c r="G68" s="2275"/>
      <c r="H68" s="2276"/>
      <c r="I68" s="2270"/>
      <c r="J68" s="3594"/>
      <c r="K68" s="3262" t="s">
        <v>3004</v>
      </c>
      <c r="L68" s="3260">
        <f ca="1">IF(M49&gt;10000,M49*0.5%,IF(AND(M49&gt;5000,M49&lt;=10000),M49*1%,IF(AND(M49&gt;1000,M49&lt;=5000),M49*2%,IF(AND(M49&gt;200,M49&lt;=1000),M49*3%,M49*5%))))</f>
        <v>81.84</v>
      </c>
      <c r="M68" s="313">
        <f ca="1">ROUND(L68,1)</f>
        <v>81.8</v>
      </c>
      <c r="Z68" s="1433"/>
      <c r="AI68" s="1243"/>
    </row>
    <row r="69" spans="1:35" s="1244" customFormat="1" ht="16.5" hidden="1" customHeight="1">
      <c r="A69" s="1258"/>
      <c r="B69" s="1259"/>
      <c r="C69" s="1260"/>
      <c r="D69" s="1261"/>
      <c r="E69" s="1262"/>
      <c r="F69" s="229"/>
      <c r="G69" s="229"/>
      <c r="H69" s="241"/>
      <c r="I69" s="1242"/>
      <c r="J69" s="3594"/>
      <c r="K69" s="3262" t="s">
        <v>186</v>
      </c>
      <c r="L69" s="3261"/>
      <c r="M69" s="313">
        <f ca="1">ROUND(SUM(M63:M68),0)</f>
        <v>270</v>
      </c>
      <c r="N69" s="3263">
        <f ca="1">M69/M49</f>
        <v>1.6495601173020527E-2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547" t="s">
        <v>316</v>
      </c>
      <c r="B70" s="3548"/>
      <c r="C70" s="3548"/>
      <c r="D70" s="3548"/>
      <c r="E70" s="3548"/>
      <c r="F70" s="3548"/>
      <c r="G70" s="3548"/>
      <c r="H70" s="3548"/>
      <c r="I70" s="1263"/>
      <c r="N70" s="2128"/>
      <c r="O70" s="2128"/>
      <c r="P70" s="2128"/>
      <c r="Q70" s="2128"/>
      <c r="R70" s="2128"/>
      <c r="S70" s="2128"/>
      <c r="T70" s="2128"/>
      <c r="U70" s="2128"/>
      <c r="V70" s="2128"/>
      <c r="W70" s="2128"/>
      <c r="X70" s="2128"/>
      <c r="Y70" s="2128"/>
      <c r="Z70" s="2128"/>
      <c r="AA70" s="1434"/>
      <c r="AB70" s="1434"/>
      <c r="AC70" s="1434"/>
      <c r="AD70" s="1434"/>
      <c r="AE70" s="1434"/>
      <c r="AF70" s="1434"/>
      <c r="AG70" s="1434"/>
      <c r="AH70" s="1434"/>
      <c r="AI70" s="1434"/>
    </row>
    <row r="71" spans="1:35" s="1264" customFormat="1" ht="14.25" hidden="1">
      <c r="A71" s="3521" t="s">
        <v>309</v>
      </c>
      <c r="B71" s="3522"/>
      <c r="C71" s="1910"/>
      <c r="D71" s="1910" t="s">
        <v>317</v>
      </c>
      <c r="E71" s="544" t="s">
        <v>318</v>
      </c>
      <c r="F71" s="545"/>
      <c r="G71" s="545"/>
      <c r="H71" s="546"/>
      <c r="I71" s="2277"/>
      <c r="N71" s="2128"/>
      <c r="O71" s="2128"/>
      <c r="P71" s="2128"/>
      <c r="Q71" s="2128"/>
      <c r="R71" s="2128"/>
      <c r="S71" s="2128"/>
      <c r="T71" s="2128"/>
      <c r="U71" s="2128"/>
      <c r="V71" s="2128"/>
      <c r="W71" s="2128"/>
      <c r="X71" s="2128"/>
      <c r="Y71" s="2128"/>
      <c r="Z71" s="2128"/>
      <c r="AA71" s="1434"/>
      <c r="AB71" s="1434"/>
      <c r="AC71" s="1434"/>
      <c r="AD71" s="1434"/>
      <c r="AE71" s="1434"/>
      <c r="AF71" s="1434"/>
      <c r="AG71" s="1434"/>
      <c r="AH71" s="1434"/>
      <c r="AI71" s="1434"/>
    </row>
    <row r="72" spans="1:35" s="1264" customFormat="1" ht="14.25" hidden="1">
      <c r="A72" s="534" t="s">
        <v>1897</v>
      </c>
      <c r="B72" s="535" t="s">
        <v>319</v>
      </c>
      <c r="C72" s="538">
        <f ca="1">ROUND(D45/(1+'数据-取费表'!C42),0)</f>
        <v>15589</v>
      </c>
      <c r="D72" s="531" t="s">
        <v>166</v>
      </c>
      <c r="E72" s="1913"/>
      <c r="F72" s="1914"/>
      <c r="G72" s="1914"/>
      <c r="H72" s="547"/>
      <c r="I72" s="2277"/>
      <c r="N72" s="2128"/>
      <c r="O72" s="2128"/>
      <c r="P72" s="2128"/>
      <c r="Q72" s="2128"/>
      <c r="R72" s="2128"/>
      <c r="S72" s="2128"/>
      <c r="T72" s="2128"/>
      <c r="U72" s="2128"/>
      <c r="V72" s="2128"/>
      <c r="W72" s="2128"/>
      <c r="X72" s="2128"/>
      <c r="Y72" s="2128"/>
      <c r="Z72" s="2128"/>
      <c r="AA72" s="1434"/>
      <c r="AB72" s="1434"/>
      <c r="AC72" s="1434"/>
      <c r="AD72" s="1434"/>
      <c r="AE72" s="1434"/>
      <c r="AF72" s="1434"/>
      <c r="AG72" s="1434"/>
      <c r="AH72" s="1434"/>
      <c r="AI72" s="1434"/>
    </row>
    <row r="73" spans="1:35" s="1264" customFormat="1" ht="14.25" hidden="1">
      <c r="A73" s="534" t="s">
        <v>1894</v>
      </c>
      <c r="B73" s="504" t="s">
        <v>320</v>
      </c>
      <c r="C73" s="538">
        <f ca="1">C74+C78</f>
        <v>94</v>
      </c>
      <c r="D73" s="531" t="s">
        <v>166</v>
      </c>
      <c r="E73" s="1913"/>
      <c r="F73" s="1914"/>
      <c r="G73" s="1914"/>
      <c r="H73" s="547"/>
      <c r="I73" s="2277"/>
      <c r="J73" s="2128"/>
      <c r="K73" s="2128"/>
      <c r="L73" s="2128"/>
      <c r="M73" s="2128"/>
      <c r="N73" s="2128"/>
      <c r="O73" s="2128"/>
      <c r="P73" s="2128"/>
      <c r="Q73" s="2128"/>
      <c r="R73" s="2128"/>
      <c r="S73" s="2128"/>
      <c r="T73" s="2128"/>
      <c r="U73" s="2128"/>
      <c r="V73" s="2128"/>
      <c r="W73" s="2128"/>
      <c r="X73" s="2128"/>
      <c r="Y73" s="2128"/>
      <c r="Z73" s="2128"/>
      <c r="AA73" s="1434"/>
      <c r="AB73" s="1434"/>
      <c r="AC73" s="1434"/>
      <c r="AD73" s="1434"/>
      <c r="AE73" s="1434"/>
      <c r="AF73" s="1434"/>
      <c r="AG73" s="1434"/>
      <c r="AH73" s="1434"/>
      <c r="AI73" s="1434"/>
    </row>
    <row r="74" spans="1:35" s="1264" customFormat="1" ht="24" hidden="1">
      <c r="A74" s="548" t="s">
        <v>1898</v>
      </c>
      <c r="B74" s="529" t="s">
        <v>321</v>
      </c>
      <c r="C74" s="531">
        <f>ROUND(IF(G77="2016年5月1日后购买",C75/(1+'数据-取费表'!C42)+C76+C77,C75+C76+C77),0)</f>
        <v>0</v>
      </c>
      <c r="D74" s="531" t="s">
        <v>166</v>
      </c>
      <c r="E74" s="1913"/>
      <c r="F74" s="1914"/>
      <c r="G74" s="1914"/>
      <c r="H74" s="547"/>
      <c r="I74" s="2277"/>
      <c r="J74" s="2128"/>
      <c r="K74" s="2128"/>
      <c r="L74" s="2128"/>
      <c r="M74" s="2128"/>
      <c r="N74" s="2128"/>
      <c r="O74" s="2128"/>
      <c r="P74" s="2128"/>
      <c r="Q74" s="2128"/>
      <c r="R74" s="2128"/>
      <c r="S74" s="2128"/>
      <c r="T74" s="2128"/>
      <c r="U74" s="2128"/>
      <c r="V74" s="2128"/>
      <c r="W74" s="2128"/>
      <c r="X74" s="2128"/>
      <c r="Y74" s="2128"/>
      <c r="Z74" s="2128"/>
      <c r="AA74" s="1434"/>
      <c r="AB74" s="1434"/>
      <c r="AC74" s="1434"/>
      <c r="AD74" s="1434"/>
      <c r="AE74" s="1434"/>
      <c r="AF74" s="1434"/>
      <c r="AG74" s="1434"/>
      <c r="AH74" s="1434"/>
      <c r="AI74" s="1434"/>
    </row>
    <row r="75" spans="1:35" s="1264" customFormat="1" ht="13.5" hidden="1">
      <c r="A75" s="548" t="s">
        <v>1899</v>
      </c>
      <c r="B75" s="529" t="s">
        <v>322</v>
      </c>
      <c r="C75" s="549"/>
      <c r="D75" s="531" t="s">
        <v>166</v>
      </c>
      <c r="E75" s="550" t="s">
        <v>323</v>
      </c>
      <c r="F75" s="1426" t="s">
        <v>2419</v>
      </c>
      <c r="G75" s="550" t="s">
        <v>795</v>
      </c>
      <c r="H75" s="551"/>
      <c r="I75" s="2278"/>
      <c r="J75" s="2128"/>
      <c r="K75" s="2128"/>
      <c r="L75" s="2128"/>
      <c r="M75" s="2128"/>
      <c r="N75" s="2128"/>
      <c r="O75" s="2128"/>
      <c r="P75" s="2128"/>
      <c r="Q75" s="2128"/>
      <c r="R75" s="2128"/>
      <c r="S75" s="2128"/>
      <c r="T75" s="2128"/>
      <c r="U75" s="2128"/>
      <c r="V75" s="2128"/>
      <c r="W75" s="2128"/>
      <c r="X75" s="2128"/>
      <c r="Y75" s="2128"/>
      <c r="Z75" s="2128"/>
      <c r="AA75" s="1434"/>
      <c r="AB75" s="1434"/>
      <c r="AC75" s="1434"/>
      <c r="AD75" s="1434"/>
      <c r="AE75" s="1434"/>
      <c r="AF75" s="1434"/>
      <c r="AG75" s="1434"/>
      <c r="AH75" s="1434"/>
      <c r="AI75" s="1434"/>
    </row>
    <row r="76" spans="1:35" s="1264" customFormat="1" ht="24.75" hidden="1" customHeight="1">
      <c r="A76" s="548" t="s">
        <v>1901</v>
      </c>
      <c r="B76" s="552" t="s">
        <v>324</v>
      </c>
      <c r="C76" s="531">
        <f>IF(F75="购房发票",ROUND(C75*H75*D76,0),0)</f>
        <v>0</v>
      </c>
      <c r="D76" s="553">
        <v>0.05</v>
      </c>
      <c r="E76" s="3516" t="s">
        <v>325</v>
      </c>
      <c r="F76" s="3494"/>
      <c r="G76" s="3494"/>
      <c r="H76" s="3546"/>
      <c r="I76" s="2277"/>
      <c r="J76" s="2128"/>
      <c r="K76" s="2128"/>
      <c r="L76" s="2128"/>
      <c r="M76" s="2128"/>
      <c r="N76" s="2128"/>
      <c r="O76" s="2128"/>
      <c r="P76" s="2128"/>
      <c r="Q76" s="2128"/>
      <c r="R76" s="2128"/>
      <c r="S76" s="2128"/>
      <c r="T76" s="2128"/>
      <c r="U76" s="2128"/>
      <c r="V76" s="2128"/>
      <c r="W76" s="2128"/>
      <c r="X76" s="2128"/>
      <c r="Y76" s="2128"/>
      <c r="Z76" s="2128"/>
      <c r="AA76" s="1434"/>
      <c r="AB76" s="1434"/>
      <c r="AC76" s="1434"/>
      <c r="AD76" s="1434"/>
      <c r="AE76" s="1434"/>
      <c r="AF76" s="1434"/>
      <c r="AG76" s="1434"/>
      <c r="AH76" s="1434"/>
      <c r="AI76" s="1434"/>
    </row>
    <row r="77" spans="1:35" s="1264" customFormat="1" ht="24.75" hidden="1" customHeight="1">
      <c r="A77" s="548" t="s">
        <v>1902</v>
      </c>
      <c r="B77" s="529" t="s">
        <v>326</v>
      </c>
      <c r="C77" s="531">
        <f>ROUND(IF(G77="个人住宅",0,IF(G77="2016年5月1日前购买",C75*D77,C75*D77/(1+'数据-取费表'!C42))),0)</f>
        <v>0</v>
      </c>
      <c r="D77" s="554">
        <f>'数据-取费表'!B48+'数据-取费表'!B49</f>
        <v>3.0499999999999999E-2</v>
      </c>
      <c r="E77" s="303" t="s">
        <v>796</v>
      </c>
      <c r="F77" s="555"/>
      <c r="G77" s="1427" t="s">
        <v>2510</v>
      </c>
      <c r="H77" s="1915" t="str">
        <f>IF(G77="个人买卖住房","免征印花税"," ")</f>
        <v/>
      </c>
      <c r="I77" s="2277"/>
      <c r="J77" s="2128"/>
      <c r="K77" s="2128"/>
      <c r="L77" s="2128"/>
      <c r="M77" s="2128"/>
      <c r="N77" s="2128"/>
      <c r="O77" s="2128"/>
      <c r="P77" s="2128"/>
      <c r="Q77" s="2128"/>
      <c r="R77" s="2128"/>
      <c r="S77" s="2128"/>
      <c r="T77" s="2128"/>
      <c r="U77" s="2128"/>
      <c r="V77" s="2128"/>
      <c r="W77" s="2128"/>
      <c r="X77" s="2128"/>
      <c r="Y77" s="2128"/>
      <c r="Z77" s="2128"/>
      <c r="AA77" s="1434"/>
      <c r="AB77" s="1434"/>
      <c r="AC77" s="1434"/>
      <c r="AD77" s="1434"/>
      <c r="AE77" s="1434"/>
      <c r="AF77" s="1434"/>
      <c r="AG77" s="1434"/>
      <c r="AH77" s="1434"/>
      <c r="AI77" s="1434"/>
    </row>
    <row r="78" spans="1:35" s="1264" customFormat="1" ht="24.75" hidden="1" customHeight="1">
      <c r="A78" s="548" t="s">
        <v>1900</v>
      </c>
      <c r="B78" s="529" t="s">
        <v>327</v>
      </c>
      <c r="C78" s="556">
        <f ca="1">ROUND(D45*D78/(1+'数据-取费表'!C42),0)</f>
        <v>94</v>
      </c>
      <c r="D78" s="557">
        <f>'数据-取费表'!B43</f>
        <v>6.000000000000001E-3</v>
      </c>
      <c r="E78" s="3514" t="s">
        <v>2511</v>
      </c>
      <c r="F78" s="3505"/>
      <c r="G78" s="3505"/>
      <c r="H78" s="3515"/>
      <c r="I78" s="2279"/>
      <c r="J78" s="2128"/>
      <c r="K78" s="2128"/>
      <c r="L78" s="2128"/>
      <c r="M78" s="2128"/>
      <c r="N78" s="2128"/>
      <c r="O78" s="2128"/>
      <c r="P78" s="2128"/>
      <c r="Q78" s="2128"/>
      <c r="R78" s="2128"/>
      <c r="S78" s="2128"/>
      <c r="T78" s="2128"/>
      <c r="U78" s="2128"/>
      <c r="V78" s="2128"/>
      <c r="W78" s="2128"/>
      <c r="X78" s="2128"/>
      <c r="Y78" s="2128"/>
      <c r="Z78" s="2128"/>
      <c r="AA78" s="1434"/>
      <c r="AB78" s="1434"/>
      <c r="AC78" s="1434"/>
      <c r="AD78" s="1434"/>
      <c r="AE78" s="1434"/>
      <c r="AF78" s="1434"/>
      <c r="AG78" s="1434"/>
      <c r="AH78" s="1434"/>
      <c r="AI78" s="1434"/>
    </row>
    <row r="79" spans="1:35" s="1264" customFormat="1" ht="14.25" hidden="1">
      <c r="A79" s="1792" t="s">
        <v>1903</v>
      </c>
      <c r="B79" s="535" t="s">
        <v>328</v>
      </c>
      <c r="C79" s="538">
        <f ca="1">C72-C73</f>
        <v>15495</v>
      </c>
      <c r="D79" s="531" t="s">
        <v>166</v>
      </c>
      <c r="E79" s="1913"/>
      <c r="F79" s="1914"/>
      <c r="G79" s="1914"/>
      <c r="H79" s="547"/>
      <c r="I79" s="2277"/>
      <c r="J79" s="2128"/>
      <c r="K79" s="2128"/>
      <c r="L79" s="2128"/>
      <c r="M79" s="2128"/>
      <c r="N79" s="2128"/>
      <c r="O79" s="2128"/>
      <c r="P79" s="2128"/>
      <c r="Q79" s="2128"/>
      <c r="R79" s="2128"/>
      <c r="S79" s="2128"/>
      <c r="T79" s="2128"/>
      <c r="U79" s="2128"/>
      <c r="V79" s="2128"/>
      <c r="W79" s="2128"/>
      <c r="X79" s="2128"/>
      <c r="Y79" s="2128"/>
      <c r="Z79" s="2128"/>
      <c r="AA79" s="1434"/>
      <c r="AB79" s="1434"/>
      <c r="AC79" s="1434"/>
      <c r="AD79" s="1434"/>
      <c r="AE79" s="1434"/>
      <c r="AF79" s="1434"/>
      <c r="AG79" s="1434"/>
      <c r="AH79" s="1434"/>
      <c r="AI79" s="1434"/>
    </row>
    <row r="80" spans="1:35" s="1264" customFormat="1" ht="24" hidden="1">
      <c r="A80" s="1792" t="s">
        <v>1904</v>
      </c>
      <c r="B80" s="535" t="s">
        <v>329</v>
      </c>
      <c r="C80" s="558">
        <f ca="1">IF(C79&lt;=0,0,C79/C73)</f>
        <v>164.84042553191489</v>
      </c>
      <c r="D80" s="531"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4"/>
      <c r="G80" s="1914"/>
      <c r="H80" s="547"/>
      <c r="I80" s="2277"/>
      <c r="J80" s="2128"/>
      <c r="K80" s="2128"/>
      <c r="L80" s="2128"/>
      <c r="M80" s="2128"/>
      <c r="N80" s="2128"/>
      <c r="O80" s="2128"/>
      <c r="P80" s="2128"/>
      <c r="Q80" s="2128"/>
      <c r="R80" s="2128"/>
      <c r="S80" s="2128"/>
      <c r="T80" s="2128"/>
      <c r="U80" s="2128"/>
      <c r="V80" s="2128"/>
      <c r="W80" s="2128"/>
      <c r="X80" s="2128"/>
      <c r="Y80" s="2128"/>
      <c r="Z80" s="2128"/>
      <c r="AA80" s="1434"/>
      <c r="AB80" s="1434"/>
      <c r="AC80" s="1434"/>
      <c r="AD80" s="1434"/>
      <c r="AE80" s="1434"/>
      <c r="AF80" s="1434"/>
      <c r="AG80" s="1434"/>
      <c r="AH80" s="1434"/>
      <c r="AI80" s="1434"/>
    </row>
    <row r="81" spans="1:35" s="1264" customFormat="1" ht="24.75" hidden="1" thickBot="1">
      <c r="A81" s="1793" t="s">
        <v>1905</v>
      </c>
      <c r="B81" s="540" t="s">
        <v>330</v>
      </c>
      <c r="C81" s="559">
        <f ca="1">ROUND(IF(C79&lt;=0,0,IF(C80&gt;=200%,C79*60%-C73*35%,IF(C80&gt;=100%,C79*50%-C73*15%,IF(C80&gt;=50%,C79*40%-C73*5%,IF(C80&lt;50%,C79*30%,0))))),0)</f>
        <v>9264</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7"/>
      <c r="J81" s="2128"/>
      <c r="K81" s="2128"/>
      <c r="L81" s="2128"/>
      <c r="M81" s="2128"/>
      <c r="N81" s="2128"/>
      <c r="O81" s="2128"/>
      <c r="P81" s="2128"/>
      <c r="Q81" s="2128"/>
      <c r="R81" s="2128"/>
      <c r="S81" s="2128"/>
      <c r="T81" s="2128"/>
      <c r="U81" s="2128"/>
      <c r="V81" s="2128"/>
      <c r="W81" s="2128"/>
      <c r="X81" s="2128"/>
      <c r="Y81" s="2128"/>
      <c r="Z81" s="2128"/>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79"/>
      <c r="J82" s="2128"/>
      <c r="K82" s="2128"/>
      <c r="L82" s="2128"/>
      <c r="M82" s="2128"/>
      <c r="N82" s="2128"/>
      <c r="O82" s="2128"/>
      <c r="P82" s="2128"/>
      <c r="Q82" s="2128"/>
      <c r="R82" s="2128"/>
      <c r="S82" s="2128"/>
      <c r="T82" s="2128"/>
      <c r="U82" s="2128"/>
      <c r="V82" s="2128"/>
      <c r="W82" s="2128"/>
      <c r="X82" s="2128"/>
      <c r="Y82" s="2128"/>
      <c r="Z82" s="2128"/>
      <c r="AA82" s="1434"/>
      <c r="AB82" s="1434"/>
      <c r="AC82" s="1434"/>
      <c r="AD82" s="1434"/>
      <c r="AE82" s="1434"/>
      <c r="AF82" s="1434"/>
      <c r="AG82" s="1434"/>
      <c r="AH82" s="1434"/>
      <c r="AI82" s="1434"/>
    </row>
    <row r="83" spans="1:35" s="1264" customFormat="1" ht="14.25" thickBot="1">
      <c r="A83" s="3547" t="s">
        <v>331</v>
      </c>
      <c r="B83" s="3548"/>
      <c r="C83" s="3548"/>
      <c r="D83" s="3548"/>
      <c r="E83" s="3548"/>
      <c r="F83" s="3548"/>
      <c r="G83" s="3548"/>
      <c r="H83" s="3548"/>
      <c r="I83" s="2278"/>
      <c r="J83" s="2128"/>
      <c r="K83" s="2128"/>
      <c r="L83" s="2128"/>
      <c r="M83" s="2128"/>
      <c r="N83" s="2128"/>
      <c r="O83" s="2128"/>
      <c r="P83" s="2128"/>
      <c r="Q83" s="2128"/>
      <c r="R83" s="2128"/>
      <c r="S83" s="2128"/>
      <c r="T83" s="2128"/>
      <c r="U83" s="2128"/>
      <c r="V83" s="2128"/>
      <c r="W83" s="2128"/>
      <c r="X83" s="2128"/>
      <c r="Y83" s="2128"/>
      <c r="Z83" s="2128"/>
      <c r="AA83" s="1434"/>
      <c r="AB83" s="1434"/>
      <c r="AC83" s="1434"/>
      <c r="AD83" s="1434"/>
      <c r="AE83" s="1434"/>
      <c r="AF83" s="1434"/>
      <c r="AG83" s="1434"/>
      <c r="AH83" s="1434"/>
      <c r="AI83" s="1434"/>
    </row>
    <row r="84" spans="1:35" s="1264" customFormat="1" ht="13.5">
      <c r="A84" s="3521" t="s">
        <v>309</v>
      </c>
      <c r="B84" s="3522"/>
      <c r="C84" s="1910"/>
      <c r="D84" s="1910" t="s">
        <v>317</v>
      </c>
      <c r="E84" s="544" t="s">
        <v>318</v>
      </c>
      <c r="F84" s="545"/>
      <c r="G84" s="545"/>
      <c r="H84" s="564"/>
      <c r="I84" s="2278"/>
      <c r="J84" s="2128"/>
      <c r="K84" s="2128"/>
      <c r="L84" s="2128"/>
      <c r="M84" s="2128"/>
      <c r="N84" s="2128"/>
      <c r="O84" s="2128"/>
      <c r="P84" s="2128"/>
      <c r="Q84" s="2128"/>
      <c r="R84" s="2128"/>
      <c r="S84" s="2128"/>
      <c r="T84" s="2128"/>
      <c r="U84" s="2128"/>
      <c r="V84" s="2128"/>
      <c r="W84" s="2128"/>
      <c r="X84" s="2128"/>
      <c r="Y84" s="2128"/>
      <c r="Z84" s="2128"/>
      <c r="AA84" s="1434"/>
      <c r="AB84" s="1434"/>
      <c r="AC84" s="1434"/>
      <c r="AD84" s="1434"/>
      <c r="AE84" s="1434"/>
      <c r="AF84" s="1434"/>
      <c r="AG84" s="1434"/>
      <c r="AH84" s="1434"/>
      <c r="AI84" s="1434"/>
    </row>
    <row r="85" spans="1:35" s="1264" customFormat="1" ht="13.5">
      <c r="A85" s="534" t="s">
        <v>1897</v>
      </c>
      <c r="B85" s="535" t="s">
        <v>319</v>
      </c>
      <c r="C85" s="538">
        <f ca="1">ROUND(D45/(1+'数据-取费表'!C42),0)</f>
        <v>15589</v>
      </c>
      <c r="D85" s="531" t="s">
        <v>166</v>
      </c>
      <c r="E85" s="1913"/>
      <c r="F85" s="1914"/>
      <c r="G85" s="1914"/>
      <c r="H85" s="565"/>
      <c r="I85" s="2278"/>
      <c r="J85" s="2128"/>
      <c r="K85" s="2128"/>
      <c r="L85" s="2128"/>
      <c r="M85" s="2128"/>
      <c r="N85" s="2128"/>
      <c r="O85" s="2128"/>
      <c r="P85" s="2128"/>
      <c r="Q85" s="2128"/>
      <c r="R85" s="2128"/>
      <c r="S85" s="2128"/>
      <c r="T85" s="2128"/>
      <c r="U85" s="2128"/>
      <c r="V85" s="2128"/>
      <c r="W85" s="2128"/>
      <c r="X85" s="2128"/>
      <c r="Y85" s="2128"/>
      <c r="Z85" s="2128"/>
      <c r="AA85" s="1434"/>
      <c r="AB85" s="1434"/>
      <c r="AC85" s="1434"/>
      <c r="AD85" s="1434"/>
      <c r="AE85" s="1434"/>
      <c r="AF85" s="1434"/>
      <c r="AG85" s="1434"/>
      <c r="AH85" s="1434"/>
      <c r="AI85" s="1434"/>
    </row>
    <row r="86" spans="1:35" s="1264" customFormat="1" ht="13.5">
      <c r="A86" s="534" t="s">
        <v>1894</v>
      </c>
      <c r="B86" s="504" t="s">
        <v>320</v>
      </c>
      <c r="C86" s="538">
        <f ca="1">IF(H88="仅含出让金",C87+C90+C91+C92+C93+C94,C87+C91+C92+C93+C94)</f>
        <v>17601</v>
      </c>
      <c r="D86" s="566"/>
      <c r="E86" s="1913"/>
      <c r="F86" s="1914"/>
      <c r="G86" s="1914"/>
      <c r="H86" s="565"/>
      <c r="I86" s="2278"/>
      <c r="J86" s="2128"/>
      <c r="K86" s="2128"/>
      <c r="L86" s="2128"/>
      <c r="M86" s="2128"/>
      <c r="N86" s="2128"/>
      <c r="O86" s="2128"/>
      <c r="P86" s="2128"/>
      <c r="Q86" s="2128"/>
      <c r="R86" s="2128"/>
      <c r="S86" s="2128"/>
      <c r="T86" s="2128"/>
      <c r="U86" s="2128"/>
      <c r="V86" s="2128"/>
      <c r="W86" s="2128"/>
      <c r="X86" s="2128"/>
      <c r="Y86" s="2128"/>
      <c r="Z86" s="2128"/>
      <c r="AA86" s="1434"/>
      <c r="AB86" s="1434"/>
      <c r="AC86" s="1434"/>
      <c r="AD86" s="1434"/>
      <c r="AE86" s="1434"/>
      <c r="AF86" s="1434"/>
      <c r="AG86" s="1434"/>
      <c r="AH86" s="1434"/>
      <c r="AI86" s="1434"/>
    </row>
    <row r="87" spans="1:35" s="1264" customFormat="1" ht="13.5">
      <c r="A87" s="548" t="s">
        <v>1898</v>
      </c>
      <c r="B87" s="529" t="s">
        <v>332</v>
      </c>
      <c r="C87" s="556">
        <f>C88+C89</f>
        <v>5146</v>
      </c>
      <c r="D87" s="557"/>
      <c r="E87" s="1908"/>
      <c r="F87" s="1909"/>
      <c r="G87" s="1909"/>
      <c r="H87" s="1911"/>
      <c r="I87" s="2278"/>
      <c r="J87" s="2128"/>
      <c r="K87" s="2128"/>
      <c r="L87" s="2128"/>
      <c r="M87" s="2128"/>
      <c r="N87" s="2128"/>
      <c r="O87" s="2128"/>
      <c r="P87" s="2128"/>
      <c r="Q87" s="2128"/>
      <c r="R87" s="2128"/>
      <c r="S87" s="2128"/>
      <c r="T87" s="2128"/>
      <c r="U87" s="2128"/>
      <c r="V87" s="2128"/>
      <c r="W87" s="2128"/>
      <c r="X87" s="2128"/>
      <c r="Y87" s="2128"/>
      <c r="Z87" s="2128"/>
      <c r="AA87" s="1434"/>
      <c r="AB87" s="1434"/>
      <c r="AC87" s="1434"/>
      <c r="AD87" s="1434"/>
      <c r="AE87" s="1434"/>
      <c r="AF87" s="1434"/>
      <c r="AG87" s="1434"/>
      <c r="AH87" s="1434"/>
      <c r="AI87" s="1434"/>
    </row>
    <row r="88" spans="1:35" s="1264" customFormat="1" ht="13.5">
      <c r="A88" s="548" t="s">
        <v>1899</v>
      </c>
      <c r="B88" s="529" t="s">
        <v>333</v>
      </c>
      <c r="C88" s="567">
        <f>ROUND((14769696+1776160+22481184+10917856)/10000,0)</f>
        <v>4994</v>
      </c>
      <c r="D88" s="557"/>
      <c r="E88" s="568" t="s">
        <v>334</v>
      </c>
      <c r="F88" s="1909"/>
      <c r="G88" s="569" t="s">
        <v>335</v>
      </c>
      <c r="H88" s="1428" t="s">
        <v>3217</v>
      </c>
      <c r="I88" s="2278"/>
      <c r="J88" s="2128"/>
      <c r="K88" s="2128"/>
      <c r="L88" s="2128"/>
      <c r="M88" s="2128"/>
      <c r="N88" s="2128"/>
      <c r="O88" s="2128"/>
      <c r="P88" s="2128"/>
      <c r="Q88" s="2128"/>
      <c r="R88" s="2128"/>
      <c r="S88" s="2128"/>
      <c r="T88" s="2128"/>
      <c r="U88" s="2128"/>
      <c r="V88" s="2128"/>
      <c r="W88" s="2128"/>
      <c r="X88" s="2128"/>
      <c r="Y88" s="2128"/>
      <c r="Z88" s="2128"/>
      <c r="AA88" s="1434"/>
      <c r="AB88" s="1434"/>
      <c r="AC88" s="1434"/>
      <c r="AD88" s="1434"/>
      <c r="AE88" s="1434"/>
      <c r="AF88" s="1434"/>
      <c r="AG88" s="1434"/>
      <c r="AH88" s="1434"/>
      <c r="AI88" s="1434"/>
    </row>
    <row r="89" spans="1:35" s="1264" customFormat="1" ht="13.5">
      <c r="A89" s="548" t="s">
        <v>1901</v>
      </c>
      <c r="B89" s="529" t="s">
        <v>326</v>
      </c>
      <c r="C89" s="556">
        <f>ROUND(C88*D89,0)</f>
        <v>152</v>
      </c>
      <c r="D89" s="557">
        <f>'数据-取费表'!B48+'数据-取费表'!B49</f>
        <v>3.0499999999999999E-2</v>
      </c>
      <c r="E89" s="568" t="s">
        <v>336</v>
      </c>
      <c r="F89" s="1909"/>
      <c r="G89" s="1909"/>
      <c r="H89" s="1911"/>
      <c r="I89" s="2278"/>
      <c r="J89" s="2128"/>
      <c r="K89" s="2128"/>
      <c r="L89" s="2128"/>
      <c r="M89" s="2128"/>
      <c r="N89" s="2128"/>
      <c r="O89" s="2128"/>
      <c r="P89" s="2128"/>
      <c r="Q89" s="2128"/>
      <c r="R89" s="2128"/>
      <c r="S89" s="2128"/>
      <c r="T89" s="2128"/>
      <c r="U89" s="2128"/>
      <c r="V89" s="2128"/>
      <c r="W89" s="2128"/>
      <c r="X89" s="2128"/>
      <c r="Y89" s="2128"/>
      <c r="Z89" s="2128"/>
      <c r="AA89" s="1434"/>
      <c r="AB89" s="1434"/>
      <c r="AC89" s="1434"/>
      <c r="AD89" s="1434"/>
      <c r="AE89" s="1434"/>
      <c r="AF89" s="1434"/>
      <c r="AG89" s="1434"/>
      <c r="AH89" s="1434"/>
      <c r="AI89" s="1434"/>
    </row>
    <row r="90" spans="1:35" s="1264" customFormat="1" ht="13.5">
      <c r="A90" s="548" t="s">
        <v>1900</v>
      </c>
      <c r="B90" s="529" t="s">
        <v>337</v>
      </c>
      <c r="C90" s="567">
        <v>0</v>
      </c>
      <c r="D90" s="557"/>
      <c r="E90" s="568" t="str">
        <f>IF(H88="-","土地取得成本中已包含该笔费用"," ")</f>
        <v/>
      </c>
      <c r="F90" s="1909"/>
      <c r="G90" s="1909"/>
      <c r="H90" s="1911"/>
      <c r="I90" s="2278"/>
      <c r="J90" s="2128"/>
      <c r="K90" s="2128"/>
      <c r="L90" s="2128"/>
      <c r="M90" s="2128"/>
      <c r="N90" s="2128"/>
      <c r="O90" s="2128"/>
      <c r="P90" s="2128"/>
      <c r="Q90" s="2128"/>
      <c r="R90" s="2128"/>
      <c r="S90" s="2128"/>
      <c r="T90" s="2128"/>
      <c r="U90" s="2128"/>
      <c r="V90" s="2128"/>
      <c r="W90" s="2128"/>
      <c r="X90" s="2128"/>
      <c r="Y90" s="2128"/>
      <c r="Z90" s="2128"/>
      <c r="AA90" s="1434"/>
      <c r="AB90" s="1434"/>
      <c r="AC90" s="1434"/>
      <c r="AD90" s="1434"/>
      <c r="AE90" s="1434"/>
      <c r="AF90" s="1434"/>
      <c r="AG90" s="1434"/>
      <c r="AH90" s="1434"/>
      <c r="AI90" s="1434"/>
    </row>
    <row r="91" spans="1:35" s="1264" customFormat="1" ht="27.75" customHeight="1">
      <c r="A91" s="1794" t="s">
        <v>1906</v>
      </c>
      <c r="B91" s="529" t="s">
        <v>338</v>
      </c>
      <c r="C91" s="556">
        <f ca="1">IF(H91="——",成本法!C33,I91)</f>
        <v>8321</v>
      </c>
      <c r="D91" s="557"/>
      <c r="E91" s="3504" t="s">
        <v>797</v>
      </c>
      <c r="F91" s="3505"/>
      <c r="G91" s="3505"/>
      <c r="H91" s="1429" t="s">
        <v>529</v>
      </c>
      <c r="I91" s="2175">
        <f ca="1">成本法!C33</f>
        <v>8321</v>
      </c>
      <c r="J91" s="2128"/>
      <c r="K91" s="2128"/>
      <c r="L91" s="2128"/>
      <c r="M91" s="2128"/>
      <c r="N91" s="2128"/>
      <c r="O91" s="2128"/>
      <c r="P91" s="2128"/>
      <c r="Q91" s="2128"/>
      <c r="R91" s="2128"/>
      <c r="S91" s="2128"/>
      <c r="T91" s="2128"/>
      <c r="U91" s="2128"/>
      <c r="V91" s="2128"/>
      <c r="W91" s="2128"/>
      <c r="X91" s="2128"/>
      <c r="Y91" s="2128"/>
      <c r="Z91" s="2128"/>
      <c r="AA91" s="1434"/>
      <c r="AB91" s="1434"/>
      <c r="AC91" s="1434"/>
      <c r="AD91" s="1434"/>
      <c r="AE91" s="1434"/>
      <c r="AF91" s="1434"/>
      <c r="AG91" s="1434"/>
      <c r="AH91" s="1434"/>
      <c r="AI91" s="1434"/>
    </row>
    <row r="92" spans="1:35" s="1264" customFormat="1" ht="25.5" customHeight="1">
      <c r="A92" s="1794" t="s">
        <v>1907</v>
      </c>
      <c r="B92" s="529" t="s">
        <v>339</v>
      </c>
      <c r="C92" s="556">
        <f ca="1">ROUND((C87+C90+C91)*D92,0)</f>
        <v>1347</v>
      </c>
      <c r="D92" s="557">
        <v>0.1</v>
      </c>
      <c r="E92" s="3504" t="s">
        <v>340</v>
      </c>
      <c r="F92" s="3505"/>
      <c r="G92" s="3505"/>
      <c r="H92" s="3515"/>
      <c r="I92" s="2278"/>
      <c r="J92" s="2128"/>
      <c r="K92" s="2128"/>
      <c r="L92" s="2128"/>
      <c r="M92" s="2128"/>
      <c r="N92" s="2128"/>
      <c r="O92" s="2128"/>
      <c r="P92" s="2128"/>
      <c r="Q92" s="2128"/>
      <c r="R92" s="2128"/>
      <c r="S92" s="2128"/>
      <c r="T92" s="2128"/>
      <c r="U92" s="2128"/>
      <c r="V92" s="2128"/>
      <c r="W92" s="2128"/>
      <c r="X92" s="2128"/>
      <c r="Y92" s="2128"/>
      <c r="Z92" s="2128"/>
      <c r="AA92" s="1434"/>
      <c r="AB92" s="1434"/>
      <c r="AC92" s="1434"/>
      <c r="AD92" s="1434"/>
      <c r="AE92" s="1434"/>
      <c r="AF92" s="1434"/>
      <c r="AG92" s="1434"/>
      <c r="AH92" s="1434"/>
      <c r="AI92" s="1434"/>
    </row>
    <row r="93" spans="1:35" s="1264" customFormat="1" ht="25.5" customHeight="1">
      <c r="A93" s="1794" t="s">
        <v>1908</v>
      </c>
      <c r="B93" s="529" t="s">
        <v>327</v>
      </c>
      <c r="C93" s="556">
        <f ca="1">ROUND(D45*D93/(1+'数据-取费表'!C42),0)</f>
        <v>94</v>
      </c>
      <c r="D93" s="557">
        <f>'数据-取费表'!B43</f>
        <v>6.000000000000001E-3</v>
      </c>
      <c r="E93" s="3514" t="s">
        <v>2511</v>
      </c>
      <c r="F93" s="3505"/>
      <c r="G93" s="3505"/>
      <c r="H93" s="3515"/>
      <c r="I93" s="2278"/>
      <c r="J93" s="2128"/>
      <c r="K93" s="2128"/>
      <c r="L93" s="2128"/>
      <c r="M93" s="2128"/>
      <c r="N93" s="2128"/>
      <c r="O93" s="2128"/>
      <c r="P93" s="2128"/>
      <c r="Q93" s="2128"/>
      <c r="R93" s="2128"/>
      <c r="S93" s="2128"/>
      <c r="T93" s="2128"/>
      <c r="U93" s="2128"/>
      <c r="V93" s="2128"/>
      <c r="W93" s="2128"/>
      <c r="X93" s="2128"/>
      <c r="Y93" s="2128"/>
      <c r="Z93" s="2128"/>
      <c r="AA93" s="1434"/>
      <c r="AB93" s="1434"/>
      <c r="AC93" s="1434"/>
      <c r="AD93" s="1434"/>
      <c r="AE93" s="1434"/>
      <c r="AF93" s="1434"/>
      <c r="AG93" s="1434"/>
      <c r="AH93" s="1434"/>
      <c r="AI93" s="1434"/>
    </row>
    <row r="94" spans="1:35" s="1264" customFormat="1" ht="25.5" customHeight="1">
      <c r="A94" s="1794" t="s">
        <v>1909</v>
      </c>
      <c r="B94" s="529" t="s">
        <v>341</v>
      </c>
      <c r="C94" s="556">
        <f ca="1">ROUND((C87+C90+C91)*D94,0)</f>
        <v>2693</v>
      </c>
      <c r="D94" s="557">
        <v>0.2</v>
      </c>
      <c r="E94" s="3504" t="s">
        <v>342</v>
      </c>
      <c r="F94" s="3505"/>
      <c r="G94" s="3505"/>
      <c r="H94" s="3515"/>
      <c r="I94" s="2278"/>
      <c r="J94" s="2128"/>
      <c r="K94" s="2128"/>
      <c r="L94" s="2128"/>
      <c r="M94" s="2128"/>
      <c r="N94" s="2128"/>
      <c r="O94" s="2128"/>
      <c r="P94" s="2128"/>
      <c r="Q94" s="2128"/>
      <c r="R94" s="2128"/>
      <c r="S94" s="2128"/>
      <c r="T94" s="2128"/>
      <c r="U94" s="2128"/>
      <c r="V94" s="2128"/>
      <c r="W94" s="2128"/>
      <c r="X94" s="2128"/>
      <c r="Y94" s="2128"/>
      <c r="Z94" s="2128"/>
      <c r="AA94" s="1434"/>
      <c r="AB94" s="1434"/>
      <c r="AC94" s="1434"/>
      <c r="AD94" s="1434"/>
      <c r="AE94" s="1434"/>
      <c r="AF94" s="1434"/>
      <c r="AG94" s="1434"/>
      <c r="AH94" s="1434"/>
      <c r="AI94" s="1434"/>
    </row>
    <row r="95" spans="1:35" s="1264" customFormat="1" ht="13.5">
      <c r="A95" s="1792" t="s">
        <v>1903</v>
      </c>
      <c r="B95" s="535" t="s">
        <v>328</v>
      </c>
      <c r="C95" s="538">
        <f ca="1">ROUND(C85-C86,0)</f>
        <v>-2012</v>
      </c>
      <c r="D95" s="531" t="s">
        <v>166</v>
      </c>
      <c r="E95" s="1913"/>
      <c r="F95" s="1914"/>
      <c r="G95" s="1914"/>
      <c r="H95" s="565"/>
      <c r="I95" s="2278"/>
      <c r="J95" s="2128"/>
      <c r="K95" s="2128"/>
      <c r="L95" s="2128"/>
      <c r="M95" s="2128"/>
      <c r="N95" s="2128"/>
      <c r="O95" s="2128"/>
      <c r="P95" s="2128"/>
      <c r="Q95" s="2128"/>
      <c r="R95" s="2128"/>
      <c r="S95" s="2128"/>
      <c r="T95" s="2128"/>
      <c r="U95" s="2128"/>
      <c r="V95" s="2128"/>
      <c r="W95" s="2128"/>
      <c r="X95" s="2128"/>
      <c r="Y95" s="2128"/>
      <c r="Z95" s="2128"/>
      <c r="AA95" s="1434"/>
      <c r="AB95" s="1434"/>
      <c r="AC95" s="1434"/>
      <c r="AD95" s="1434"/>
      <c r="AE95" s="1434"/>
      <c r="AF95" s="1434"/>
      <c r="AG95" s="1434"/>
      <c r="AH95" s="1434"/>
      <c r="AI95" s="1434"/>
    </row>
    <row r="96" spans="1:35" s="1264" customFormat="1" ht="24">
      <c r="A96" s="1792" t="s">
        <v>1904</v>
      </c>
      <c r="B96" s="535" t="s">
        <v>329</v>
      </c>
      <c r="C96" s="558">
        <f ca="1">IF(C95&lt;=0,0,C95/C86)</f>
        <v>0</v>
      </c>
      <c r="D96" s="531" t="s">
        <v>166</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4"/>
      <c r="G96" s="1914"/>
      <c r="H96" s="565"/>
      <c r="I96" s="2278"/>
      <c r="J96" s="2128"/>
      <c r="K96" s="2128"/>
      <c r="L96" s="2128"/>
      <c r="M96" s="2128"/>
      <c r="N96" s="2128"/>
      <c r="O96" s="2128"/>
      <c r="P96" s="2128"/>
      <c r="Q96" s="2128"/>
      <c r="R96" s="2128"/>
      <c r="S96" s="2128"/>
      <c r="T96" s="2128"/>
      <c r="U96" s="2128"/>
      <c r="V96" s="2128"/>
      <c r="W96" s="2128"/>
      <c r="X96" s="2128"/>
      <c r="Y96" s="2128"/>
      <c r="Z96" s="2128"/>
      <c r="AA96" s="1434"/>
      <c r="AB96" s="1434"/>
      <c r="AC96" s="1434"/>
      <c r="AD96" s="1434"/>
      <c r="AE96" s="1434"/>
      <c r="AF96" s="1434"/>
      <c r="AG96" s="1434"/>
      <c r="AH96" s="1434"/>
      <c r="AI96" s="1434"/>
    </row>
    <row r="97" spans="1:35" s="1264" customFormat="1" ht="24.75" thickBot="1">
      <c r="A97" s="1793" t="s">
        <v>1905</v>
      </c>
      <c r="B97" s="540" t="s">
        <v>330</v>
      </c>
      <c r="C97" s="559">
        <f ca="1">ROUND(IF(C95&lt;=0,0,IF(C96&gt;=200%,C95*60%-C86*35%,IF(C96&gt;=100%,C95*50%-C86*15%,IF(C96&gt;=50%,C95*40%-C86*5%,IF(C96&lt;50%,C95*30%,0))))),0)</f>
        <v>0</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2"/>
      <c r="G97" s="562"/>
      <c r="H97" s="570"/>
      <c r="I97" s="2278"/>
      <c r="J97" s="2128"/>
      <c r="K97" s="2128"/>
      <c r="L97" s="2128"/>
      <c r="M97" s="2128"/>
      <c r="N97" s="2128"/>
      <c r="O97" s="2128"/>
      <c r="P97" s="2128"/>
      <c r="Q97" s="2128"/>
      <c r="R97" s="2128"/>
      <c r="S97" s="2128"/>
      <c r="T97" s="2128"/>
      <c r="U97" s="2128"/>
      <c r="V97" s="2128"/>
      <c r="W97" s="2128"/>
      <c r="X97" s="2128"/>
      <c r="Y97" s="2128"/>
      <c r="Z97" s="2128"/>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0"/>
    </row>
    <row r="99" spans="1:35" ht="21.75" customHeight="1" thickBot="1">
      <c r="A99" s="1251" t="s">
        <v>226</v>
      </c>
      <c r="B99" s="1242"/>
      <c r="C99" s="1242"/>
      <c r="D99" s="1242"/>
      <c r="E99" s="229"/>
      <c r="F99" s="229"/>
      <c r="G99" s="229"/>
      <c r="H99" s="241"/>
      <c r="I99" s="2270"/>
    </row>
    <row r="100" spans="1:35" ht="18.75" customHeight="1">
      <c r="A100" s="3488" t="s">
        <v>227</v>
      </c>
      <c r="B100" s="3489"/>
      <c r="C100" s="3489"/>
      <c r="D100" s="3506"/>
      <c r="E100" s="3489" t="s">
        <v>2911</v>
      </c>
      <c r="F100" s="3489"/>
      <c r="G100" s="3489"/>
      <c r="H100" s="3506"/>
      <c r="I100" s="2270"/>
    </row>
    <row r="101" spans="1:35" ht="18.75" customHeight="1">
      <c r="A101" s="3573" t="s">
        <v>205</v>
      </c>
      <c r="B101" s="3574"/>
      <c r="C101" s="1265" t="str">
        <f>C4</f>
        <v>成本法</v>
      </c>
      <c r="D101" s="1266" t="str">
        <f>D4</f>
        <v>假设开发法</v>
      </c>
      <c r="E101" s="3591" t="s">
        <v>1911</v>
      </c>
      <c r="F101" s="3539"/>
      <c r="G101" s="1267" t="s">
        <v>207</v>
      </c>
      <c r="H101" s="1978">
        <f ca="1">H118</f>
        <v>16368</v>
      </c>
      <c r="I101" s="2270"/>
    </row>
    <row r="102" spans="1:35" ht="18.75" customHeight="1">
      <c r="A102" s="3541" t="s">
        <v>206</v>
      </c>
      <c r="B102" s="1267" t="s">
        <v>207</v>
      </c>
      <c r="C102" s="1234">
        <f ca="1">C19</f>
        <v>16824</v>
      </c>
      <c r="D102" s="1235">
        <f ca="1">D19</f>
        <v>15912</v>
      </c>
      <c r="E102" s="3591"/>
      <c r="F102" s="3539"/>
      <c r="G102" s="1267" t="s">
        <v>208</v>
      </c>
      <c r="H102" s="710">
        <f ca="1">I118</f>
        <v>1860</v>
      </c>
      <c r="I102" s="2270"/>
    </row>
    <row r="103" spans="1:35" ht="42.75" customHeight="1">
      <c r="A103" s="3541"/>
      <c r="B103" s="1267" t="s">
        <v>208</v>
      </c>
      <c r="C103" s="1236">
        <f ca="1">C20</f>
        <v>1911</v>
      </c>
      <c r="D103" s="1237">
        <f ca="1">D20</f>
        <v>1808</v>
      </c>
      <c r="E103" s="3586" t="s">
        <v>3021</v>
      </c>
      <c r="F103" s="3587"/>
      <c r="G103" s="1268" t="s">
        <v>210</v>
      </c>
      <c r="H103" s="1978">
        <f>IF(D36="正常操作",H104+H105+H106,H105+H106)</f>
        <v>0</v>
      </c>
      <c r="I103" s="2270"/>
    </row>
    <row r="104" spans="1:35" ht="18.75" customHeight="1">
      <c r="A104" s="3541" t="s">
        <v>209</v>
      </c>
      <c r="B104" s="1269" t="s">
        <v>207</v>
      </c>
      <c r="C104" s="1238">
        <f ca="1">H118</f>
        <v>16368</v>
      </c>
      <c r="D104" s="1239"/>
      <c r="E104" s="13" t="s">
        <v>1910</v>
      </c>
      <c r="F104" s="6"/>
      <c r="G104" s="1268" t="s">
        <v>210</v>
      </c>
      <c r="H104" s="1979">
        <f>IF(D36="同一抵押权人同一抵押物续贷",C36&amp;"（未扣减，详见特别提示）",C36)</f>
        <v>0</v>
      </c>
      <c r="I104" s="2270"/>
    </row>
    <row r="105" spans="1:35" ht="18.75" customHeight="1" thickBot="1">
      <c r="A105" s="3542"/>
      <c r="B105" s="1270" t="s">
        <v>208</v>
      </c>
      <c r="C105" s="1240">
        <f ca="1">I118</f>
        <v>1860</v>
      </c>
      <c r="D105" s="1241"/>
      <c r="E105" s="13" t="s">
        <v>1912</v>
      </c>
      <c r="F105" s="6"/>
      <c r="G105" s="1268" t="s">
        <v>210</v>
      </c>
      <c r="H105" s="1979">
        <f>C37</f>
        <v>0</v>
      </c>
      <c r="I105" s="2270"/>
    </row>
    <row r="106" spans="1:35" ht="18.75" customHeight="1">
      <c r="A106" s="1242" t="s">
        <v>2008</v>
      </c>
      <c r="B106" s="1242"/>
      <c r="C106" s="1242"/>
      <c r="D106" s="1242"/>
      <c r="E106" s="466" t="s">
        <v>1913</v>
      </c>
      <c r="F106" s="6"/>
      <c r="G106" s="1268" t="s">
        <v>210</v>
      </c>
      <c r="H106" s="1979">
        <f>C38</f>
        <v>0</v>
      </c>
      <c r="I106" s="2270"/>
    </row>
    <row r="107" spans="1:35" ht="18.75" customHeight="1">
      <c r="A107" s="2270"/>
      <c r="B107" s="2270"/>
      <c r="C107" s="2270"/>
      <c r="D107" s="2270"/>
      <c r="E107" s="3538" t="str">
        <f>IF(项目基本情况!E8="已注销","——","3.房地产抵押价值")</f>
        <v>3.房地产抵押价值</v>
      </c>
      <c r="F107" s="3539"/>
      <c r="G107" s="1267" t="s">
        <v>207</v>
      </c>
      <c r="H107" s="1978">
        <f ca="1">IF(E107="——","——",H101-H103)</f>
        <v>16368</v>
      </c>
      <c r="I107" s="2270"/>
    </row>
    <row r="108" spans="1:35" ht="18.75" customHeight="1">
      <c r="A108" s="2270"/>
      <c r="B108" s="2270"/>
      <c r="C108" s="2270"/>
      <c r="D108" s="2270"/>
      <c r="E108" s="3538"/>
      <c r="F108" s="3539"/>
      <c r="G108" s="1267" t="s">
        <v>208</v>
      </c>
      <c r="H108" s="710">
        <f ca="1">ROUND(H107*10000/'数据-汇总表'!E3,0)</f>
        <v>1860</v>
      </c>
      <c r="I108" s="2270"/>
    </row>
    <row r="109" spans="1:35" ht="18.75" customHeight="1">
      <c r="A109" s="2270"/>
      <c r="B109" s="2270"/>
      <c r="C109" s="2270"/>
      <c r="D109" s="2270"/>
      <c r="E109" s="3538" t="str">
        <f>IF(项目基本情况!E8="已注销及未注销","4.抵押担保权已注销时的房地产抵押价值",IF(项目基本情况!E8="已注销","3.抵押担保权已注销时的房地产抵押价值","——"))</f>
        <v>——</v>
      </c>
      <c r="F109" s="3539"/>
      <c r="G109" s="1267" t="s">
        <v>207</v>
      </c>
      <c r="H109" s="684" t="str">
        <f>IF(E109="——","——",H101-H105-H106)</f>
        <v>——</v>
      </c>
      <c r="I109" s="2270"/>
    </row>
    <row r="110" spans="1:35" ht="18.75" customHeight="1">
      <c r="A110" s="2270"/>
      <c r="B110" s="2270"/>
      <c r="C110" s="2270"/>
      <c r="D110" s="2270"/>
      <c r="E110" s="3538"/>
      <c r="F110" s="3539"/>
      <c r="G110" s="1267" t="s">
        <v>208</v>
      </c>
      <c r="H110" s="710" t="str">
        <f>IF(H109="——","——",ROUND(H109*10000/'数据-汇总表'!E3,0))</f>
        <v>——</v>
      </c>
      <c r="I110" s="2270"/>
    </row>
    <row r="111" spans="1:35" ht="18.75" customHeight="1">
      <c r="A111" s="2270"/>
      <c r="B111" s="2270"/>
      <c r="C111" s="2270"/>
      <c r="D111" s="2270"/>
      <c r="E111" s="3576" t="str">
        <f>IF(项目基本情况!E9="抵押净值",IF(OR(项目基本情况!E8="已注销",项目基本情况!E8="房地产抵押价值"),"4.抵押净值","5.抵押净值"),"——")</f>
        <v>4.抵押净值</v>
      </c>
      <c r="F111" s="3577"/>
      <c r="G111" s="1267" t="s">
        <v>207</v>
      </c>
      <c r="H111" s="1978">
        <f ca="1">IF(E111="——","——",N59)</f>
        <v>15487</v>
      </c>
      <c r="I111" s="2270"/>
      <c r="J111" s="1445">
        <f ca="1">H101+[2]结果表!$H$101</f>
        <v>172747</v>
      </c>
    </row>
    <row r="112" spans="1:35" ht="18.75" customHeight="1" thickBot="1">
      <c r="A112" s="2270"/>
      <c r="B112" s="2270"/>
      <c r="C112" s="2270"/>
      <c r="D112" s="2270"/>
      <c r="E112" s="3578"/>
      <c r="F112" s="3579"/>
      <c r="G112" s="1271" t="s">
        <v>208</v>
      </c>
      <c r="H112" s="1422">
        <f ca="1">IF(E111="——","——",N61)</f>
        <v>1759</v>
      </c>
      <c r="I112" s="2270"/>
    </row>
    <row r="113" spans="1:11" ht="18.75" customHeight="1">
      <c r="A113" s="2270"/>
      <c r="B113" s="2270"/>
      <c r="C113" s="2270"/>
      <c r="D113" s="2270"/>
      <c r="E113" s="3543" t="s">
        <v>2008</v>
      </c>
      <c r="F113" s="3543"/>
      <c r="G113" s="3543"/>
      <c r="H113" s="3543"/>
      <c r="I113" s="2270"/>
    </row>
    <row r="114" spans="1:11" ht="3.75" customHeight="1">
      <c r="A114" s="1242"/>
      <c r="B114" s="1242"/>
      <c r="C114" s="1242"/>
      <c r="D114" s="1242"/>
      <c r="E114" s="1257"/>
      <c r="F114" s="1257"/>
      <c r="G114" s="1257"/>
      <c r="H114" s="1257"/>
      <c r="I114" s="1242"/>
    </row>
    <row r="115" spans="1:11" ht="18.75" customHeight="1">
      <c r="A115" s="3557" t="s">
        <v>223</v>
      </c>
      <c r="B115" s="3558"/>
      <c r="C115" s="3558"/>
      <c r="D115" s="3558"/>
      <c r="E115" s="3558"/>
      <c r="F115" s="3558"/>
      <c r="G115" s="3558"/>
      <c r="H115" s="3558"/>
      <c r="I115" s="3559"/>
    </row>
    <row r="116" spans="1:11" ht="27" customHeight="1">
      <c r="A116" s="3446" t="s">
        <v>5</v>
      </c>
      <c r="B116" s="3544" t="s">
        <v>787</v>
      </c>
      <c r="C116" s="3544" t="s">
        <v>3270</v>
      </c>
      <c r="D116" s="3562" t="s">
        <v>203</v>
      </c>
      <c r="E116" s="3563"/>
      <c r="F116" s="3553" t="s">
        <v>2388</v>
      </c>
      <c r="G116" s="3553"/>
      <c r="H116" s="3446" t="s">
        <v>6</v>
      </c>
      <c r="I116" s="3446"/>
    </row>
    <row r="117" spans="1:11" ht="18.75" customHeight="1">
      <c r="A117" s="3446"/>
      <c r="B117" s="3545"/>
      <c r="C117" s="3545"/>
      <c r="D117" s="1907" t="s">
        <v>7</v>
      </c>
      <c r="E117" s="1907" t="s">
        <v>788</v>
      </c>
      <c r="F117" s="1907" t="s">
        <v>7</v>
      </c>
      <c r="G117" s="1907" t="s">
        <v>8</v>
      </c>
      <c r="H117" s="1907" t="s">
        <v>7</v>
      </c>
      <c r="I117" s="1907" t="s">
        <v>8</v>
      </c>
    </row>
    <row r="118" spans="1:11" ht="24.75" customHeight="1">
      <c r="A118" s="2025" t="str">
        <f>项目基本情况!S2</f>
        <v>出让国有建设用地使用权及在建建筑物房地产</v>
      </c>
      <c r="B118" s="1912">
        <f>M18</f>
        <v>88021.11</v>
      </c>
      <c r="C118" s="1912">
        <f>M19</f>
        <v>104051.87</v>
      </c>
      <c r="D118" s="1912">
        <f ca="1">ROUND(IF(D32="总价",C34,E118*B118/10000),0)</f>
        <v>6269</v>
      </c>
      <c r="E118" s="1912">
        <f ca="1">ROUND(IF(C33="自定义",IF(D32="楼面单价",C34,D118*10000/B118),I118-G118),0)</f>
        <v>713</v>
      </c>
      <c r="F118" s="1912">
        <f ca="1">ROUND(IF(D32="总价",C35,G118*B118/10000),0)</f>
        <v>10099</v>
      </c>
      <c r="G118" s="1912">
        <f ca="1">ROUND(IF(D32="楼面单价",C35,F118*10000/B118),0)</f>
        <v>1147</v>
      </c>
      <c r="H118" s="1912">
        <f ca="1">ROUND(IF(D32="总价",C32,I118*B118/10000),0)</f>
        <v>16368</v>
      </c>
      <c r="I118" s="1912">
        <f ca="1">ROUND(IF(D32="楼面单价",C32,H118*10000/B118),0)</f>
        <v>1860</v>
      </c>
    </row>
    <row r="119" spans="1:11" ht="18.75" customHeight="1">
      <c r="A119" s="3446" t="s">
        <v>9</v>
      </c>
      <c r="B119" s="3446"/>
      <c r="C119" s="3446"/>
      <c r="D119" s="3550" t="str">
        <f ca="1">NUMBERSTRING(INT(D118*10000),2)&amp;"元整"</f>
        <v>陆仟贰佰陆拾玖万元整</v>
      </c>
      <c r="E119" s="3552"/>
      <c r="F119" s="3550" t="str">
        <f ca="1">NUMBERSTRING(INT(F118*10000),2)&amp;"元整"</f>
        <v>壹亿零玖拾玖万元整</v>
      </c>
      <c r="G119" s="3552"/>
      <c r="H119" s="3550" t="str">
        <f ca="1">NUMBERSTRING(INT(H118*10000),2)&amp;"元整"</f>
        <v>壹亿陆仟叁佰陆拾捌万元整</v>
      </c>
      <c r="I119" s="3552"/>
    </row>
    <row r="120" spans="1:11" ht="18.75" customHeight="1">
      <c r="A120" s="3583" t="str">
        <f>MID(E103,3,LEN(E103)-2)</f>
        <v>估价师知悉的法定优先受偿款</v>
      </c>
      <c r="B120" s="3584"/>
      <c r="C120" s="3585"/>
      <c r="D120" s="3580">
        <f>H103</f>
        <v>0</v>
      </c>
      <c r="E120" s="3581"/>
      <c r="F120" s="3581"/>
      <c r="G120" s="3581"/>
      <c r="H120" s="3581"/>
      <c r="I120" s="3582"/>
      <c r="K120" s="1433" t="str">
        <f>IF(D120=0,"故，本次评估不存在"&amp;A120,"故，本次评估"&amp;A120&amp;"为人民币"&amp;D120&amp;"万元整。")</f>
        <v>故，本次评估不存在估价师知悉的法定优先受偿款</v>
      </c>
    </row>
    <row r="121" spans="1:11" ht="18.75" customHeight="1">
      <c r="A121" s="3554" t="s">
        <v>9</v>
      </c>
      <c r="B121" s="3555"/>
      <c r="C121" s="3556"/>
      <c r="D121" s="3550" t="str">
        <f>IF(D120=0,"零元整",NUMBERSTRING(INT(D120*10000),2)&amp;"元整")</f>
        <v>零元整</v>
      </c>
      <c r="E121" s="3551"/>
      <c r="F121" s="3551"/>
      <c r="G121" s="3551"/>
      <c r="H121" s="3551"/>
      <c r="I121" s="3552"/>
    </row>
    <row r="122" spans="1:11" ht="18.75" customHeight="1">
      <c r="A122" s="3540" t="str">
        <f>MID(E107,3,LEN(E107)-2)</f>
        <v>房地产抵押价值</v>
      </c>
      <c r="B122" s="3540"/>
      <c r="C122" s="3540"/>
      <c r="D122" s="3580">
        <f ca="1">H107</f>
        <v>16368</v>
      </c>
      <c r="E122" s="3581"/>
      <c r="F122" s="3581"/>
      <c r="G122" s="3581"/>
      <c r="H122" s="3581"/>
      <c r="I122" s="3582"/>
    </row>
    <row r="123" spans="1:11" ht="18.75" customHeight="1">
      <c r="A123" s="3446" t="s">
        <v>9</v>
      </c>
      <c r="B123" s="3446"/>
      <c r="C123" s="3446"/>
      <c r="D123" s="3550" t="str">
        <f ca="1">NUMBERSTRING(INT(D122*10000),2)&amp;"元整"</f>
        <v>壹亿陆仟叁佰陆拾捌万元整</v>
      </c>
      <c r="E123" s="3551"/>
      <c r="F123" s="3551"/>
      <c r="G123" s="3551"/>
      <c r="H123" s="3551"/>
      <c r="I123" s="3552"/>
    </row>
    <row r="124" spans="1:11" ht="18.75" customHeight="1">
      <c r="A124" s="3540" t="str">
        <f>MID(E109,3,LEN(E109)-2)</f>
        <v/>
      </c>
      <c r="B124" s="3540"/>
      <c r="C124" s="3540"/>
      <c r="D124" s="3580" t="str">
        <f>H109</f>
        <v>——</v>
      </c>
      <c r="E124" s="3581"/>
      <c r="F124" s="3581"/>
      <c r="G124" s="3581"/>
      <c r="H124" s="3581"/>
      <c r="I124" s="3582"/>
    </row>
    <row r="125" spans="1:11" ht="18.75" customHeight="1">
      <c r="A125" s="3446" t="s">
        <v>9</v>
      </c>
      <c r="B125" s="3446"/>
      <c r="C125" s="3446"/>
      <c r="D125" s="3550" t="e">
        <f>NUMBERSTRING(INT(D124*10000),2)&amp;"元整"</f>
        <v>#VALUE!</v>
      </c>
      <c r="E125" s="3551"/>
      <c r="F125" s="3551"/>
      <c r="G125" s="3551"/>
      <c r="H125" s="3551"/>
      <c r="I125" s="3552"/>
    </row>
    <row r="126" spans="1:11" ht="18.75" customHeight="1">
      <c r="A126" s="3540" t="str">
        <f>MID(E111,3,LEN(E111)-2)</f>
        <v>抵押净值</v>
      </c>
      <c r="B126" s="3540"/>
      <c r="C126" s="3540"/>
      <c r="D126" s="3580">
        <f ca="1">H111</f>
        <v>15487</v>
      </c>
      <c r="E126" s="3581"/>
      <c r="F126" s="3581"/>
      <c r="G126" s="3581"/>
      <c r="H126" s="3581"/>
      <c r="I126" s="3582"/>
    </row>
    <row r="127" spans="1:11" ht="18.75" customHeight="1">
      <c r="A127" s="3446" t="s">
        <v>9</v>
      </c>
      <c r="B127" s="3446"/>
      <c r="C127" s="3446"/>
      <c r="D127" s="3550" t="str">
        <f ca="1">NUMBERSTRING(INT(D126*10000),2)&amp;"元整"</f>
        <v>壹亿伍仟肆佰捌拾柒万元整</v>
      </c>
      <c r="E127" s="3551"/>
      <c r="F127" s="3551"/>
      <c r="G127" s="3551"/>
      <c r="H127" s="3551"/>
      <c r="I127" s="3552"/>
    </row>
    <row r="128" spans="1:11" ht="21.75" customHeight="1">
      <c r="A128" s="3561" t="s">
        <v>2007</v>
      </c>
      <c r="B128" s="3561"/>
      <c r="C128" s="3561"/>
      <c r="D128" s="3561"/>
      <c r="E128" s="3561"/>
      <c r="F128" s="3561"/>
      <c r="G128" s="3561"/>
      <c r="H128" s="3561"/>
      <c r="I128" s="3561"/>
    </row>
    <row r="129" spans="1:35" ht="21.75" customHeight="1">
      <c r="A129" s="2020" t="s">
        <v>789</v>
      </c>
      <c r="B129" s="2021"/>
      <c r="C129" s="467" t="s">
        <v>150</v>
      </c>
      <c r="D129" s="2022"/>
      <c r="E129" s="2022"/>
      <c r="F129" s="2022"/>
      <c r="G129" s="2022"/>
      <c r="H129" s="2023"/>
      <c r="I129" s="2024"/>
    </row>
    <row r="130" spans="1:35" ht="21.75" customHeight="1">
      <c r="A130" s="1435">
        <v>1</v>
      </c>
      <c r="B130" s="1436"/>
      <c r="C130" s="1436"/>
      <c r="D130" s="1437"/>
      <c r="E130" s="1437"/>
      <c r="F130" s="1437">
        <f ca="1">H111+[3]结果表!$H$111</f>
        <v>23636</v>
      </c>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790</v>
      </c>
      <c r="G135" s="1447"/>
      <c r="H135" s="1447"/>
      <c r="I135" s="1448" t="s">
        <v>791</v>
      </c>
    </row>
    <row r="136" spans="1:35" ht="21.75" customHeight="1">
      <c r="A136" s="1445"/>
      <c r="B136" s="1449" t="s">
        <v>792</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793</v>
      </c>
    </row>
    <row r="139" spans="1:35" ht="21.75" customHeight="1">
      <c r="A139" s="1445"/>
      <c r="B139" s="1449" t="s">
        <v>794</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793</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4"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00B0F0"/>
    <pageSetUpPr fitToPage="1"/>
  </sheetPr>
  <dimension ref="A1:I57"/>
  <sheetViews>
    <sheetView workbookViewId="0">
      <selection activeCell="G9" sqref="G9"/>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818</v>
      </c>
      <c r="B1" s="2745"/>
      <c r="C1" s="573"/>
      <c r="D1" s="573"/>
      <c r="E1" s="573"/>
      <c r="F1" s="573"/>
      <c r="G1" s="2746">
        <f>MATCH(B1,'数据-取费表'!A6:A16,0)+5</f>
        <v>6</v>
      </c>
    </row>
    <row r="2" spans="1:9" s="575" customFormat="1" ht="18" customHeight="1">
      <c r="A2" s="576" t="s">
        <v>444</v>
      </c>
      <c r="B2" s="577">
        <f ca="1">IF(D2="——",C52,C52-E2)</f>
        <v>16824</v>
      </c>
      <c r="C2" s="85" t="s">
        <v>868</v>
      </c>
      <c r="D2" s="2866" t="s">
        <v>529</v>
      </c>
      <c r="E2" s="2864" t="e">
        <f ca="1">SUMIF(INDIRECT("'"&amp;G2&amp;"'"&amp;"!A:A"),"承租人权益价值",INDIRECT("'"&amp;G2&amp;"'"&amp;"!c:c"))</f>
        <v>#REF!</v>
      </c>
      <c r="F2" s="2862" t="s">
        <v>868</v>
      </c>
      <c r="G2" s="2865"/>
    </row>
    <row r="3" spans="1:9" s="575" customFormat="1" ht="18" customHeight="1" thickBot="1">
      <c r="A3" s="578" t="s">
        <v>445</v>
      </c>
      <c r="B3" s="579">
        <f ca="1">ROUND(B2*10000/(IF(B1="",'数据-汇总表'!E3,INDIRECT("'数据-取费表'!k"&amp;$G$1))),0)</f>
        <v>1911</v>
      </c>
      <c r="C3" s="85" t="s">
        <v>869</v>
      </c>
      <c r="D3" s="574"/>
      <c r="E3" s="574"/>
      <c r="F3" s="574"/>
      <c r="G3" s="574"/>
    </row>
    <row r="4" spans="1:9" s="583" customFormat="1" ht="15.75">
      <c r="A4" s="580" t="s">
        <v>821</v>
      </c>
      <c r="B4" s="581"/>
      <c r="C4" s="581"/>
      <c r="D4" s="581"/>
      <c r="E4" s="581"/>
      <c r="F4" s="581"/>
      <c r="G4" s="582"/>
    </row>
    <row r="5" spans="1:9" s="589" customFormat="1" ht="13.5" customHeight="1">
      <c r="A5" s="630" t="s">
        <v>2512</v>
      </c>
      <c r="B5" s="585" t="s">
        <v>822</v>
      </c>
      <c r="C5" s="586">
        <f>C6+C7+C8</f>
        <v>5136</v>
      </c>
      <c r="D5" s="586" t="s">
        <v>823</v>
      </c>
      <c r="E5" s="587" t="s">
        <v>824</v>
      </c>
      <c r="F5" s="587" t="s">
        <v>825</v>
      </c>
      <c r="G5" s="588"/>
    </row>
    <row r="6" spans="1:9" s="589" customFormat="1" ht="13.5" customHeight="1">
      <c r="A6" s="1796" t="s">
        <v>1923</v>
      </c>
      <c r="B6" s="590" t="s">
        <v>826</v>
      </c>
      <c r="C6" s="591">
        <f>'土地比较法-工业'!F61</f>
        <v>4984</v>
      </c>
      <c r="D6" s="592"/>
      <c r="E6" s="593"/>
      <c r="F6" s="593"/>
      <c r="G6" s="594"/>
    </row>
    <row r="7" spans="1:9" s="589" customFormat="1" ht="13.5" customHeight="1">
      <c r="A7" s="1796" t="s">
        <v>1924</v>
      </c>
      <c r="B7" s="590" t="s">
        <v>345</v>
      </c>
      <c r="C7" s="595">
        <f>ROUND(C6*F7,0)</f>
        <v>152</v>
      </c>
      <c r="D7" s="595"/>
      <c r="E7" s="593"/>
      <c r="F7" s="596">
        <f>'数据-取费表'!B48+'数据-取费表'!B49</f>
        <v>3.0499999999999999E-2</v>
      </c>
      <c r="G7" s="594"/>
    </row>
    <row r="8" spans="1:9" s="598" customFormat="1">
      <c r="A8" s="1796" t="s">
        <v>1925</v>
      </c>
      <c r="B8" s="590" t="s">
        <v>827</v>
      </c>
      <c r="C8" s="595">
        <f>IF(G8="已包含在土地购买价格中","0",IF(B1="",'数据-取费表'!B29,IF(G9="全部缴纳",C9+C10,H9)))</f>
        <v>0</v>
      </c>
      <c r="D8" s="597"/>
      <c r="E8" s="595"/>
      <c r="F8" s="596"/>
      <c r="G8" s="84" t="s">
        <v>3262</v>
      </c>
    </row>
    <row r="9" spans="1:9" s="589" customFormat="1" ht="13.5" customHeight="1">
      <c r="A9" s="1797" t="s">
        <v>1932</v>
      </c>
      <c r="B9" s="599" t="s">
        <v>828</v>
      </c>
      <c r="C9" s="600">
        <f ca="1">ROUND(D9*E9/10000,0)</f>
        <v>0</v>
      </c>
      <c r="D9" s="1901">
        <f ca="1">IF(B1="",'数据-汇总表'!E5,IF(INDIRECT("'数据-取费表'!c"&amp;$G$1)="住宅",INDIRECT("'数据-取费表'!k"&amp;$G$1),0))</f>
        <v>0</v>
      </c>
      <c r="E9" s="600">
        <f>'数据-取费表'!B27</f>
        <v>0</v>
      </c>
      <c r="F9" s="596"/>
      <c r="G9" s="2796" t="s">
        <v>3263</v>
      </c>
      <c r="H9" s="2797">
        <f>'数据-取费表'!B29</f>
        <v>0</v>
      </c>
      <c r="I9" s="2798" t="s">
        <v>2694</v>
      </c>
    </row>
    <row r="10" spans="1:9" s="589" customFormat="1" ht="13.5" customHeight="1">
      <c r="A10" s="1797" t="s">
        <v>1933</v>
      </c>
      <c r="B10" s="599" t="s">
        <v>829</v>
      </c>
      <c r="C10" s="600">
        <f ca="1">ROUND(D10*E10/10000,0)</f>
        <v>1303</v>
      </c>
      <c r="D10" s="1901">
        <f ca="1">IF(B1="",'数据-汇总表'!E6,IF(INDIRECT("'数据-取费表'!c"&amp;$G$1)="住宅",INDIRECT("'数据-取费表'!s"&amp;$G$1),INDIRECT("'数据-取费表'!k"&amp;$G$1)+INDIRECT("'数据-取费表'!s"&amp;$G$1)))</f>
        <v>88021.11</v>
      </c>
      <c r="E10" s="600">
        <f>'数据-取费表'!B28</f>
        <v>148</v>
      </c>
      <c r="F10" s="596"/>
      <c r="G10" s="601"/>
    </row>
    <row r="11" spans="1:9" s="589" customFormat="1" ht="13.5" hidden="1" customHeight="1">
      <c r="A11" s="602" t="s">
        <v>42</v>
      </c>
      <c r="B11" s="590" t="s">
        <v>830</v>
      </c>
      <c r="C11" s="586"/>
      <c r="D11" s="1903"/>
      <c r="E11" s="593"/>
      <c r="F11" s="593"/>
      <c r="G11" s="594"/>
    </row>
    <row r="12" spans="1:9" s="589" customFormat="1" ht="13.5" hidden="1" customHeight="1">
      <c r="A12" s="602" t="s">
        <v>43</v>
      </c>
      <c r="B12" s="590" t="s">
        <v>831</v>
      </c>
      <c r="C12" s="586">
        <v>0</v>
      </c>
      <c r="D12" s="1903"/>
      <c r="E12" s="603"/>
      <c r="F12" s="596">
        <v>3.0499999999999999E-2</v>
      </c>
      <c r="G12" s="594"/>
    </row>
    <row r="13" spans="1:9" s="589" customFormat="1" ht="13.5" hidden="1" customHeight="1">
      <c r="A13" s="602" t="s">
        <v>44</v>
      </c>
      <c r="B13" s="590" t="s">
        <v>832</v>
      </c>
      <c r="C13" s="586"/>
      <c r="D13" s="1903"/>
      <c r="E13" s="593"/>
      <c r="F13" s="593"/>
      <c r="G13" s="594"/>
    </row>
    <row r="14" spans="1:9" s="589" customFormat="1" ht="13.5" hidden="1" customHeight="1">
      <c r="A14" s="602" t="s">
        <v>45</v>
      </c>
      <c r="B14" s="590" t="s">
        <v>827</v>
      </c>
      <c r="C14" s="586"/>
      <c r="D14" s="1903"/>
      <c r="E14" s="593"/>
      <c r="F14" s="593"/>
      <c r="G14" s="594" t="s">
        <v>833</v>
      </c>
    </row>
    <row r="15" spans="1:9" s="589" customFormat="1" ht="13.5" hidden="1" customHeight="1">
      <c r="A15" s="602" t="s">
        <v>46</v>
      </c>
      <c r="B15" s="590" t="s">
        <v>834</v>
      </c>
      <c r="C15" s="595"/>
      <c r="D15" s="1903"/>
      <c r="E15" s="593"/>
      <c r="F15" s="593"/>
      <c r="G15" s="594" t="s">
        <v>835</v>
      </c>
    </row>
    <row r="16" spans="1:9"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2513</v>
      </c>
      <c r="B19" s="585" t="s">
        <v>846</v>
      </c>
      <c r="C19" s="586" t="str">
        <f>IF(G19="已包含在土地取得成本中","0",ROUND(D19*E19/10000,0))</f>
        <v>0</v>
      </c>
      <c r="D19" s="1905">
        <f ca="1">D9+D10</f>
        <v>88021.11</v>
      </c>
      <c r="E19" s="586">
        <f>'数据-取费表'!B31</f>
        <v>150</v>
      </c>
      <c r="F19" s="606"/>
      <c r="G19" s="84" t="s">
        <v>3206</v>
      </c>
    </row>
    <row r="20" spans="1:7" s="589" customFormat="1" ht="13.5" customHeight="1">
      <c r="A20" s="1795" t="s">
        <v>2515</v>
      </c>
      <c r="B20" s="585" t="s">
        <v>839</v>
      </c>
      <c r="C20" s="607">
        <f>ROUND((C5+C19)*F20,0)</f>
        <v>77</v>
      </c>
      <c r="D20" s="607"/>
      <c r="E20" s="607"/>
      <c r="F20" s="608">
        <f>'数据-取费表'!B37</f>
        <v>1.4999999999999999E-2</v>
      </c>
      <c r="G20" s="2613" t="s">
        <v>2526</v>
      </c>
    </row>
    <row r="21" spans="1:7" s="589" customFormat="1" ht="13.5" customHeight="1">
      <c r="A21" s="1795" t="s">
        <v>2517</v>
      </c>
      <c r="B21" s="585" t="s">
        <v>840</v>
      </c>
      <c r="C21" s="610">
        <f>F21</f>
        <v>2.5000000000000001E-2</v>
      </c>
      <c r="D21" s="611" t="s">
        <v>861</v>
      </c>
      <c r="E21" s="607"/>
      <c r="F21" s="608">
        <f>'数据-取费表'!B38</f>
        <v>2.5000000000000001E-2</v>
      </c>
      <c r="G21" s="609" t="s">
        <v>841</v>
      </c>
    </row>
    <row r="22" spans="1:7" s="589" customFormat="1" ht="13.5" customHeight="1">
      <c r="A22" s="1795" t="s">
        <v>1918</v>
      </c>
      <c r="B22" s="585" t="s">
        <v>842</v>
      </c>
      <c r="C22" s="2692">
        <f ca="1">ROUND(SUM(C23:C25),0)</f>
        <v>296</v>
      </c>
      <c r="D22" s="610">
        <f ca="1">C26</f>
        <v>6.9999999999999999E-4</v>
      </c>
      <c r="E22" s="611" t="s">
        <v>861</v>
      </c>
      <c r="F22" s="612">
        <f ca="1">'数据-取费表'!B40</f>
        <v>4.7500000000000001E-2</v>
      </c>
      <c r="G22" s="2613" t="str">
        <f>IF('数据-取费表'!B22&lt;=1,"单利计息","复利计息")</f>
        <v>复利计息</v>
      </c>
    </row>
    <row r="23" spans="1:7" s="589" customFormat="1" ht="13.5" customHeight="1">
      <c r="A23" s="1798" t="s">
        <v>1923</v>
      </c>
      <c r="B23" s="590" t="s">
        <v>2519</v>
      </c>
      <c r="C23" s="2693">
        <f ca="1">ROUND(IF('数据-取费表'!B22&lt;=1,C5*F22*'数据-取费表'!B23,C5*(POWER((1+F22),'数据-取费表'!B23)-1)),0)</f>
        <v>294</v>
      </c>
      <c r="D23" s="613"/>
      <c r="E23" s="613"/>
      <c r="F23" s="614"/>
      <c r="G23" s="615" t="s">
        <v>843</v>
      </c>
    </row>
    <row r="24" spans="1:7" s="589" customFormat="1" ht="13.5" customHeight="1">
      <c r="A24" s="1798" t="s">
        <v>1924</v>
      </c>
      <c r="B24" s="590" t="s">
        <v>2514</v>
      </c>
      <c r="C24" s="2693">
        <f ca="1">ROUND(IF('数据-取费表'!B22&lt;=1,C19*F22*('数据-取费表'!B19/2+'数据-取费表'!B21),C19*(POWER((1+F22),('数据-取费表'!B19/2+'数据-取费表'!B21))-1)),0)</f>
        <v>0</v>
      </c>
      <c r="D24" s="613"/>
      <c r="E24" s="613"/>
      <c r="F24" s="614"/>
      <c r="G24" s="615" t="s">
        <v>844</v>
      </c>
    </row>
    <row r="25" spans="1:7" s="589" customFormat="1" ht="24">
      <c r="A25" s="1798" t="s">
        <v>1925</v>
      </c>
      <c r="B25" s="590" t="s">
        <v>2516</v>
      </c>
      <c r="C25" s="2693">
        <f ca="1">ROUND(IF('数据-取费表'!B22&lt;=1,C20*F22*'数据-取费表'!B23/2,C20*(POWER((1+F22),'数据-取费表'!B23/2)-1)),0)</f>
        <v>2</v>
      </c>
      <c r="D25" s="613"/>
      <c r="E25" s="616"/>
      <c r="F25" s="614"/>
      <c r="G25" s="617" t="s">
        <v>845</v>
      </c>
    </row>
    <row r="26" spans="1:7" s="589" customFormat="1">
      <c r="A26" s="1798" t="s">
        <v>1927</v>
      </c>
      <c r="B26" s="590" t="s">
        <v>2518</v>
      </c>
      <c r="C26" s="613">
        <f ca="1">ROUND(IF('数据-取费表'!B22&lt;=1,F21*F22*'数据-取费表'!B23/2,F21*(POWER((1+F22),'数据-取费表'!B23/2)-1)),4)</f>
        <v>6.9999999999999999E-4</v>
      </c>
      <c r="D26" s="613"/>
      <c r="E26" s="616"/>
      <c r="F26" s="614"/>
      <c r="G26" s="618"/>
    </row>
    <row r="27" spans="1:7" s="589" customFormat="1" ht="24.75">
      <c r="A27" s="1795" t="s">
        <v>1919</v>
      </c>
      <c r="B27" s="619" t="s">
        <v>847</v>
      </c>
      <c r="C27" s="620">
        <f ca="1">C28</f>
        <v>417</v>
      </c>
      <c r="D27" s="610">
        <f ca="1">C29</f>
        <v>2E-3</v>
      </c>
      <c r="E27" s="611" t="s">
        <v>861</v>
      </c>
      <c r="F27" s="621">
        <f ca="1">IF(B1="",'数据-取费表'!Q16,INDIRECT("'数据-取费表'!q"&amp;$G$1))</f>
        <v>0.1</v>
      </c>
      <c r="G27" s="622" t="s">
        <v>2527</v>
      </c>
    </row>
    <row r="28" spans="1:7" s="589" customFormat="1" ht="13.5" customHeight="1">
      <c r="A28" s="1798" t="s">
        <v>1923</v>
      </c>
      <c r="B28" s="623" t="s">
        <v>2520</v>
      </c>
      <c r="C28" s="624">
        <f ca="1">ROUND((C5+C19+C20)*F27*'数据-取费表'!B21/'数据-取费表'!B20,0)</f>
        <v>417</v>
      </c>
      <c r="D28" s="610"/>
      <c r="E28" s="611"/>
      <c r="F28" s="621"/>
      <c r="G28" s="622"/>
    </row>
    <row r="29" spans="1:7" s="589" customFormat="1" ht="13.5" customHeight="1">
      <c r="A29" s="1798" t="s">
        <v>1924</v>
      </c>
      <c r="B29" s="623" t="s">
        <v>2521</v>
      </c>
      <c r="C29" s="613">
        <f ca="1">ROUND(C21*F27*'数据-取费表'!B21/'数据-取费表'!B20,4)</f>
        <v>2E-3</v>
      </c>
      <c r="D29" s="610"/>
      <c r="E29" s="611"/>
      <c r="F29" s="621"/>
      <c r="G29" s="622"/>
    </row>
    <row r="30" spans="1:7" s="589" customFormat="1" ht="13.5" customHeight="1">
      <c r="A30" s="1795" t="s">
        <v>1920</v>
      </c>
      <c r="B30" s="585" t="s">
        <v>346</v>
      </c>
      <c r="C30" s="610">
        <f>ROUND(F30/(1+'数据-取费表'!C42),4)</f>
        <v>5.33E-2</v>
      </c>
      <c r="D30" s="611" t="s">
        <v>2948</v>
      </c>
      <c r="E30" s="616"/>
      <c r="F30" s="612">
        <f>'数据-取费表'!B41</f>
        <v>5.6000000000000001E-2</v>
      </c>
      <c r="G30" s="2613" t="s">
        <v>2949</v>
      </c>
    </row>
    <row r="31" spans="1:7" ht="16.5" customHeight="1">
      <c r="A31" s="584">
        <v>1</v>
      </c>
      <c r="B31" s="585" t="s">
        <v>863</v>
      </c>
      <c r="C31" s="586">
        <f ca="1">ROUND((C5+C19+C20+C22+C27)/(1-C21-D22-D27-C30),0)</f>
        <v>6448</v>
      </c>
      <c r="D31" s="605"/>
      <c r="E31" s="586"/>
      <c r="F31" s="625"/>
      <c r="G31" s="609" t="s">
        <v>2528</v>
      </c>
    </row>
    <row r="32" spans="1:7" s="583" customFormat="1" ht="15.75">
      <c r="A32" s="627" t="s">
        <v>849</v>
      </c>
      <c r="B32" s="628"/>
      <c r="C32" s="628"/>
      <c r="D32" s="628"/>
      <c r="E32" s="628"/>
      <c r="F32" s="628"/>
      <c r="G32" s="629"/>
    </row>
    <row r="33" spans="1:7" s="589" customFormat="1" ht="13.5" customHeight="1">
      <c r="A33" s="630" t="s">
        <v>1914</v>
      </c>
      <c r="B33" s="585" t="s">
        <v>850</v>
      </c>
      <c r="C33" s="631">
        <f ca="1">SUM(C34:C38)</f>
        <v>8321</v>
      </c>
      <c r="D33" s="607"/>
      <c r="E33" s="587"/>
      <c r="F33" s="616"/>
      <c r="G33" s="609"/>
    </row>
    <row r="34" spans="1:7" s="633" customFormat="1" ht="13.5" customHeight="1">
      <c r="A34" s="1798" t="s">
        <v>1923</v>
      </c>
      <c r="B34" s="590" t="s">
        <v>347</v>
      </c>
      <c r="C34" s="595">
        <f ca="1">IF(B1="",IF(F34=100%,'数据-取费表'!M16,'数据-取费表'!O16),IF(F34=100%,INDIRECT("'数据-取费表'!m"&amp;$G$1)+INDIRECT("'数据-取费表'!t"&amp;$G$1),INDIRECT("'数据-取费表'!o"&amp;$G$1)+INDIRECT("'数据-取费表'!aq"&amp;$G$1)))</f>
        <v>6964</v>
      </c>
      <c r="D34" s="592"/>
      <c r="E34" s="595"/>
      <c r="F34" s="632">
        <f ca="1">IF('数据-取费表'!B24=0,1,IF(B1="",'数据-取费表'!N16,INDIRECT("'数据-取费表'!n"&amp;$G$1)))</f>
        <v>0.79100000000000004</v>
      </c>
      <c r="G34" s="594" t="s">
        <v>851</v>
      </c>
    </row>
    <row r="35" spans="1:7" ht="13.5" customHeight="1">
      <c r="A35" s="1798" t="s">
        <v>1928</v>
      </c>
      <c r="B35" s="590" t="s">
        <v>348</v>
      </c>
      <c r="C35" s="595">
        <f ca="1">ROUND(C34*F35,0)</f>
        <v>209</v>
      </c>
      <c r="D35" s="595"/>
      <c r="E35" s="595"/>
      <c r="F35" s="634">
        <f>'数据-取费表'!B33</f>
        <v>0.03</v>
      </c>
      <c r="G35" s="594" t="s">
        <v>852</v>
      </c>
    </row>
    <row r="36" spans="1:7" ht="24">
      <c r="A36" s="1798" t="s">
        <v>1929</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0.05</v>
      </c>
      <c r="G36" s="635" t="s">
        <v>350</v>
      </c>
    </row>
    <row r="37" spans="1:7" s="633" customFormat="1" ht="13.5" customHeight="1">
      <c r="A37" s="1798" t="s">
        <v>1930</v>
      </c>
      <c r="B37" s="590" t="s">
        <v>853</v>
      </c>
      <c r="C37" s="624">
        <f ca="1">ROUND(E37*D37*F34/10000,0)</f>
        <v>1044</v>
      </c>
      <c r="D37" s="592">
        <f ca="1">D19</f>
        <v>88021.11</v>
      </c>
      <c r="E37" s="624">
        <f>'数据-取费表'!B35</f>
        <v>150</v>
      </c>
      <c r="F37" s="634"/>
      <c r="G37" s="636" t="s">
        <v>854</v>
      </c>
    </row>
    <row r="38" spans="1:7" ht="13.5" customHeight="1">
      <c r="A38" s="1798" t="s">
        <v>1931</v>
      </c>
      <c r="B38" s="590" t="s">
        <v>351</v>
      </c>
      <c r="C38" s="595">
        <f ca="1">ROUND(C34*F38,0)</f>
        <v>104</v>
      </c>
      <c r="D38" s="595"/>
      <c r="E38" s="595"/>
      <c r="F38" s="634">
        <f>'数据-取费表'!B36</f>
        <v>1.4999999999999999E-2</v>
      </c>
      <c r="G38" s="594" t="s">
        <v>852</v>
      </c>
    </row>
    <row r="39" spans="1:7" s="589" customFormat="1" ht="13.5" customHeight="1">
      <c r="A39" s="1795" t="s">
        <v>1915</v>
      </c>
      <c r="B39" s="585" t="s">
        <v>839</v>
      </c>
      <c r="C39" s="607">
        <f ca="1">ROUND(C33*F20,0)</f>
        <v>125</v>
      </c>
      <c r="D39" s="607"/>
      <c r="E39" s="607"/>
      <c r="F39" s="608"/>
      <c r="G39" s="2613" t="s">
        <v>2529</v>
      </c>
    </row>
    <row r="40" spans="1:7" s="589" customFormat="1" ht="13.5" customHeight="1">
      <c r="A40" s="1795" t="s">
        <v>1916</v>
      </c>
      <c r="B40" s="585" t="s">
        <v>840</v>
      </c>
      <c r="C40" s="3232">
        <f>F21</f>
        <v>2.5000000000000001E-2</v>
      </c>
      <c r="D40" s="611" t="s">
        <v>864</v>
      </c>
      <c r="E40" s="607"/>
      <c r="F40" s="608"/>
      <c r="G40" s="609" t="s">
        <v>855</v>
      </c>
    </row>
    <row r="41" spans="1:7" s="589" customFormat="1" ht="13.5" customHeight="1">
      <c r="A41" s="1795" t="s">
        <v>1917</v>
      </c>
      <c r="B41" s="585" t="s">
        <v>842</v>
      </c>
      <c r="C41" s="607">
        <f ca="1">ROUND(SUM(C42:C43),0)</f>
        <v>239</v>
      </c>
      <c r="D41" s="610">
        <f ca="1">C44</f>
        <v>6.9999999999999999E-4</v>
      </c>
      <c r="E41" s="611" t="s">
        <v>864</v>
      </c>
      <c r="F41" s="612"/>
      <c r="G41" s="2613" t="str">
        <f>IF('数据-取费表'!B22&lt;=1,"单利计息","复利计息")</f>
        <v>复利计息</v>
      </c>
    </row>
    <row r="42" spans="1:7" ht="13.5" customHeight="1">
      <c r="A42" s="1798" t="s">
        <v>1923</v>
      </c>
      <c r="B42" s="590" t="s">
        <v>2519</v>
      </c>
      <c r="C42" s="613">
        <f ca="1">ROUND(IF('数据-取费表'!B22&lt;=1,C33*F22*'数据-取费表'!B21/2,C33*(POWER((1+F22),'数据-取费表'!B21/2)-1)),0)</f>
        <v>235</v>
      </c>
      <c r="D42" s="613"/>
      <c r="E42" s="613"/>
      <c r="F42" s="614"/>
      <c r="G42" s="3597" t="s">
        <v>856</v>
      </c>
    </row>
    <row r="43" spans="1:7" ht="13.5" customHeight="1">
      <c r="A43" s="1798" t="s">
        <v>1924</v>
      </c>
      <c r="B43" s="590" t="s">
        <v>2522</v>
      </c>
      <c r="C43" s="613">
        <f ca="1">ROUND(IF('数据-取费表'!B22&lt;=1,C39*F22*'数据-取费表'!B21/2,C39*(POWER((1+F22),'数据-取费表'!B21/2)-1)),0)</f>
        <v>4</v>
      </c>
      <c r="D43" s="613"/>
      <c r="E43" s="613"/>
      <c r="F43" s="614"/>
      <c r="G43" s="3598"/>
    </row>
    <row r="44" spans="1:7" ht="13.5" customHeight="1">
      <c r="A44" s="1798" t="s">
        <v>1925</v>
      </c>
      <c r="B44" s="590" t="s">
        <v>2524</v>
      </c>
      <c r="C44" s="613">
        <f ca="1">ROUND(IF('数据-取费表'!B22&lt;=1,C40*F22*'数据-取费表'!B21/2,C40*(POWER((1+F22),'数据-取费表'!B21/2)-1)),4)</f>
        <v>6.9999999999999999E-4</v>
      </c>
      <c r="D44" s="613"/>
      <c r="E44" s="613"/>
      <c r="F44" s="614"/>
      <c r="G44" s="3599"/>
    </row>
    <row r="45" spans="1:7" s="589" customFormat="1" ht="13.5" customHeight="1">
      <c r="A45" s="1795" t="s">
        <v>1918</v>
      </c>
      <c r="B45" s="619" t="s">
        <v>847</v>
      </c>
      <c r="C45" s="620">
        <f ca="1">C46</f>
        <v>845</v>
      </c>
      <c r="D45" s="610">
        <f ca="1">C47</f>
        <v>2.5000000000000001E-3</v>
      </c>
      <c r="E45" s="611" t="s">
        <v>864</v>
      </c>
      <c r="F45" s="621"/>
      <c r="G45" s="622" t="s">
        <v>2530</v>
      </c>
    </row>
    <row r="46" spans="1:7" s="589" customFormat="1" ht="13.5" customHeight="1">
      <c r="A46" s="1798" t="s">
        <v>1923</v>
      </c>
      <c r="B46" s="623" t="s">
        <v>2523</v>
      </c>
      <c r="C46" s="624">
        <f ca="1">ROUND((C33+C39)*F27,0)</f>
        <v>845</v>
      </c>
      <c r="D46" s="638"/>
      <c r="E46" s="611"/>
      <c r="F46" s="621"/>
      <c r="G46" s="622"/>
    </row>
    <row r="47" spans="1:7" s="589" customFormat="1" ht="13.5" customHeight="1">
      <c r="A47" s="1798" t="s">
        <v>1924</v>
      </c>
      <c r="B47" s="623" t="s">
        <v>2525</v>
      </c>
      <c r="C47" s="613">
        <f ca="1">ROUND(C40*F27,4)</f>
        <v>2.5000000000000001E-3</v>
      </c>
      <c r="D47" s="638"/>
      <c r="E47" s="611"/>
      <c r="F47" s="621"/>
      <c r="G47" s="622"/>
    </row>
    <row r="48" spans="1:7" s="589" customFormat="1" ht="13.5" customHeight="1">
      <c r="A48" s="1795" t="s">
        <v>1919</v>
      </c>
      <c r="B48" s="585" t="s">
        <v>857</v>
      </c>
      <c r="C48" s="3232">
        <f>ROUND(F30/(1+'数据-取费表'!C42),4)</f>
        <v>5.33E-2</v>
      </c>
      <c r="D48" s="611" t="s">
        <v>2950</v>
      </c>
      <c r="E48" s="607"/>
      <c r="F48" s="612"/>
      <c r="G48" s="2613" t="s">
        <v>2951</v>
      </c>
    </row>
    <row r="49" spans="1:7" ht="16.5" customHeight="1">
      <c r="A49" s="1795" t="s">
        <v>1920</v>
      </c>
      <c r="B49" s="585" t="s">
        <v>866</v>
      </c>
      <c r="C49" s="607">
        <f ca="1">ROUND((C33+C39+C41+C45)/(1-C40-D41-D45-C48),0)</f>
        <v>10376</v>
      </c>
      <c r="D49" s="607"/>
      <c r="E49" s="607"/>
      <c r="F49" s="639"/>
      <c r="G49" s="609" t="s">
        <v>2531</v>
      </c>
    </row>
    <row r="50" spans="1:7" s="633" customFormat="1" ht="24">
      <c r="A50" s="1795" t="s">
        <v>1921</v>
      </c>
      <c r="B50" s="585" t="s">
        <v>859</v>
      </c>
      <c r="C50" s="607"/>
      <c r="D50" s="607"/>
      <c r="E50" s="607"/>
      <c r="F50" s="639">
        <f>IF('数据-取费表'!B24=0,'数据-取费表'!N16,1)</f>
        <v>1</v>
      </c>
      <c r="G50" s="622" t="s">
        <v>860</v>
      </c>
    </row>
    <row r="51" spans="1:7" ht="16.5" customHeight="1">
      <c r="A51" s="1795" t="s">
        <v>1922</v>
      </c>
      <c r="B51" s="585" t="s">
        <v>867</v>
      </c>
      <c r="C51" s="607">
        <f ca="1">ROUND(C49*F50,0)</f>
        <v>10376</v>
      </c>
      <c r="D51" s="607"/>
      <c r="E51" s="607"/>
      <c r="F51" s="639"/>
      <c r="G51" s="609" t="s">
        <v>352</v>
      </c>
    </row>
    <row r="52" spans="1:7" s="583" customFormat="1" ht="16.5" thickBot="1">
      <c r="A52" s="640" t="s">
        <v>353</v>
      </c>
      <c r="B52" s="641"/>
      <c r="C52" s="642">
        <f ca="1">C31+C51</f>
        <v>16824</v>
      </c>
      <c r="D52" s="641"/>
      <c r="E52" s="641"/>
      <c r="F52" s="641"/>
      <c r="G52" s="643"/>
    </row>
    <row r="55" spans="1:7" ht="15">
      <c r="B55" s="645" t="s">
        <v>354</v>
      </c>
      <c r="C55" s="646"/>
    </row>
    <row r="56" spans="1:7">
      <c r="B56" s="2868" t="s">
        <v>2706</v>
      </c>
      <c r="C56" s="650">
        <f ca="1">1-C57</f>
        <v>0.38300000000000001</v>
      </c>
    </row>
    <row r="57" spans="1:7">
      <c r="B57" s="2868" t="s">
        <v>2705</v>
      </c>
      <c r="C57" s="649">
        <f ca="1">ROUND(C51/C52,3)</f>
        <v>0.61699999999999999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12" sqref="B12"/>
    </sheetView>
  </sheetViews>
  <sheetFormatPr defaultRowHeight="13.5"/>
  <cols>
    <col min="1" max="1" width="3.5" style="1881" customWidth="1"/>
    <col min="2" max="9" width="10" style="1881" customWidth="1"/>
    <col min="10" max="16384" width="9" style="1881"/>
  </cols>
  <sheetData>
    <row r="36" spans="1:9">
      <c r="A36" s="1880" t="s">
        <v>1964</v>
      </c>
      <c r="B36" s="1880" t="s">
        <v>1965</v>
      </c>
    </row>
    <row r="37" spans="1:9" ht="27.75" customHeight="1">
      <c r="A37" s="1880"/>
      <c r="B37" s="3403" t="str">
        <f>项目基本情况!B1</f>
        <v>出让国有建设用地使用权及在建建筑物房地产市场价值预评估</v>
      </c>
      <c r="C37" s="3403"/>
      <c r="D37" s="3403"/>
      <c r="E37" s="3403"/>
      <c r="F37" s="3403"/>
      <c r="G37" s="3403"/>
      <c r="H37" s="3403"/>
      <c r="I37" s="3403"/>
    </row>
    <row r="38" spans="1:9">
      <c r="A38" s="1882"/>
      <c r="B38" s="1882"/>
    </row>
    <row r="39" spans="1:9">
      <c r="A39" s="1880" t="s">
        <v>1964</v>
      </c>
      <c r="B39" s="1880" t="s">
        <v>1966</v>
      </c>
    </row>
    <row r="40" spans="1:9">
      <c r="A40" s="1880"/>
      <c r="B40" s="1880">
        <f>项目基本情况!B5</f>
        <v>0</v>
      </c>
    </row>
    <row r="41" spans="1:9">
      <c r="A41" s="1880"/>
      <c r="B41" s="1880"/>
    </row>
    <row r="42" spans="1:9">
      <c r="A42" s="1880" t="s">
        <v>1964</v>
      </c>
      <c r="B42" s="1880" t="s">
        <v>1967</v>
      </c>
    </row>
    <row r="43" spans="1:9">
      <c r="A43" s="1880"/>
      <c r="B43" s="1880" t="s">
        <v>1968</v>
      </c>
    </row>
    <row r="44" spans="1:9">
      <c r="A44" s="1880"/>
      <c r="B44" s="1880"/>
    </row>
    <row r="45" spans="1:9">
      <c r="A45" s="1880" t="s">
        <v>1964</v>
      </c>
      <c r="B45" s="1880" t="s">
        <v>1969</v>
      </c>
    </row>
    <row r="46" spans="1:9" s="1880" customFormat="1" ht="12.75">
      <c r="B46" s="1880" t="str">
        <f>项目基本情况!K4</f>
        <v>（注册号：0)、（注册号：0)</v>
      </c>
    </row>
    <row r="47" spans="1:9">
      <c r="A47" s="1880"/>
      <c r="B47" s="1880" t="str">
        <f>项目基本情况!K5</f>
        <v/>
      </c>
    </row>
    <row r="48" spans="1:9">
      <c r="A48" s="1880" t="s">
        <v>1964</v>
      </c>
      <c r="B48" s="1880" t="s">
        <v>1970</v>
      </c>
    </row>
    <row r="49" spans="2:2">
      <c r="B49" s="188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818</v>
      </c>
      <c r="B1" s="2745"/>
      <c r="C1" s="2750" t="s">
        <v>2636</v>
      </c>
      <c r="D1" s="573"/>
      <c r="E1" s="573"/>
      <c r="F1" s="573"/>
      <c r="G1" s="2746">
        <f>MATCH(B1,'数据-取费表'!A6:A16,0)+5</f>
        <v>6</v>
      </c>
      <c r="H1" s="2577" t="str">
        <f>IF(ISERROR(FIND("住宅",B1)),"非住宅","住宅")</f>
        <v>非住宅</v>
      </c>
    </row>
    <row r="2" spans="1:8" s="575" customFormat="1" ht="18" customHeight="1">
      <c r="A2" s="576" t="s">
        <v>343</v>
      </c>
      <c r="B2" s="577">
        <f ca="1">ROUND(IF(D2="——",C52/10000,C52/10000-E2),0)</f>
        <v>16597</v>
      </c>
      <c r="C2" s="85" t="s">
        <v>868</v>
      </c>
      <c r="D2" s="2866" t="s">
        <v>529</v>
      </c>
      <c r="E2" s="2864" t="e">
        <f ca="1">SUMIF(INDIRECT("'"&amp;G2&amp;"'"&amp;"!A:A"),"承租人权益价值",INDIRECT("'"&amp;G2&amp;"'"&amp;"!c:c"))</f>
        <v>#REF!</v>
      </c>
      <c r="F2" s="2862" t="s">
        <v>868</v>
      </c>
      <c r="G2" s="2865"/>
    </row>
    <row r="3" spans="1:8" s="575" customFormat="1" ht="18" customHeight="1" thickBot="1">
      <c r="A3" s="578" t="s">
        <v>344</v>
      </c>
      <c r="B3" s="579">
        <f ca="1">ROUND(B2*10000/(IF(B1="",'数据-汇总表'!E3,INDIRECT("'数据-取费表'!k"&amp;$G$1))),0)</f>
        <v>1886</v>
      </c>
      <c r="C3" s="85" t="s">
        <v>869</v>
      </c>
      <c r="D3" s="574"/>
      <c r="E3" s="574"/>
      <c r="F3" s="574"/>
      <c r="G3" s="574"/>
    </row>
    <row r="4" spans="1:8" s="583" customFormat="1" ht="15.75">
      <c r="A4" s="580" t="s">
        <v>821</v>
      </c>
      <c r="B4" s="581"/>
      <c r="C4" s="581"/>
      <c r="D4" s="581"/>
      <c r="E4" s="581"/>
      <c r="F4" s="581"/>
      <c r="G4" s="582"/>
    </row>
    <row r="5" spans="1:8" s="589" customFormat="1" ht="13.5" customHeight="1">
      <c r="A5" s="630" t="s">
        <v>1914</v>
      </c>
      <c r="B5" s="585" t="s">
        <v>822</v>
      </c>
      <c r="C5" s="586">
        <f ca="1">C6+C7+C8</f>
        <v>13027124</v>
      </c>
      <c r="D5" s="586" t="s">
        <v>823</v>
      </c>
      <c r="E5" s="587" t="s">
        <v>824</v>
      </c>
      <c r="F5" s="587" t="s">
        <v>825</v>
      </c>
      <c r="G5" s="588"/>
    </row>
    <row r="6" spans="1:8" s="589" customFormat="1" ht="13.5" customHeight="1">
      <c r="A6" s="1796" t="s">
        <v>1923</v>
      </c>
      <c r="B6" s="590" t="s">
        <v>826</v>
      </c>
      <c r="C6" s="591"/>
      <c r="D6" s="592"/>
      <c r="E6" s="593"/>
      <c r="F6" s="593"/>
      <c r="G6" s="594"/>
    </row>
    <row r="7" spans="1:8" s="589" customFormat="1" ht="13.5" customHeight="1">
      <c r="A7" s="1796" t="s">
        <v>1924</v>
      </c>
      <c r="B7" s="590" t="s">
        <v>345</v>
      </c>
      <c r="C7" s="595">
        <f>ROUND(C6*F7,0)</f>
        <v>0</v>
      </c>
      <c r="D7" s="595"/>
      <c r="E7" s="593"/>
      <c r="F7" s="596">
        <f>'数据-取费表'!B48+'数据-取费表'!B49</f>
        <v>3.0499999999999999E-2</v>
      </c>
      <c r="G7" s="594"/>
    </row>
    <row r="8" spans="1:8" s="598" customFormat="1">
      <c r="A8" s="1796" t="s">
        <v>1925</v>
      </c>
      <c r="B8" s="590" t="s">
        <v>827</v>
      </c>
      <c r="C8" s="595">
        <f ca="1">IF(G8="已包含在土地购买价格中",0,C9+C10)</f>
        <v>13027124</v>
      </c>
      <c r="D8" s="597"/>
      <c r="E8" s="595"/>
      <c r="F8" s="596"/>
      <c r="G8" s="84"/>
    </row>
    <row r="9" spans="1:8" s="589" customFormat="1" ht="13.5" customHeight="1">
      <c r="A9" s="1797" t="s">
        <v>1932</v>
      </c>
      <c r="B9" s="599" t="s">
        <v>828</v>
      </c>
      <c r="C9" s="600">
        <f ca="1">ROUND(D9*E9,0)</f>
        <v>0</v>
      </c>
      <c r="D9" s="1901">
        <f ca="1">IF(B1="",'数据-汇总表'!E5,IF(INDIRECT("'数据-取费表'!c"&amp;$G$1)="住宅",INDIRECT("'数据-取费表'!k"&amp;$G$1),0))</f>
        <v>0</v>
      </c>
      <c r="E9" s="600">
        <f>'数据-取费表'!B27</f>
        <v>0</v>
      </c>
      <c r="F9" s="596"/>
      <c r="G9" s="601"/>
    </row>
    <row r="10" spans="1:8" s="589" customFormat="1" ht="13.5" customHeight="1">
      <c r="A10" s="1797" t="s">
        <v>1933</v>
      </c>
      <c r="B10" s="599" t="s">
        <v>829</v>
      </c>
      <c r="C10" s="600">
        <f ca="1">ROUND(D10*E10,0)</f>
        <v>13027124</v>
      </c>
      <c r="D10" s="1901">
        <f ca="1">IF(B1="",'数据-汇总表'!E6,IF(INDIRECT("'数据-取费表'!c"&amp;$G$1)="住宅",INDIRECT("'数据-取费表'!s"&amp;$G$1),INDIRECT("'数据-取费表'!k"&amp;$G$1)+INDIRECT("'数据-取费表'!s"&amp;$G$1)))</f>
        <v>88021.11</v>
      </c>
      <c r="E10" s="600">
        <f>'数据-取费表'!B28</f>
        <v>148</v>
      </c>
      <c r="F10" s="596"/>
      <c r="G10" s="601"/>
    </row>
    <row r="11" spans="1:8" s="589" customFormat="1" ht="13.5" hidden="1" customHeight="1">
      <c r="A11" s="602" t="s">
        <v>42</v>
      </c>
      <c r="B11" s="590" t="s">
        <v>830</v>
      </c>
      <c r="C11" s="586"/>
      <c r="D11" s="1903"/>
      <c r="E11" s="593"/>
      <c r="F11" s="593"/>
      <c r="G11" s="594"/>
    </row>
    <row r="12" spans="1:8" s="589" customFormat="1" ht="13.5" hidden="1" customHeight="1">
      <c r="A12" s="602" t="s">
        <v>43</v>
      </c>
      <c r="B12" s="590" t="s">
        <v>831</v>
      </c>
      <c r="C12" s="586">
        <v>0</v>
      </c>
      <c r="D12" s="1903"/>
      <c r="E12" s="603"/>
      <c r="F12" s="596">
        <v>3.0499999999999999E-2</v>
      </c>
      <c r="G12" s="594"/>
    </row>
    <row r="13" spans="1:8" s="589" customFormat="1" ht="13.5" hidden="1" customHeight="1">
      <c r="A13" s="602" t="s">
        <v>44</v>
      </c>
      <c r="B13" s="590" t="s">
        <v>832</v>
      </c>
      <c r="C13" s="586"/>
      <c r="D13" s="1903"/>
      <c r="E13" s="593"/>
      <c r="F13" s="593"/>
      <c r="G13" s="594"/>
    </row>
    <row r="14" spans="1:8" s="589" customFormat="1" ht="13.5" hidden="1" customHeight="1">
      <c r="A14" s="602" t="s">
        <v>45</v>
      </c>
      <c r="B14" s="590" t="s">
        <v>827</v>
      </c>
      <c r="C14" s="586"/>
      <c r="D14" s="1903"/>
      <c r="E14" s="593"/>
      <c r="F14" s="593"/>
      <c r="G14" s="594" t="s">
        <v>833</v>
      </c>
    </row>
    <row r="15" spans="1:8" s="589" customFormat="1" ht="13.5" hidden="1" customHeight="1">
      <c r="A15" s="602" t="s">
        <v>46</v>
      </c>
      <c r="B15" s="590" t="s">
        <v>834</v>
      </c>
      <c r="C15" s="595"/>
      <c r="D15" s="1903"/>
      <c r="E15" s="593"/>
      <c r="F15" s="593"/>
      <c r="G15" s="594" t="s">
        <v>835</v>
      </c>
    </row>
    <row r="16" spans="1:8"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1915</v>
      </c>
      <c r="B19" s="585" t="s">
        <v>846</v>
      </c>
      <c r="C19" s="586">
        <f ca="1">IF(G19="已包含在土地取得成本中","0",ROUND(D19*E19,0))</f>
        <v>13203167</v>
      </c>
      <c r="D19" s="1905">
        <f ca="1">D9+D10</f>
        <v>88021.11</v>
      </c>
      <c r="E19" s="586">
        <f>'数据-取费表'!B31</f>
        <v>150</v>
      </c>
      <c r="F19" s="606"/>
      <c r="G19" s="84"/>
    </row>
    <row r="20" spans="1:7" s="589" customFormat="1" ht="13.5" customHeight="1">
      <c r="A20" s="1795" t="s">
        <v>1916</v>
      </c>
      <c r="B20" s="585" t="s">
        <v>839</v>
      </c>
      <c r="C20" s="607">
        <f ca="1">ROUND((C5+C19)*F20,0)</f>
        <v>393454</v>
      </c>
      <c r="D20" s="607"/>
      <c r="E20" s="607"/>
      <c r="F20" s="608">
        <f>'数据-取费表'!B37</f>
        <v>1.4999999999999999E-2</v>
      </c>
      <c r="G20" s="2613" t="s">
        <v>2526</v>
      </c>
    </row>
    <row r="21" spans="1:7" s="589" customFormat="1" ht="13.5" customHeight="1">
      <c r="A21" s="1795" t="s">
        <v>1917</v>
      </c>
      <c r="B21" s="585" t="s">
        <v>840</v>
      </c>
      <c r="C21" s="610">
        <f>F21</f>
        <v>2.5000000000000001E-2</v>
      </c>
      <c r="D21" s="611" t="s">
        <v>861</v>
      </c>
      <c r="E21" s="607"/>
      <c r="F21" s="608">
        <f>'数据-取费表'!B38</f>
        <v>2.5000000000000001E-2</v>
      </c>
      <c r="G21" s="609" t="s">
        <v>841</v>
      </c>
    </row>
    <row r="22" spans="1:7" s="589" customFormat="1" ht="13.5" customHeight="1">
      <c r="A22" s="1795" t="s">
        <v>1918</v>
      </c>
      <c r="B22" s="585" t="s">
        <v>842</v>
      </c>
      <c r="C22" s="2747">
        <f ca="1">ROUND(SUM(C23:C25),0)</f>
        <v>1904864</v>
      </c>
      <c r="D22" s="610">
        <f ca="1">C26</f>
        <v>8.9999999999999998E-4</v>
      </c>
      <c r="E22" s="611" t="s">
        <v>861</v>
      </c>
      <c r="F22" s="612">
        <f ca="1">'数据-取费表'!B40</f>
        <v>4.7500000000000001E-2</v>
      </c>
      <c r="G22" s="2613" t="str">
        <f>IF('数据-取费表'!B22&lt;=1,"单利计息","复利计息")</f>
        <v>复利计息</v>
      </c>
    </row>
    <row r="23" spans="1:7" s="589" customFormat="1" ht="13.5" customHeight="1">
      <c r="A23" s="1798" t="s">
        <v>1923</v>
      </c>
      <c r="B23" s="590" t="s">
        <v>2519</v>
      </c>
      <c r="C23" s="2748">
        <f ca="1">ROUND(IF('数据-取费表'!B22&lt;=1,C5*F22*'数据-取费表'!B22,C5*(POWER((1+F22),'数据-取费表'!B22)-1)),0)</f>
        <v>939119</v>
      </c>
      <c r="D23" s="613"/>
      <c r="E23" s="613"/>
      <c r="F23" s="614"/>
      <c r="G23" s="615" t="s">
        <v>843</v>
      </c>
    </row>
    <row r="24" spans="1:7" s="589" customFormat="1" ht="13.5" customHeight="1">
      <c r="A24" s="1798" t="s">
        <v>1924</v>
      </c>
      <c r="B24" s="590" t="s">
        <v>2514</v>
      </c>
      <c r="C24" s="2748">
        <f ca="1">ROUND(IF('数据-取费表'!B22&lt;=1,C19*F22*('数据-取费表'!B19/2+'数据-取费表'!B20),C19*(POWER((1+F22),('数据-取费表'!B19/2+'数据-取费表'!B20))-1)),0)</f>
        <v>951810</v>
      </c>
      <c r="D24" s="613"/>
      <c r="E24" s="613"/>
      <c r="F24" s="614"/>
      <c r="G24" s="615" t="s">
        <v>844</v>
      </c>
    </row>
    <row r="25" spans="1:7" s="589" customFormat="1" ht="24">
      <c r="A25" s="1798" t="s">
        <v>1925</v>
      </c>
      <c r="B25" s="590" t="s">
        <v>2516</v>
      </c>
      <c r="C25" s="2748">
        <f ca="1">ROUND(IF('数据-取费表'!B22&lt;=1,C20*F22*'数据-取费表'!B22/2,C20*(POWER((1+F22),'数据-取费表'!B22/2)-1)),0)</f>
        <v>13935</v>
      </c>
      <c r="D25" s="613"/>
      <c r="E25" s="616"/>
      <c r="F25" s="614"/>
      <c r="G25" s="617" t="s">
        <v>845</v>
      </c>
    </row>
    <row r="26" spans="1:7" s="589" customFormat="1">
      <c r="A26" s="1798" t="s">
        <v>1927</v>
      </c>
      <c r="B26" s="590" t="s">
        <v>2518</v>
      </c>
      <c r="C26" s="613">
        <f ca="1">ROUND(IF('数据-取费表'!B22&lt;=1,F21*F22*'数据-取费表'!B22/2,F21*(POWER((1+F22),'数据-取费表'!B22/2)-1)),4)</f>
        <v>8.9999999999999998E-4</v>
      </c>
      <c r="D26" s="613"/>
      <c r="E26" s="616"/>
      <c r="F26" s="614"/>
      <c r="G26" s="618"/>
    </row>
    <row r="27" spans="1:7" s="589" customFormat="1" ht="24.75">
      <c r="A27" s="1795" t="s">
        <v>1919</v>
      </c>
      <c r="B27" s="619" t="s">
        <v>847</v>
      </c>
      <c r="C27" s="620">
        <f ca="1">C28</f>
        <v>2662375</v>
      </c>
      <c r="D27" s="610">
        <f ca="1">C29</f>
        <v>2.5000000000000001E-3</v>
      </c>
      <c r="E27" s="611" t="s">
        <v>861</v>
      </c>
      <c r="F27" s="621">
        <f ca="1">IF(B1="",'数据-取费表'!Q16,INDIRECT("'数据-取费表'!q"&amp;$G$1))</f>
        <v>0.1</v>
      </c>
      <c r="G27" s="622" t="s">
        <v>2527</v>
      </c>
    </row>
    <row r="28" spans="1:7" s="589" customFormat="1" ht="13.5" customHeight="1">
      <c r="A28" s="1798" t="s">
        <v>1923</v>
      </c>
      <c r="B28" s="623" t="s">
        <v>2520</v>
      </c>
      <c r="C28" s="624">
        <f ca="1">ROUND((C5+C19+C20)*F27,0)</f>
        <v>2662375</v>
      </c>
      <c r="D28" s="610"/>
      <c r="E28" s="611"/>
      <c r="F28" s="621"/>
      <c r="G28" s="622"/>
    </row>
    <row r="29" spans="1:7" s="589" customFormat="1" ht="13.5" customHeight="1">
      <c r="A29" s="1798" t="s">
        <v>1924</v>
      </c>
      <c r="B29" s="623" t="s">
        <v>2521</v>
      </c>
      <c r="C29" s="613">
        <f ca="1">ROUND(C21*F27,4)</f>
        <v>2.5000000000000001E-3</v>
      </c>
      <c r="D29" s="610"/>
      <c r="E29" s="611"/>
      <c r="F29" s="621"/>
      <c r="G29" s="622"/>
    </row>
    <row r="30" spans="1:7" s="589" customFormat="1" ht="13.5" customHeight="1">
      <c r="A30" s="1795" t="s">
        <v>1920</v>
      </c>
      <c r="B30" s="585" t="s">
        <v>346</v>
      </c>
      <c r="C30" s="610">
        <f>ROUND(F30/(1+'数据-取费表'!C42),4)</f>
        <v>5.33E-2</v>
      </c>
      <c r="D30" s="611" t="s">
        <v>2952</v>
      </c>
      <c r="E30" s="616"/>
      <c r="F30" s="612">
        <f>'数据-取费表'!B41</f>
        <v>5.6000000000000001E-2</v>
      </c>
      <c r="G30" s="2613" t="s">
        <v>2953</v>
      </c>
    </row>
    <row r="31" spans="1:7" ht="16.5" customHeight="1">
      <c r="A31" s="584">
        <v>1</v>
      </c>
      <c r="B31" s="585" t="s">
        <v>863</v>
      </c>
      <c r="C31" s="586">
        <f ca="1">ROUND((C5+C19+C20+C22+C27)/(1-C21-D22-D27-C30),0)</f>
        <v>33966007</v>
      </c>
      <c r="D31" s="605"/>
      <c r="E31" s="586"/>
      <c r="F31" s="625"/>
      <c r="G31" s="609" t="s">
        <v>2528</v>
      </c>
    </row>
    <row r="32" spans="1:7" s="583" customFormat="1" ht="15.75">
      <c r="A32" s="627" t="s">
        <v>2631</v>
      </c>
      <c r="B32" s="628"/>
      <c r="C32" s="628"/>
      <c r="D32" s="628"/>
      <c r="E32" s="628"/>
      <c r="F32" s="628"/>
      <c r="G32" s="629"/>
    </row>
    <row r="33" spans="1:7" s="589" customFormat="1" ht="13.5" customHeight="1">
      <c r="A33" s="630" t="s">
        <v>1914</v>
      </c>
      <c r="B33" s="2749" t="s">
        <v>2632</v>
      </c>
      <c r="C33" s="631">
        <f ca="1">SUM(C34:C38)</f>
        <v>105185227</v>
      </c>
      <c r="D33" s="607"/>
      <c r="E33" s="587"/>
      <c r="F33" s="616"/>
      <c r="G33" s="609"/>
    </row>
    <row r="34" spans="1:7" s="633" customFormat="1" ht="13.5" customHeight="1">
      <c r="A34" s="1798" t="s">
        <v>1923</v>
      </c>
      <c r="B34" s="590" t="s">
        <v>347</v>
      </c>
      <c r="C34" s="595">
        <f ca="1">ROUND(IF(B1="",SUMPRODUCT('数据-取费表'!K6:K14,'数据-取费表'!L6:L14),INDIRECT("'数据-取费表'!l"&amp;$G$1)*INDIRECT("'数据-取费表'!k"&amp;$G$1)+'数据-取费表'!L14*INDIRECT("'数据-取费表'!S"&amp;$G$1)),0)</f>
        <v>88021110</v>
      </c>
      <c r="D34" s="592"/>
      <c r="E34" s="595"/>
      <c r="F34" s="632"/>
      <c r="G34" s="594"/>
    </row>
    <row r="35" spans="1:7" ht="13.5" customHeight="1">
      <c r="A35" s="1798" t="s">
        <v>1928</v>
      </c>
      <c r="B35" s="590" t="s">
        <v>348</v>
      </c>
      <c r="C35" s="595">
        <f ca="1">ROUND(C34*F35,0)</f>
        <v>2640633</v>
      </c>
      <c r="D35" s="595"/>
      <c r="E35" s="595"/>
      <c r="F35" s="634">
        <f>'数据-取费表'!B33</f>
        <v>0.03</v>
      </c>
      <c r="G35" s="594" t="s">
        <v>852</v>
      </c>
    </row>
    <row r="36" spans="1:7" ht="24">
      <c r="A36" s="1798" t="s">
        <v>1929</v>
      </c>
      <c r="B36" s="590" t="s">
        <v>349</v>
      </c>
      <c r="C36" s="595">
        <f ca="1">ROUND(IF(B1="",SUM('数据-取费表'!AP6:AP13)*F36,IF(INDIRECT("'数据-取费表'!c"&amp;$G$1)="住宅",INDIRECT("'数据-取费表'!k"&amp;$G$1)*INDIRECT("'数据-取费表'!l"&amp;$G$1)*F36,0)),0)</f>
        <v>0</v>
      </c>
      <c r="D36" s="595"/>
      <c r="E36" s="595"/>
      <c r="F36" s="634">
        <f>'数据-取费表'!B34</f>
        <v>0.05</v>
      </c>
      <c r="G36" s="635" t="s">
        <v>350</v>
      </c>
    </row>
    <row r="37" spans="1:7" s="633" customFormat="1" ht="13.5" customHeight="1">
      <c r="A37" s="1798" t="s">
        <v>1930</v>
      </c>
      <c r="B37" s="590" t="s">
        <v>853</v>
      </c>
      <c r="C37" s="624">
        <f ca="1">ROUND(E37*D37,0)</f>
        <v>13203167</v>
      </c>
      <c r="D37" s="592">
        <f ca="1">D19</f>
        <v>88021.11</v>
      </c>
      <c r="E37" s="624">
        <f>'数据-取费表'!B35</f>
        <v>150</v>
      </c>
      <c r="F37" s="634"/>
      <c r="G37" s="636"/>
    </row>
    <row r="38" spans="1:7" ht="13.5" customHeight="1">
      <c r="A38" s="1798" t="s">
        <v>1931</v>
      </c>
      <c r="B38" s="590" t="s">
        <v>351</v>
      </c>
      <c r="C38" s="595">
        <f ca="1">ROUND(C34*F38,0)</f>
        <v>1320317</v>
      </c>
      <c r="D38" s="595"/>
      <c r="E38" s="595"/>
      <c r="F38" s="634">
        <f>'数据-取费表'!B36</f>
        <v>1.4999999999999999E-2</v>
      </c>
      <c r="G38" s="594" t="s">
        <v>852</v>
      </c>
    </row>
    <row r="39" spans="1:7" s="589" customFormat="1" ht="13.5" customHeight="1">
      <c r="A39" s="1795" t="s">
        <v>1915</v>
      </c>
      <c r="B39" s="585" t="s">
        <v>839</v>
      </c>
      <c r="C39" s="607">
        <f ca="1">ROUND(C33*F20,0)</f>
        <v>1577778</v>
      </c>
      <c r="D39" s="607"/>
      <c r="E39" s="607"/>
      <c r="F39" s="608"/>
      <c r="G39" s="2613" t="s">
        <v>2529</v>
      </c>
    </row>
    <row r="40" spans="1:7" s="589" customFormat="1" ht="13.5" customHeight="1">
      <c r="A40" s="1795" t="s">
        <v>1916</v>
      </c>
      <c r="B40" s="585" t="s">
        <v>840</v>
      </c>
      <c r="C40" s="3232">
        <f>F21</f>
        <v>2.5000000000000001E-2</v>
      </c>
      <c r="D40" s="611" t="s">
        <v>864</v>
      </c>
      <c r="E40" s="607"/>
      <c r="F40" s="608"/>
      <c r="G40" s="609" t="s">
        <v>855</v>
      </c>
    </row>
    <row r="41" spans="1:7" s="589" customFormat="1" ht="13.5" customHeight="1">
      <c r="A41" s="1795" t="s">
        <v>1917</v>
      </c>
      <c r="B41" s="585" t="s">
        <v>842</v>
      </c>
      <c r="C41" s="607">
        <f ca="1">ROUND(SUM(C42:C43),0)</f>
        <v>3781285</v>
      </c>
      <c r="D41" s="610">
        <f ca="1">C44</f>
        <v>8.9999999999999998E-4</v>
      </c>
      <c r="E41" s="611" t="s">
        <v>864</v>
      </c>
      <c r="F41" s="612"/>
      <c r="G41" s="2613" t="str">
        <f>IF('数据-取费表'!B22&lt;=1,"单利计息","复利计息")</f>
        <v>复利计息</v>
      </c>
    </row>
    <row r="42" spans="1:7" ht="13.5" customHeight="1">
      <c r="A42" s="1798" t="s">
        <v>1923</v>
      </c>
      <c r="B42" s="590" t="s">
        <v>2519</v>
      </c>
      <c r="C42" s="613">
        <f ca="1">ROUND(IF('数据-取费表'!B22&lt;=1,C33*F22*'数据-取费表'!B20/2,C33*(POWER((1+F22),'数据-取费表'!B20/2)-1)),0)</f>
        <v>3725404</v>
      </c>
      <c r="D42" s="613"/>
      <c r="E42" s="613"/>
      <c r="F42" s="614"/>
      <c r="G42" s="3600" t="s">
        <v>2635</v>
      </c>
    </row>
    <row r="43" spans="1:7" ht="13.5" customHeight="1">
      <c r="A43" s="1798" t="s">
        <v>1924</v>
      </c>
      <c r="B43" s="590" t="s">
        <v>2514</v>
      </c>
      <c r="C43" s="613">
        <f ca="1">ROUND(IF('数据-取费表'!B22&lt;=1,C39*F22*'数据-取费表'!B20/2,C39*(POWER((1+F22),'数据-取费表'!B20/2)-1)),0)</f>
        <v>55881</v>
      </c>
      <c r="D43" s="613"/>
      <c r="E43" s="613"/>
      <c r="F43" s="614"/>
      <c r="G43" s="3598"/>
    </row>
    <row r="44" spans="1:7" ht="13.5" customHeight="1">
      <c r="A44" s="1798" t="s">
        <v>1925</v>
      </c>
      <c r="B44" s="590" t="s">
        <v>2516</v>
      </c>
      <c r="C44" s="613">
        <f ca="1">ROUND(IF('数据-取费表'!B22&lt;=1,C40*F22*'数据-取费表'!B20/2,C40*(POWER((1+F22),'数据-取费表'!B20/2)-1)),4)</f>
        <v>8.9999999999999998E-4</v>
      </c>
      <c r="D44" s="613"/>
      <c r="E44" s="613"/>
      <c r="F44" s="614"/>
      <c r="G44" s="3599"/>
    </row>
    <row r="45" spans="1:7" s="589" customFormat="1" ht="13.5" customHeight="1">
      <c r="A45" s="1795" t="s">
        <v>1918</v>
      </c>
      <c r="B45" s="619" t="s">
        <v>847</v>
      </c>
      <c r="C45" s="620">
        <f ca="1">C46</f>
        <v>10676301</v>
      </c>
      <c r="D45" s="610">
        <f ca="1">C47</f>
        <v>2.5000000000000001E-3</v>
      </c>
      <c r="E45" s="611" t="s">
        <v>864</v>
      </c>
      <c r="F45" s="621"/>
      <c r="G45" s="622" t="s">
        <v>2530</v>
      </c>
    </row>
    <row r="46" spans="1:7" s="589" customFormat="1" ht="13.5" customHeight="1">
      <c r="A46" s="1798" t="s">
        <v>1923</v>
      </c>
      <c r="B46" s="623" t="s">
        <v>2523</v>
      </c>
      <c r="C46" s="624">
        <f ca="1">ROUND((C33+C39)*F27,0)</f>
        <v>10676301</v>
      </c>
      <c r="D46" s="638"/>
      <c r="E46" s="611"/>
      <c r="F46" s="621"/>
      <c r="G46" s="622"/>
    </row>
    <row r="47" spans="1:7" s="589" customFormat="1" ht="13.5" customHeight="1">
      <c r="A47" s="1798" t="s">
        <v>1924</v>
      </c>
      <c r="B47" s="623" t="s">
        <v>2525</v>
      </c>
      <c r="C47" s="613">
        <f ca="1">ROUND(C40*F27,4)</f>
        <v>2.5000000000000001E-3</v>
      </c>
      <c r="D47" s="638"/>
      <c r="E47" s="611"/>
      <c r="F47" s="621"/>
      <c r="G47" s="622"/>
    </row>
    <row r="48" spans="1:7" s="589" customFormat="1" ht="13.5" customHeight="1">
      <c r="A48" s="1795" t="s">
        <v>1919</v>
      </c>
      <c r="B48" s="585" t="s">
        <v>857</v>
      </c>
      <c r="C48" s="637">
        <f>ROUND(F30/(1+'数据-取费表'!C42),4)</f>
        <v>5.33E-2</v>
      </c>
      <c r="D48" s="611" t="s">
        <v>2950</v>
      </c>
      <c r="E48" s="607"/>
      <c r="F48" s="612"/>
      <c r="G48" s="2613" t="s">
        <v>2951</v>
      </c>
    </row>
    <row r="49" spans="1:7" ht="16.5" customHeight="1">
      <c r="A49" s="1795" t="s">
        <v>1920</v>
      </c>
      <c r="B49" s="585" t="s">
        <v>2633</v>
      </c>
      <c r="C49" s="607">
        <f ca="1">ROUND((C33+C39+C41+C45)/(1-C40-D41-D45-C48),0)</f>
        <v>132005435</v>
      </c>
      <c r="D49" s="607"/>
      <c r="E49" s="607"/>
      <c r="F49" s="639"/>
      <c r="G49" s="609" t="s">
        <v>2531</v>
      </c>
    </row>
    <row r="50" spans="1:7" s="633" customFormat="1">
      <c r="A50" s="1795" t="s">
        <v>1921</v>
      </c>
      <c r="B50" s="585" t="s">
        <v>859</v>
      </c>
      <c r="C50" s="607"/>
      <c r="D50" s="607"/>
      <c r="E50" s="607"/>
      <c r="F50" s="639">
        <f>IF('数据-取费表'!B24=0,'数据-取费表'!N16,1)</f>
        <v>1</v>
      </c>
      <c r="G50" s="622"/>
    </row>
    <row r="51" spans="1:7" ht="16.5" customHeight="1">
      <c r="A51" s="1795" t="s">
        <v>1922</v>
      </c>
      <c r="B51" s="585" t="s">
        <v>2634</v>
      </c>
      <c r="C51" s="607">
        <f ca="1">ROUND(C49*F50,0)</f>
        <v>132005435</v>
      </c>
      <c r="D51" s="607"/>
      <c r="E51" s="607"/>
      <c r="F51" s="639"/>
      <c r="G51" s="609" t="s">
        <v>352</v>
      </c>
    </row>
    <row r="52" spans="1:7" s="583" customFormat="1" ht="16.5" thickBot="1">
      <c r="A52" s="640" t="s">
        <v>353</v>
      </c>
      <c r="B52" s="641"/>
      <c r="C52" s="642">
        <f ca="1">C31+C51</f>
        <v>165971442</v>
      </c>
      <c r="D52" s="641"/>
      <c r="E52" s="641"/>
      <c r="F52" s="641"/>
      <c r="G52" s="643"/>
    </row>
    <row r="55" spans="1:7" ht="15">
      <c r="B55" s="645" t="s">
        <v>354</v>
      </c>
      <c r="C55" s="646"/>
    </row>
    <row r="56" spans="1:7">
      <c r="B56" s="2868" t="s">
        <v>2706</v>
      </c>
      <c r="C56" s="650">
        <f ca="1">1-C57</f>
        <v>0.20499999999999996</v>
      </c>
    </row>
    <row r="57" spans="1:7">
      <c r="B57" s="2868" t="s">
        <v>2705</v>
      </c>
      <c r="C57" s="649">
        <f ca="1">ROUND(C51/C52,3)</f>
        <v>0.79500000000000004</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16" zoomScale="80" zoomScaleNormal="80" workbookViewId="0">
      <selection activeCell="K36" sqref="K36"/>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479</v>
      </c>
      <c r="B1" s="737"/>
      <c r="C1" s="738"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343</v>
      </c>
      <c r="B2" s="1079">
        <f>F61</f>
        <v>4984</v>
      </c>
      <c r="C2" s="2336"/>
      <c r="D2" s="2336"/>
      <c r="E2" s="2336"/>
      <c r="F2" s="2337"/>
      <c r="G2" s="2336"/>
      <c r="H2" s="2336"/>
      <c r="I2" s="2336"/>
      <c r="J2" s="2336"/>
      <c r="K2" s="2338"/>
      <c r="L2" s="2339"/>
      <c r="M2" s="2340"/>
      <c r="N2" s="2340"/>
      <c r="O2" s="2340"/>
      <c r="P2" s="1315"/>
      <c r="Q2" s="1315"/>
      <c r="R2" s="1315"/>
      <c r="S2" s="1315"/>
      <c r="T2" s="1315"/>
      <c r="U2" s="1315"/>
      <c r="V2" s="1315"/>
      <c r="W2" s="1315"/>
      <c r="X2" s="1315"/>
      <c r="Y2" s="1315"/>
      <c r="Z2" s="1315"/>
      <c r="AA2" s="1315"/>
      <c r="AB2" s="1315"/>
      <c r="AC2" s="1316"/>
    </row>
    <row r="3" spans="1:29" s="740" customFormat="1" ht="28.5" customHeight="1" thickBot="1">
      <c r="A3" s="578" t="s">
        <v>344</v>
      </c>
      <c r="B3" s="951">
        <f>ROUND(IF(D3="",B2*10000/'数据-汇总表'!E3,B2*10000/D3),0)</f>
        <v>566</v>
      </c>
      <c r="C3" s="578" t="s">
        <v>2894</v>
      </c>
      <c r="D3" s="3050"/>
      <c r="E3" s="2336"/>
      <c r="F3" s="2337"/>
      <c r="G3" s="2336"/>
      <c r="H3" s="2336"/>
      <c r="I3" s="2336"/>
      <c r="J3" s="2336"/>
      <c r="K3" s="2338"/>
      <c r="L3" s="2339"/>
      <c r="M3" s="2340"/>
      <c r="N3" s="2340"/>
      <c r="O3" s="2340"/>
      <c r="P3" s="1315"/>
      <c r="Q3" s="1315"/>
      <c r="R3" s="1315"/>
      <c r="S3" s="1315"/>
      <c r="T3" s="1315"/>
      <c r="U3" s="1315"/>
      <c r="V3" s="1315"/>
      <c r="W3" s="1315"/>
      <c r="X3" s="1315"/>
      <c r="Y3" s="1315"/>
      <c r="Z3" s="1315"/>
      <c r="AA3" s="1315"/>
      <c r="AB3" s="1408"/>
      <c r="AC3" s="1398"/>
    </row>
    <row r="4" spans="1:29" ht="15">
      <c r="A4" s="743" t="s">
        <v>388</v>
      </c>
      <c r="B4" s="744"/>
      <c r="C4" s="3630" t="s">
        <v>389</v>
      </c>
      <c r="D4" s="3631"/>
      <c r="E4" s="3632" t="s">
        <v>390</v>
      </c>
      <c r="F4" s="3633"/>
      <c r="G4" s="3630" t="s">
        <v>391</v>
      </c>
      <c r="H4" s="3631"/>
      <c r="I4" s="3630" t="s">
        <v>392</v>
      </c>
      <c r="J4" s="3631"/>
      <c r="K4" s="952" t="s">
        <v>393</v>
      </c>
      <c r="L4" s="2341"/>
      <c r="M4" s="2342"/>
      <c r="N4" s="2342"/>
      <c r="O4" s="2342"/>
      <c r="P4" s="3634" t="s">
        <v>394</v>
      </c>
      <c r="Q4" s="3635"/>
      <c r="R4" s="3608" t="s">
        <v>390</v>
      </c>
      <c r="S4" s="3609"/>
      <c r="T4" s="3608" t="s">
        <v>391</v>
      </c>
      <c r="U4" s="3609"/>
      <c r="V4" s="3623" t="s">
        <v>392</v>
      </c>
      <c r="W4" s="3623"/>
      <c r="X4" s="1317"/>
      <c r="Y4" s="3608" t="s">
        <v>394</v>
      </c>
      <c r="Z4" s="3609"/>
      <c r="AA4" s="3627" t="s">
        <v>390</v>
      </c>
      <c r="AB4" s="3628" t="s">
        <v>391</v>
      </c>
      <c r="AC4" s="3627" t="s">
        <v>392</v>
      </c>
    </row>
    <row r="5" spans="1:29" ht="15">
      <c r="A5" s="746"/>
      <c r="B5" s="747"/>
      <c r="C5" s="3612" t="s">
        <v>1130</v>
      </c>
      <c r="D5" s="3613"/>
      <c r="E5" s="3640" t="s">
        <v>3236</v>
      </c>
      <c r="F5" s="3641"/>
      <c r="G5" s="3612" t="s">
        <v>3237</v>
      </c>
      <c r="H5" s="3613"/>
      <c r="I5" s="3612" t="s">
        <v>3238</v>
      </c>
      <c r="J5" s="3613"/>
      <c r="K5" s="952"/>
      <c r="L5" s="2341"/>
      <c r="M5" s="2342"/>
      <c r="N5" s="2342"/>
      <c r="O5" s="2342"/>
      <c r="P5" s="3636"/>
      <c r="Q5" s="3637"/>
      <c r="R5" s="3610"/>
      <c r="S5" s="3611"/>
      <c r="T5" s="3610"/>
      <c r="U5" s="3611"/>
      <c r="V5" s="3623"/>
      <c r="W5" s="3623"/>
      <c r="X5" s="1317"/>
      <c r="Y5" s="3610"/>
      <c r="Z5" s="3611"/>
      <c r="AA5" s="3628"/>
      <c r="AB5" s="3628"/>
      <c r="AC5" s="3628"/>
    </row>
    <row r="6" spans="1:29" ht="15.75" thickBot="1">
      <c r="A6" s="748"/>
      <c r="B6" s="749"/>
      <c r="C6" s="3614" t="s">
        <v>1133</v>
      </c>
      <c r="D6" s="3615"/>
      <c r="E6" s="3617" t="str">
        <f>E5</f>
        <v>祥福镇高楼村集体、2组、6组</v>
      </c>
      <c r="F6" s="3618"/>
      <c r="G6" s="3619" t="str">
        <f>G5</f>
        <v>香岛大道以南、鸿泰大道以北</v>
      </c>
      <c r="H6" s="3620"/>
      <c r="I6" s="3619" t="str">
        <f>I5</f>
        <v>货运大道以北、散货东路以东</v>
      </c>
      <c r="J6" s="3620"/>
      <c r="K6" s="952" t="s">
        <v>395</v>
      </c>
      <c r="L6" s="2341"/>
      <c r="M6" s="2342"/>
      <c r="N6" s="2342"/>
      <c r="O6" s="2342"/>
      <c r="P6" s="3638"/>
      <c r="Q6" s="3639"/>
      <c r="R6" s="3610"/>
      <c r="S6" s="3611"/>
      <c r="T6" s="3621"/>
      <c r="U6" s="3622"/>
      <c r="V6" s="3623"/>
      <c r="W6" s="3623"/>
      <c r="X6" s="1317"/>
      <c r="Y6" s="3621"/>
      <c r="Z6" s="3622"/>
      <c r="AA6" s="3629"/>
      <c r="AB6" s="3629"/>
      <c r="AC6" s="3629"/>
    </row>
    <row r="7" spans="1:29" s="406" customFormat="1" ht="15.75" thickBot="1">
      <c r="A7" s="750" t="s">
        <v>396</v>
      </c>
      <c r="B7" s="751"/>
      <c r="C7" s="752">
        <f>'数据-取费表'!B2</f>
        <v>42941</v>
      </c>
      <c r="D7" s="753">
        <v>100</v>
      </c>
      <c r="E7" s="1016">
        <v>42845</v>
      </c>
      <c r="F7" s="755">
        <f>SUMIF(65:65,YEAR(E7)&amp;"-"&amp;INT((MONTH(E7)+2)/3),66:66)</f>
        <v>99.85</v>
      </c>
      <c r="G7" s="1017">
        <v>42845</v>
      </c>
      <c r="H7" s="753">
        <f>SUMIF(65:65,YEAR(G7)&amp;"-"&amp;INT((MONTH(G7)+2)/3),66:66)</f>
        <v>99.85</v>
      </c>
      <c r="I7" s="1017">
        <v>42341</v>
      </c>
      <c r="J7" s="753">
        <f>SUMIF(65:65,YEAR(I7)&amp;"-"&amp;INT((MONTH(I7)+2)/3),66:66)</f>
        <v>98.95</v>
      </c>
      <c r="K7" s="953"/>
      <c r="L7" s="2343"/>
      <c r="M7" s="2344"/>
      <c r="N7" s="2344"/>
      <c r="O7" s="2344"/>
      <c r="P7" s="3606" t="s">
        <v>397</v>
      </c>
      <c r="Q7" s="3616"/>
      <c r="R7" s="1318" t="s">
        <v>65</v>
      </c>
      <c r="S7" s="1319">
        <f t="shared" ref="S7:S15" si="0">F7</f>
        <v>99.85</v>
      </c>
      <c r="T7" s="1318" t="s">
        <v>65</v>
      </c>
      <c r="U7" s="1319">
        <f t="shared" ref="U7:U15" si="1">H7</f>
        <v>99.85</v>
      </c>
      <c r="V7" s="1318" t="s">
        <v>65</v>
      </c>
      <c r="W7" s="1319">
        <f t="shared" ref="W7:W15" si="2">J7</f>
        <v>98.95</v>
      </c>
      <c r="X7" s="1320"/>
      <c r="Y7" s="3606" t="s">
        <v>397</v>
      </c>
      <c r="Z7" s="3607"/>
      <c r="AA7" s="1321">
        <f>D7/F7</f>
        <v>1.0015022533800702</v>
      </c>
      <c r="AB7" s="1321">
        <f>D7/H7</f>
        <v>1.0015022533800702</v>
      </c>
      <c r="AC7" s="1321">
        <f>D7/J7</f>
        <v>1.010611419909045</v>
      </c>
    </row>
    <row r="8" spans="1:29" s="406" customFormat="1" ht="15.75" thickBot="1">
      <c r="A8" s="750" t="s">
        <v>398</v>
      </c>
      <c r="B8" s="751"/>
      <c r="C8" s="1019" t="s">
        <v>155</v>
      </c>
      <c r="D8" s="753">
        <v>100</v>
      </c>
      <c r="E8" s="1019" t="s">
        <v>155</v>
      </c>
      <c r="F8" s="755">
        <f>SUMIF(68:68,E8,69:69)-SUMIF(68:68,C8,69:69)+100</f>
        <v>100</v>
      </c>
      <c r="G8" s="1019" t="s">
        <v>155</v>
      </c>
      <c r="H8" s="753">
        <f>SUMIF(68:68,G8,69:69)-SUMIF(68:68,C8,69:69)+100</f>
        <v>100</v>
      </c>
      <c r="I8" s="1019" t="s">
        <v>155</v>
      </c>
      <c r="J8" s="753">
        <f>SUMIF(68:68,I8,69:69)-SUMIF(68:68,C8,69:69)+100</f>
        <v>100</v>
      </c>
      <c r="K8" s="953"/>
      <c r="L8" s="2343"/>
      <c r="M8" s="2344"/>
      <c r="N8" s="2344"/>
      <c r="O8" s="2344"/>
      <c r="P8" s="3606" t="s">
        <v>433</v>
      </c>
      <c r="Q8" s="3607"/>
      <c r="R8" s="1318" t="s">
        <v>65</v>
      </c>
      <c r="S8" s="1319">
        <f t="shared" si="0"/>
        <v>100</v>
      </c>
      <c r="T8" s="1318" t="s">
        <v>65</v>
      </c>
      <c r="U8" s="1319">
        <f t="shared" si="1"/>
        <v>100</v>
      </c>
      <c r="V8" s="1318" t="s">
        <v>65</v>
      </c>
      <c r="W8" s="1319">
        <f t="shared" si="2"/>
        <v>100</v>
      </c>
      <c r="X8" s="1320"/>
      <c r="Y8" s="3606" t="s">
        <v>433</v>
      </c>
      <c r="Z8" s="3607"/>
      <c r="AA8" s="1321">
        <f t="shared" ref="AA8:AA40" si="3">D8/F8</f>
        <v>1</v>
      </c>
      <c r="AB8" s="1321">
        <f t="shared" ref="AB8:AB40" si="4">D8/H8</f>
        <v>1</v>
      </c>
      <c r="AC8" s="1321">
        <f t="shared" ref="AC8:AC40" si="5">D8/J8</f>
        <v>1</v>
      </c>
    </row>
    <row r="9" spans="1:29" s="406" customFormat="1">
      <c r="A9" s="757" t="s">
        <v>399</v>
      </c>
      <c r="B9" s="361" t="s">
        <v>417</v>
      </c>
      <c r="C9" s="1021" t="s">
        <v>3232</v>
      </c>
      <c r="D9" s="424">
        <v>100</v>
      </c>
      <c r="E9" s="1021" t="s">
        <v>3232</v>
      </c>
      <c r="F9" s="424">
        <f>SUMIF(70:70,E9,71:71)-SUMIF(70:70,C9,71:71)+100</f>
        <v>100</v>
      </c>
      <c r="G9" s="1021" t="s">
        <v>3232</v>
      </c>
      <c r="H9" s="424">
        <f>SUMIF(70:70,G9,71:71)-SUMIF(70:70,C9,71:71)+100</f>
        <v>100</v>
      </c>
      <c r="I9" s="1021" t="s">
        <v>3232</v>
      </c>
      <c r="J9" s="424">
        <f>SUMIF(70:70,I9,71:71)-SUMIF(70:70,C9,71:71)+100</f>
        <v>100</v>
      </c>
      <c r="K9" s="953"/>
      <c r="L9" s="2343"/>
      <c r="M9" s="2344"/>
      <c r="N9" s="2344"/>
      <c r="O9" s="2345"/>
      <c r="P9" s="3642" t="s">
        <v>400</v>
      </c>
      <c r="Q9" s="296" t="str">
        <f t="shared" ref="Q9:Q15" si="6">B9</f>
        <v>用途</v>
      </c>
      <c r="R9" s="1318" t="s">
        <v>65</v>
      </c>
      <c r="S9" s="1319">
        <f t="shared" si="0"/>
        <v>100</v>
      </c>
      <c r="T9" s="1318" t="s">
        <v>65</v>
      </c>
      <c r="U9" s="1319">
        <f t="shared" si="1"/>
        <v>100</v>
      </c>
      <c r="V9" s="1318" t="s">
        <v>65</v>
      </c>
      <c r="W9" s="1319">
        <f t="shared" si="2"/>
        <v>100</v>
      </c>
      <c r="X9" s="1320"/>
      <c r="Y9" s="3495" t="s">
        <v>401</v>
      </c>
      <c r="Z9" s="344" t="str">
        <f t="shared" ref="Z9:Z15" si="7">Q9</f>
        <v>用途</v>
      </c>
      <c r="AA9" s="1321">
        <f t="shared" si="3"/>
        <v>1</v>
      </c>
      <c r="AB9" s="1321">
        <f t="shared" si="4"/>
        <v>1</v>
      </c>
      <c r="AC9" s="1321">
        <f t="shared" si="5"/>
        <v>1</v>
      </c>
    </row>
    <row r="10" spans="1:29" s="769" customFormat="1" ht="27">
      <c r="A10" s="763"/>
      <c r="B10" s="764" t="s">
        <v>402</v>
      </c>
      <c r="C10" s="774">
        <v>48.49</v>
      </c>
      <c r="D10" s="425">
        <v>100</v>
      </c>
      <c r="E10" s="1023">
        <v>50</v>
      </c>
      <c r="F10" s="425">
        <f>ROUND(100/'数据-取费表'!G16,0)</f>
        <v>101</v>
      </c>
      <c r="G10" s="1023">
        <v>50</v>
      </c>
      <c r="H10" s="425">
        <f>ROUND(100/'数据-取费表'!G16,0)</f>
        <v>101</v>
      </c>
      <c r="I10" s="1023">
        <v>50</v>
      </c>
      <c r="J10" s="425">
        <f>ROUND(100/'数据-取费表'!G16,0)</f>
        <v>101</v>
      </c>
      <c r="K10" s="1080"/>
      <c r="L10" s="2346"/>
      <c r="M10" s="2347"/>
      <c r="N10" s="2347"/>
      <c r="O10" s="2348"/>
      <c r="P10" s="3642"/>
      <c r="Q10" s="296" t="str">
        <f t="shared" si="6"/>
        <v>土地使用年限（年）</v>
      </c>
      <c r="R10" s="1318" t="s">
        <v>65</v>
      </c>
      <c r="S10" s="1319">
        <f t="shared" si="0"/>
        <v>101</v>
      </c>
      <c r="T10" s="1318" t="s">
        <v>65</v>
      </c>
      <c r="U10" s="1319">
        <f t="shared" si="1"/>
        <v>101</v>
      </c>
      <c r="V10" s="1318" t="s">
        <v>65</v>
      </c>
      <c r="W10" s="1319">
        <f t="shared" si="2"/>
        <v>101</v>
      </c>
      <c r="X10" s="1320"/>
      <c r="Y10" s="3495"/>
      <c r="Z10" s="344" t="str">
        <f t="shared" si="7"/>
        <v>土地使用年限（年）</v>
      </c>
      <c r="AA10" s="1321">
        <f t="shared" si="3"/>
        <v>0.99009900990099009</v>
      </c>
      <c r="AB10" s="1321">
        <f t="shared" si="4"/>
        <v>0.99009900990099009</v>
      </c>
      <c r="AC10" s="1321">
        <f t="shared" si="5"/>
        <v>0.99009900990099009</v>
      </c>
    </row>
    <row r="11" spans="1:29" ht="15.75" thickBot="1">
      <c r="A11" s="770"/>
      <c r="B11" s="764" t="s">
        <v>403</v>
      </c>
      <c r="C11" s="3402">
        <v>1.21</v>
      </c>
      <c r="D11" s="425">
        <v>100</v>
      </c>
      <c r="E11" s="771">
        <v>1</v>
      </c>
      <c r="F11" s="425">
        <f>LOOKUP(E11,75:75,76:76)-LOOKUP(C11,75:75,76:76)+100</f>
        <v>100</v>
      </c>
      <c r="G11" s="772">
        <v>1</v>
      </c>
      <c r="H11" s="425">
        <f>LOOKUP(G11,75:75,76:76)-LOOKUP(C11,75:75,76:76)+100</f>
        <v>100</v>
      </c>
      <c r="I11" s="771">
        <v>1</v>
      </c>
      <c r="J11" s="425">
        <f>LOOKUP(I11,75:75,76:76)-LOOKUP(C11,75:75,76:76)+100</f>
        <v>100</v>
      </c>
      <c r="K11" s="1081">
        <v>1</v>
      </c>
      <c r="L11" s="2349"/>
      <c r="M11" s="2342"/>
      <c r="N11" s="2342"/>
      <c r="O11" s="2350"/>
      <c r="P11" s="3642"/>
      <c r="Q11" s="296" t="str">
        <f t="shared" si="6"/>
        <v>容积率</v>
      </c>
      <c r="R11" s="1318" t="s">
        <v>65</v>
      </c>
      <c r="S11" s="1319">
        <f t="shared" si="0"/>
        <v>100</v>
      </c>
      <c r="T11" s="1318" t="s">
        <v>65</v>
      </c>
      <c r="U11" s="1319">
        <f t="shared" si="1"/>
        <v>100</v>
      </c>
      <c r="V11" s="1318" t="s">
        <v>65</v>
      </c>
      <c r="W11" s="1319">
        <f t="shared" si="2"/>
        <v>100</v>
      </c>
      <c r="X11" s="1320"/>
      <c r="Y11" s="3495"/>
      <c r="Z11" s="344" t="str">
        <f t="shared" si="7"/>
        <v>容积率</v>
      </c>
      <c r="AA11" s="1321">
        <f t="shared" si="3"/>
        <v>1</v>
      </c>
      <c r="AB11" s="1321">
        <f t="shared" si="4"/>
        <v>1</v>
      </c>
      <c r="AC11" s="1321">
        <f t="shared" si="5"/>
        <v>1</v>
      </c>
    </row>
    <row r="12" spans="1:29" s="406" customFormat="1" ht="15" hidden="1">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3"/>
      <c r="M12" s="2344"/>
      <c r="N12" s="2344"/>
      <c r="O12" s="2345"/>
      <c r="P12" s="3642"/>
      <c r="Q12" s="296">
        <f t="shared" si="6"/>
        <v>111</v>
      </c>
      <c r="R12" s="1318" t="s">
        <v>65</v>
      </c>
      <c r="S12" s="1319">
        <f t="shared" si="0"/>
        <v>100</v>
      </c>
      <c r="T12" s="1318" t="s">
        <v>65</v>
      </c>
      <c r="U12" s="1319">
        <f t="shared" si="1"/>
        <v>100</v>
      </c>
      <c r="V12" s="1318" t="s">
        <v>65</v>
      </c>
      <c r="W12" s="1319">
        <f t="shared" si="2"/>
        <v>100</v>
      </c>
      <c r="X12" s="1320"/>
      <c r="Y12" s="3495"/>
      <c r="Z12" s="344">
        <f t="shared" si="7"/>
        <v>111</v>
      </c>
      <c r="AA12" s="1321">
        <f>D12/F12</f>
        <v>1</v>
      </c>
      <c r="AB12" s="1321">
        <f>D12/H12</f>
        <v>1</v>
      </c>
      <c r="AC12" s="1321">
        <f>D12/J12</f>
        <v>1</v>
      </c>
    </row>
    <row r="13" spans="1:29" ht="15" hidden="1">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1"/>
      <c r="M13" s="2342"/>
      <c r="N13" s="2342"/>
      <c r="O13" s="2350"/>
      <c r="P13" s="3642"/>
      <c r="Q13" s="296">
        <f t="shared" si="6"/>
        <v>111</v>
      </c>
      <c r="R13" s="1318" t="s">
        <v>65</v>
      </c>
      <c r="S13" s="1319">
        <f t="shared" si="0"/>
        <v>100</v>
      </c>
      <c r="T13" s="1318" t="s">
        <v>65</v>
      </c>
      <c r="U13" s="1319">
        <f t="shared" si="1"/>
        <v>100</v>
      </c>
      <c r="V13" s="1318" t="s">
        <v>65</v>
      </c>
      <c r="W13" s="1319">
        <f t="shared" si="2"/>
        <v>100</v>
      </c>
      <c r="X13" s="1320"/>
      <c r="Y13" s="3495"/>
      <c r="Z13" s="344">
        <f t="shared" si="7"/>
        <v>111</v>
      </c>
      <c r="AA13" s="1321">
        <f t="shared" si="3"/>
        <v>1</v>
      </c>
      <c r="AB13" s="1321">
        <f t="shared" si="4"/>
        <v>1</v>
      </c>
      <c r="AC13" s="1321">
        <f t="shared" si="5"/>
        <v>1</v>
      </c>
    </row>
    <row r="14" spans="1:29" ht="15.75" hidden="1"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1"/>
      <c r="M14" s="2342"/>
      <c r="N14" s="2342"/>
      <c r="O14" s="2350"/>
      <c r="P14" s="3642"/>
      <c r="Q14" s="296">
        <f t="shared" si="6"/>
        <v>111</v>
      </c>
      <c r="R14" s="1318" t="s">
        <v>65</v>
      </c>
      <c r="S14" s="1319">
        <f t="shared" si="0"/>
        <v>100</v>
      </c>
      <c r="T14" s="1318" t="s">
        <v>65</v>
      </c>
      <c r="U14" s="1319">
        <f t="shared" si="1"/>
        <v>100</v>
      </c>
      <c r="V14" s="1318" t="s">
        <v>65</v>
      </c>
      <c r="W14" s="1319">
        <f t="shared" si="2"/>
        <v>100</v>
      </c>
      <c r="X14" s="1320"/>
      <c r="Y14" s="3495"/>
      <c r="Z14" s="344">
        <f t="shared" si="7"/>
        <v>111</v>
      </c>
      <c r="AA14" s="1321">
        <f t="shared" si="3"/>
        <v>1</v>
      </c>
      <c r="AB14" s="1321">
        <f t="shared" si="4"/>
        <v>1</v>
      </c>
      <c r="AC14" s="1321">
        <f t="shared" si="5"/>
        <v>1</v>
      </c>
    </row>
    <row r="15" spans="1:29" ht="67.5">
      <c r="A15" s="782" t="s">
        <v>404</v>
      </c>
      <c r="B15" s="971" t="s">
        <v>516</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v>2</v>
      </c>
      <c r="L15" s="2351"/>
      <c r="M15" s="2342"/>
      <c r="N15" s="2342"/>
      <c r="O15" s="2350"/>
      <c r="P15" s="3624" t="s">
        <v>405</v>
      </c>
      <c r="Q15" s="1322" t="str">
        <f t="shared" si="6"/>
        <v>产业集聚程度</v>
      </c>
      <c r="R15" s="1323" t="s">
        <v>65</v>
      </c>
      <c r="S15" s="1324">
        <f t="shared" si="0"/>
        <v>100</v>
      </c>
      <c r="T15" s="1323" t="s">
        <v>65</v>
      </c>
      <c r="U15" s="1324">
        <f t="shared" si="1"/>
        <v>100</v>
      </c>
      <c r="V15" s="1323" t="s">
        <v>65</v>
      </c>
      <c r="W15" s="1324">
        <f t="shared" si="2"/>
        <v>100</v>
      </c>
      <c r="X15" s="1317"/>
      <c r="Y15" s="3624" t="s">
        <v>405</v>
      </c>
      <c r="Z15" s="1325" t="str">
        <f t="shared" si="7"/>
        <v>产业集聚程度</v>
      </c>
      <c r="AA15" s="1326">
        <f t="shared" si="3"/>
        <v>1</v>
      </c>
      <c r="AB15" s="1326">
        <f t="shared" si="4"/>
        <v>1</v>
      </c>
      <c r="AC15" s="1326">
        <f t="shared" si="5"/>
        <v>1</v>
      </c>
    </row>
    <row r="16" spans="1:29" ht="15">
      <c r="A16" s="770"/>
      <c r="B16" s="972"/>
      <c r="C16" s="97" t="s">
        <v>3175</v>
      </c>
      <c r="D16" s="790"/>
      <c r="E16" s="192" t="s">
        <v>3175</v>
      </c>
      <c r="F16" s="790"/>
      <c r="G16" s="192" t="s">
        <v>3175</v>
      </c>
      <c r="H16" s="792"/>
      <c r="I16" s="192" t="s">
        <v>3175</v>
      </c>
      <c r="J16" s="790"/>
      <c r="K16" s="1080"/>
      <c r="L16" s="2351"/>
      <c r="M16" s="2342"/>
      <c r="N16" s="2342"/>
      <c r="O16" s="2350"/>
      <c r="P16" s="3625"/>
      <c r="Q16" s="1322"/>
      <c r="R16" s="1323"/>
      <c r="S16" s="1324"/>
      <c r="T16" s="1323"/>
      <c r="U16" s="1324"/>
      <c r="V16" s="1323"/>
      <c r="W16" s="1324"/>
      <c r="X16" s="1317"/>
      <c r="Y16" s="3625"/>
      <c r="Z16" s="1325"/>
      <c r="AA16" s="1326">
        <v>1</v>
      </c>
      <c r="AB16" s="1326">
        <v>1</v>
      </c>
      <c r="AC16" s="1326">
        <v>1</v>
      </c>
    </row>
    <row r="17" spans="1:29" ht="94.5">
      <c r="A17" s="770"/>
      <c r="B17" s="973" t="s">
        <v>454</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v>2</v>
      </c>
      <c r="L17" s="2351"/>
      <c r="M17" s="2342"/>
      <c r="N17" s="2342"/>
      <c r="O17" s="2350"/>
      <c r="P17" s="3625"/>
      <c r="Q17" s="1322" t="str">
        <f>B17</f>
        <v>交通便捷度</v>
      </c>
      <c r="R17" s="1323" t="s">
        <v>65</v>
      </c>
      <c r="S17" s="1324">
        <f>F17</f>
        <v>100</v>
      </c>
      <c r="T17" s="1323" t="s">
        <v>65</v>
      </c>
      <c r="U17" s="1324">
        <f>H17</f>
        <v>100</v>
      </c>
      <c r="V17" s="1323" t="s">
        <v>65</v>
      </c>
      <c r="W17" s="1324">
        <f>J17</f>
        <v>100</v>
      </c>
      <c r="X17" s="1317"/>
      <c r="Y17" s="3625"/>
      <c r="Z17" s="1325" t="str">
        <f>Q17</f>
        <v>交通便捷度</v>
      </c>
      <c r="AA17" s="1326">
        <f t="shared" si="3"/>
        <v>1</v>
      </c>
      <c r="AB17" s="1326">
        <f t="shared" si="4"/>
        <v>1</v>
      </c>
      <c r="AC17" s="1326">
        <f t="shared" si="5"/>
        <v>1</v>
      </c>
    </row>
    <row r="18" spans="1:29" ht="15">
      <c r="A18" s="770"/>
      <c r="B18" s="974"/>
      <c r="C18" s="97" t="s">
        <v>3171</v>
      </c>
      <c r="D18" s="790"/>
      <c r="E18" s="98" t="s">
        <v>3171</v>
      </c>
      <c r="F18" s="790"/>
      <c r="G18" s="98" t="s">
        <v>3171</v>
      </c>
      <c r="H18" s="790"/>
      <c r="I18" s="99" t="s">
        <v>3171</v>
      </c>
      <c r="J18" s="790"/>
      <c r="K18" s="1080"/>
      <c r="L18" s="2351"/>
      <c r="M18" s="2342"/>
      <c r="N18" s="2342"/>
      <c r="O18" s="2350"/>
      <c r="P18" s="3625"/>
      <c r="Q18" s="1322"/>
      <c r="R18" s="1323"/>
      <c r="S18" s="1324"/>
      <c r="T18" s="1323"/>
      <c r="U18" s="1324"/>
      <c r="V18" s="1323"/>
      <c r="W18" s="1324"/>
      <c r="X18" s="1317"/>
      <c r="Y18" s="3625"/>
      <c r="Z18" s="1325"/>
      <c r="AA18" s="1326">
        <v>1</v>
      </c>
      <c r="AB18" s="1326">
        <v>1</v>
      </c>
      <c r="AC18" s="1326">
        <v>1</v>
      </c>
    </row>
    <row r="19" spans="1:29" ht="27">
      <c r="A19" s="770"/>
      <c r="B19" s="973" t="s">
        <v>1851</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v>5</v>
      </c>
      <c r="L19" s="2351"/>
      <c r="M19" s="2342"/>
      <c r="N19" s="2342"/>
      <c r="O19" s="2350"/>
      <c r="P19" s="3625"/>
      <c r="Q19" s="1322" t="str">
        <f t="shared" ref="Q19:Q33" si="8">B19</f>
        <v>区域土地利用方向</v>
      </c>
      <c r="R19" s="1323" t="s">
        <v>65</v>
      </c>
      <c r="S19" s="1324">
        <f>F19</f>
        <v>100</v>
      </c>
      <c r="T19" s="1323" t="s">
        <v>65</v>
      </c>
      <c r="U19" s="1324">
        <f>H19</f>
        <v>100</v>
      </c>
      <c r="V19" s="1323" t="s">
        <v>65</v>
      </c>
      <c r="W19" s="1324">
        <f>J19</f>
        <v>100</v>
      </c>
      <c r="X19" s="1317"/>
      <c r="Y19" s="3625"/>
      <c r="Z19" s="1325" t="str">
        <f>Q19</f>
        <v>区域土地利用方向</v>
      </c>
      <c r="AA19" s="1326">
        <f t="shared" si="3"/>
        <v>1</v>
      </c>
      <c r="AB19" s="1326">
        <f t="shared" si="4"/>
        <v>1</v>
      </c>
      <c r="AC19" s="1326">
        <f t="shared" si="5"/>
        <v>1</v>
      </c>
    </row>
    <row r="20" spans="1:29" ht="15">
      <c r="A20" s="746"/>
      <c r="B20" s="974"/>
      <c r="C20" s="97" t="s">
        <v>3175</v>
      </c>
      <c r="D20" s="790"/>
      <c r="E20" s="98" t="s">
        <v>3175</v>
      </c>
      <c r="F20" s="790"/>
      <c r="G20" s="98" t="s">
        <v>3175</v>
      </c>
      <c r="H20" s="790"/>
      <c r="I20" s="98" t="s">
        <v>3175</v>
      </c>
      <c r="J20" s="790"/>
      <c r="K20" s="1477"/>
      <c r="L20" s="2351"/>
      <c r="M20" s="2342"/>
      <c r="N20" s="2342"/>
      <c r="O20" s="2350"/>
      <c r="P20" s="3625"/>
      <c r="Q20" s="1469"/>
      <c r="R20" s="1323"/>
      <c r="S20" s="1324"/>
      <c r="T20" s="1323"/>
      <c r="U20" s="1324"/>
      <c r="V20" s="1323"/>
      <c r="W20" s="1324"/>
      <c r="X20" s="1468"/>
      <c r="Y20" s="3625"/>
      <c r="Z20" s="1470"/>
      <c r="AA20" s="1326"/>
      <c r="AB20" s="1326"/>
      <c r="AC20" s="1326"/>
    </row>
    <row r="21" spans="1:29" ht="81">
      <c r="A21" s="746"/>
      <c r="B21" s="973" t="s">
        <v>517</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v>2</v>
      </c>
      <c r="L21" s="2351"/>
      <c r="M21" s="2342"/>
      <c r="N21" s="2342"/>
      <c r="O21" s="2350"/>
      <c r="P21" s="3625"/>
      <c r="Q21" s="1322" t="str">
        <f t="shared" si="8"/>
        <v>环境状况</v>
      </c>
      <c r="R21" s="1323" t="s">
        <v>65</v>
      </c>
      <c r="S21" s="1324">
        <f>F21</f>
        <v>100</v>
      </c>
      <c r="T21" s="1323" t="s">
        <v>65</v>
      </c>
      <c r="U21" s="1324">
        <f>H21</f>
        <v>100</v>
      </c>
      <c r="V21" s="1323" t="s">
        <v>65</v>
      </c>
      <c r="W21" s="1324">
        <f>J21</f>
        <v>100</v>
      </c>
      <c r="X21" s="1317"/>
      <c r="Y21" s="3625"/>
      <c r="Z21" s="1325" t="str">
        <f>Q21</f>
        <v>环境状况</v>
      </c>
      <c r="AA21" s="1326">
        <f t="shared" si="3"/>
        <v>1</v>
      </c>
      <c r="AB21" s="1326">
        <f t="shared" si="4"/>
        <v>1</v>
      </c>
      <c r="AC21" s="1326">
        <f t="shared" si="5"/>
        <v>1</v>
      </c>
    </row>
    <row r="22" spans="1:29" ht="15">
      <c r="A22" s="746"/>
      <c r="B22" s="974"/>
      <c r="C22" s="97" t="s">
        <v>3171</v>
      </c>
      <c r="D22" s="790"/>
      <c r="E22" s="192" t="s">
        <v>3171</v>
      </c>
      <c r="F22" s="790"/>
      <c r="G22" s="192" t="s">
        <v>3171</v>
      </c>
      <c r="H22" s="790"/>
      <c r="I22" s="97" t="s">
        <v>3171</v>
      </c>
      <c r="J22" s="790"/>
      <c r="K22" s="1080"/>
      <c r="L22" s="2351"/>
      <c r="M22" s="2342"/>
      <c r="N22" s="2342"/>
      <c r="O22" s="2350"/>
      <c r="P22" s="3625"/>
      <c r="Q22" s="1322"/>
      <c r="R22" s="1323"/>
      <c r="S22" s="1324"/>
      <c r="T22" s="1323"/>
      <c r="U22" s="1324"/>
      <c r="V22" s="1323"/>
      <c r="W22" s="1324"/>
      <c r="X22" s="1317"/>
      <c r="Y22" s="3625"/>
      <c r="Z22" s="1325"/>
      <c r="AA22" s="1326">
        <v>1</v>
      </c>
      <c r="AB22" s="1326">
        <v>1</v>
      </c>
      <c r="AC22" s="1326">
        <v>1</v>
      </c>
    </row>
    <row r="23" spans="1:29" s="406" customFormat="1" ht="40.5">
      <c r="A23" s="991"/>
      <c r="B23" s="1035" t="s">
        <v>2674</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v>2</v>
      </c>
      <c r="L23" s="2343"/>
      <c r="M23" s="2344"/>
      <c r="N23" s="2344"/>
      <c r="O23" s="2345"/>
      <c r="P23" s="3625"/>
      <c r="Q23" s="296" t="str">
        <f t="shared" si="8"/>
        <v>公共配套设施</v>
      </c>
      <c r="R23" s="1318" t="s">
        <v>65</v>
      </c>
      <c r="S23" s="1319">
        <f>F23</f>
        <v>100</v>
      </c>
      <c r="T23" s="1318" t="s">
        <v>65</v>
      </c>
      <c r="U23" s="1319">
        <f>H23</f>
        <v>100</v>
      </c>
      <c r="V23" s="1318" t="s">
        <v>65</v>
      </c>
      <c r="W23" s="1319">
        <f>J23</f>
        <v>100</v>
      </c>
      <c r="X23" s="1320"/>
      <c r="Y23" s="3625"/>
      <c r="Z23" s="344" t="str">
        <f>Q23</f>
        <v>公共配套设施</v>
      </c>
      <c r="AA23" s="1326">
        <f>D23/F23</f>
        <v>1</v>
      </c>
      <c r="AB23" s="1326">
        <f>D23/H23</f>
        <v>1</v>
      </c>
      <c r="AC23" s="1326">
        <f>D23/J23</f>
        <v>1</v>
      </c>
    </row>
    <row r="24" spans="1:29" s="406" customFormat="1" ht="15">
      <c r="A24" s="991"/>
      <c r="B24" s="974"/>
      <c r="C24" s="2768" t="s">
        <v>3239</v>
      </c>
      <c r="D24" s="790"/>
      <c r="E24" s="192" t="s">
        <v>3239</v>
      </c>
      <c r="F24" s="790"/>
      <c r="G24" s="192" t="s">
        <v>3239</v>
      </c>
      <c r="H24" s="790"/>
      <c r="I24" s="97" t="s">
        <v>3239</v>
      </c>
      <c r="J24" s="790"/>
      <c r="K24" s="1080"/>
      <c r="L24" s="2343"/>
      <c r="M24" s="2344"/>
      <c r="N24" s="2344"/>
      <c r="O24" s="2345"/>
      <c r="P24" s="3625"/>
      <c r="Q24" s="296"/>
      <c r="R24" s="1318"/>
      <c r="S24" s="1319"/>
      <c r="T24" s="1318"/>
      <c r="U24" s="1319"/>
      <c r="V24" s="1318"/>
      <c r="W24" s="1319"/>
      <c r="X24" s="1320"/>
      <c r="Y24" s="3625"/>
      <c r="Z24" s="344"/>
      <c r="AA24" s="1321">
        <v>1</v>
      </c>
      <c r="AB24" s="1321">
        <v>1</v>
      </c>
      <c r="AC24" s="1321">
        <v>1</v>
      </c>
    </row>
    <row r="25" spans="1:29" s="406" customFormat="1" ht="40.5">
      <c r="A25" s="991"/>
      <c r="B25" s="1035" t="s">
        <v>2675</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v>2</v>
      </c>
      <c r="L25" s="2343"/>
      <c r="M25" s="2344"/>
      <c r="N25" s="2344"/>
      <c r="O25" s="2345"/>
      <c r="P25" s="3625"/>
      <c r="Q25" s="2737" t="str">
        <f t="shared" ref="Q25" si="9">B25</f>
        <v>基础设施水平</v>
      </c>
      <c r="R25" s="1318" t="s">
        <v>65</v>
      </c>
      <c r="S25" s="1319">
        <f>F25</f>
        <v>100</v>
      </c>
      <c r="T25" s="1318" t="s">
        <v>65</v>
      </c>
      <c r="U25" s="1319">
        <f>H25</f>
        <v>100</v>
      </c>
      <c r="V25" s="1318" t="s">
        <v>65</v>
      </c>
      <c r="W25" s="1319">
        <f>J25</f>
        <v>100</v>
      </c>
      <c r="X25" s="1320"/>
      <c r="Y25" s="3625"/>
      <c r="Z25" s="344" t="str">
        <f>Q25</f>
        <v>基础设施水平</v>
      </c>
      <c r="AA25" s="1326">
        <f>D25/F25</f>
        <v>1</v>
      </c>
      <c r="AB25" s="1326">
        <f>D25/H25</f>
        <v>1</v>
      </c>
      <c r="AC25" s="1326">
        <f>D25/J25</f>
        <v>1</v>
      </c>
    </row>
    <row r="26" spans="1:29" s="406" customFormat="1" ht="15">
      <c r="A26" s="991"/>
      <c r="B26" s="974"/>
      <c r="C26" s="2768" t="s">
        <v>3176</v>
      </c>
      <c r="D26" s="790"/>
      <c r="E26" s="1036" t="s">
        <v>3176</v>
      </c>
      <c r="F26" s="790"/>
      <c r="G26" s="1036" t="s">
        <v>3176</v>
      </c>
      <c r="H26" s="790"/>
      <c r="I26" s="1036" t="s">
        <v>3176</v>
      </c>
      <c r="J26" s="790"/>
      <c r="K26" s="1080"/>
      <c r="L26" s="2343"/>
      <c r="M26" s="2344"/>
      <c r="N26" s="2344"/>
      <c r="O26" s="2345"/>
      <c r="P26" s="3625"/>
      <c r="Q26" s="2737"/>
      <c r="R26" s="1318"/>
      <c r="S26" s="1319"/>
      <c r="T26" s="1318"/>
      <c r="U26" s="1319"/>
      <c r="V26" s="1318"/>
      <c r="W26" s="1319"/>
      <c r="X26" s="1320"/>
      <c r="Y26" s="3625"/>
      <c r="Z26" s="344"/>
      <c r="AA26" s="1321">
        <v>1</v>
      </c>
      <c r="AB26" s="1321">
        <v>1</v>
      </c>
      <c r="AC26" s="1321">
        <v>1</v>
      </c>
    </row>
    <row r="27" spans="1:29" ht="15">
      <c r="A27" s="770"/>
      <c r="B27" s="974" t="s">
        <v>435</v>
      </c>
      <c r="C27" s="182" t="s">
        <v>3205</v>
      </c>
      <c r="D27" s="777">
        <v>100</v>
      </c>
      <c r="E27" s="195" t="s">
        <v>3240</v>
      </c>
      <c r="F27" s="777">
        <f>SUMIF(95:95,E27,96:96)-SUMIF(95:95,C27,96:96)+100</f>
        <v>99</v>
      </c>
      <c r="G27" s="195" t="s">
        <v>3205</v>
      </c>
      <c r="H27" s="777">
        <f>SUMIF(95:95,G27,96:96)-SUMIF(95:95,C27,96:96)+100</f>
        <v>100</v>
      </c>
      <c r="I27" s="195" t="s">
        <v>3177</v>
      </c>
      <c r="J27" s="777">
        <f>SUMIF(95:95,I27,96:96)-SUMIF(95:95,C27,96:96)+100</f>
        <v>101</v>
      </c>
      <c r="K27" s="1081">
        <v>1</v>
      </c>
      <c r="L27" s="2351"/>
      <c r="M27" s="2342"/>
      <c r="N27" s="2342"/>
      <c r="O27" s="2350"/>
      <c r="P27" s="3625"/>
      <c r="Q27" s="1322" t="str">
        <f t="shared" si="8"/>
        <v>临街状况</v>
      </c>
      <c r="R27" s="1323" t="s">
        <v>65</v>
      </c>
      <c r="S27" s="1324">
        <f t="shared" ref="S27:S40" si="10">F27</f>
        <v>99</v>
      </c>
      <c r="T27" s="1323" t="s">
        <v>65</v>
      </c>
      <c r="U27" s="1324">
        <f t="shared" ref="U27:U40" si="11">H27</f>
        <v>100</v>
      </c>
      <c r="V27" s="1323" t="s">
        <v>65</v>
      </c>
      <c r="W27" s="1324">
        <f t="shared" ref="W27:W40" si="12">J27</f>
        <v>101</v>
      </c>
      <c r="X27" s="1317"/>
      <c r="Y27" s="3625"/>
      <c r="Z27" s="1325" t="str">
        <f t="shared" ref="Z27:Z40" si="13">Q27</f>
        <v>临街状况</v>
      </c>
      <c r="AA27" s="1326">
        <f t="shared" si="3"/>
        <v>1.0101010101010102</v>
      </c>
      <c r="AB27" s="1326">
        <f t="shared" si="4"/>
        <v>1</v>
      </c>
      <c r="AC27" s="1326">
        <f t="shared" si="5"/>
        <v>0.99009900990099009</v>
      </c>
    </row>
    <row r="28" spans="1:29" ht="27">
      <c r="A28" s="770"/>
      <c r="B28" s="975" t="s">
        <v>440</v>
      </c>
      <c r="C28" s="2769">
        <f>估价对象房地状况!G22</f>
        <v>0</v>
      </c>
      <c r="D28" s="792">
        <v>100</v>
      </c>
      <c r="E28" s="100"/>
      <c r="F28" s="3401">
        <f>SUMIF(97:97,E29,98:98)-SUMIF(97:97,C29,98:98)+100</f>
        <v>99</v>
      </c>
      <c r="G28" s="100"/>
      <c r="H28" s="792">
        <f>SUMIF(97:97,G29,98:98)-SUMIF(97:97,C29,98:98)+100</f>
        <v>100</v>
      </c>
      <c r="I28" s="101"/>
      <c r="J28" s="3401">
        <f>SUMIF(97:97,I29,98:98)-SUMIF(97:97,C29,98:98)+100</f>
        <v>101</v>
      </c>
      <c r="K28" s="3400">
        <v>1</v>
      </c>
      <c r="L28" s="2351"/>
      <c r="M28" s="2342"/>
      <c r="N28" s="2342"/>
      <c r="O28" s="2350"/>
      <c r="P28" s="3625"/>
      <c r="Q28" s="1322" t="str">
        <f t="shared" si="8"/>
        <v>毗邻道路的类型与等级</v>
      </c>
      <c r="R28" s="1323" t="s">
        <v>65</v>
      </c>
      <c r="S28" s="1324">
        <f t="shared" si="10"/>
        <v>99</v>
      </c>
      <c r="T28" s="1323" t="s">
        <v>65</v>
      </c>
      <c r="U28" s="1324">
        <f t="shared" si="11"/>
        <v>100</v>
      </c>
      <c r="V28" s="1323" t="s">
        <v>65</v>
      </c>
      <c r="W28" s="1324">
        <f t="shared" si="12"/>
        <v>101</v>
      </c>
      <c r="X28" s="1317"/>
      <c r="Y28" s="3625"/>
      <c r="Z28" s="1325" t="str">
        <f t="shared" si="13"/>
        <v>毗邻道路的类型与等级</v>
      </c>
      <c r="AA28" s="1326">
        <f t="shared" si="3"/>
        <v>1.0101010101010102</v>
      </c>
      <c r="AB28" s="1326">
        <f t="shared" si="4"/>
        <v>1</v>
      </c>
      <c r="AC28" s="1326">
        <f t="shared" si="5"/>
        <v>0.99009900990099009</v>
      </c>
    </row>
    <row r="29" spans="1:29" ht="15.75" thickBot="1">
      <c r="A29" s="770"/>
      <c r="B29" s="974"/>
      <c r="C29" s="97" t="s">
        <v>3200</v>
      </c>
      <c r="D29" s="790"/>
      <c r="E29" s="192" t="s">
        <v>3241</v>
      </c>
      <c r="F29" s="790"/>
      <c r="G29" s="192" t="s">
        <v>3200</v>
      </c>
      <c r="H29" s="790"/>
      <c r="I29" s="192" t="s">
        <v>3242</v>
      </c>
      <c r="J29" s="790"/>
      <c r="K29" s="955"/>
      <c r="L29" s="2351"/>
      <c r="M29" s="2342"/>
      <c r="N29" s="2342"/>
      <c r="O29" s="2350"/>
      <c r="P29" s="3625"/>
      <c r="Q29" s="1322"/>
      <c r="R29" s="1323"/>
      <c r="S29" s="1324"/>
      <c r="T29" s="1323"/>
      <c r="U29" s="1324"/>
      <c r="V29" s="1323"/>
      <c r="W29" s="1324"/>
      <c r="X29" s="1317"/>
      <c r="Y29" s="3625"/>
      <c r="Z29" s="1325"/>
      <c r="AA29" s="1326">
        <v>1</v>
      </c>
      <c r="AB29" s="1326">
        <v>1</v>
      </c>
      <c r="AC29" s="1326">
        <v>1</v>
      </c>
    </row>
    <row r="30" spans="1:29" ht="15" hidden="1">
      <c r="A30" s="770"/>
      <c r="B30" s="996" t="s">
        <v>483</v>
      </c>
      <c r="C30" s="2770">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1"/>
      <c r="M30" s="2342"/>
      <c r="N30" s="2342"/>
      <c r="O30" s="2350"/>
      <c r="P30" s="3625"/>
      <c r="Q30" s="1322" t="str">
        <f t="shared" si="8"/>
        <v>土地级别</v>
      </c>
      <c r="R30" s="1323" t="s">
        <v>65</v>
      </c>
      <c r="S30" s="1324">
        <f t="shared" si="10"/>
        <v>100</v>
      </c>
      <c r="T30" s="1323" t="s">
        <v>65</v>
      </c>
      <c r="U30" s="1324">
        <f t="shared" si="11"/>
        <v>100</v>
      </c>
      <c r="V30" s="1323" t="s">
        <v>65</v>
      </c>
      <c r="W30" s="1324">
        <f t="shared" si="12"/>
        <v>100</v>
      </c>
      <c r="X30" s="1317"/>
      <c r="Y30" s="3625"/>
      <c r="Z30" s="1325" t="str">
        <f t="shared" si="13"/>
        <v>土地级别</v>
      </c>
      <c r="AA30" s="1326">
        <f t="shared" si="3"/>
        <v>1</v>
      </c>
      <c r="AB30" s="1326">
        <f t="shared" si="4"/>
        <v>1</v>
      </c>
      <c r="AC30" s="1326">
        <f t="shared" si="5"/>
        <v>1</v>
      </c>
    </row>
    <row r="31" spans="1:29" ht="15" hidden="1">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1"/>
      <c r="M31" s="2342"/>
      <c r="N31" s="2342"/>
      <c r="O31" s="2350"/>
      <c r="P31" s="3625"/>
      <c r="Q31" s="1322">
        <f t="shared" si="8"/>
        <v>111</v>
      </c>
      <c r="R31" s="1323" t="s">
        <v>65</v>
      </c>
      <c r="S31" s="1324">
        <f t="shared" si="10"/>
        <v>100</v>
      </c>
      <c r="T31" s="1323" t="s">
        <v>65</v>
      </c>
      <c r="U31" s="1324">
        <f t="shared" si="11"/>
        <v>100</v>
      </c>
      <c r="V31" s="1323" t="s">
        <v>65</v>
      </c>
      <c r="W31" s="1324">
        <f t="shared" si="12"/>
        <v>100</v>
      </c>
      <c r="X31" s="1317"/>
      <c r="Y31" s="3625"/>
      <c r="Z31" s="1325">
        <f t="shared" si="13"/>
        <v>111</v>
      </c>
      <c r="AA31" s="1326">
        <f t="shared" si="3"/>
        <v>1</v>
      </c>
      <c r="AB31" s="1326">
        <f t="shared" si="4"/>
        <v>1</v>
      </c>
      <c r="AC31" s="1326">
        <f t="shared" si="5"/>
        <v>1</v>
      </c>
    </row>
    <row r="32" spans="1:29" ht="15" hidden="1">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1"/>
      <c r="M32" s="2342"/>
      <c r="N32" s="2342"/>
      <c r="O32" s="2350"/>
      <c r="P32" s="3643" t="s">
        <v>407</v>
      </c>
      <c r="Q32" s="1322">
        <f t="shared" si="8"/>
        <v>111</v>
      </c>
      <c r="R32" s="1323" t="s">
        <v>65</v>
      </c>
      <c r="S32" s="1324">
        <f t="shared" si="10"/>
        <v>100</v>
      </c>
      <c r="T32" s="1323" t="s">
        <v>65</v>
      </c>
      <c r="U32" s="1324">
        <f t="shared" si="11"/>
        <v>100</v>
      </c>
      <c r="V32" s="1323" t="s">
        <v>65</v>
      </c>
      <c r="W32" s="1324">
        <f t="shared" si="12"/>
        <v>100</v>
      </c>
      <c r="X32" s="1317"/>
      <c r="Y32" s="3626" t="s">
        <v>407</v>
      </c>
      <c r="Z32" s="1325">
        <f t="shared" si="13"/>
        <v>111</v>
      </c>
      <c r="AA32" s="1326">
        <f t="shared" si="3"/>
        <v>1</v>
      </c>
      <c r="AB32" s="1326">
        <f t="shared" si="4"/>
        <v>1</v>
      </c>
      <c r="AC32" s="1326">
        <f t="shared" si="5"/>
        <v>1</v>
      </c>
    </row>
    <row r="33" spans="1:29" s="813" customFormat="1" ht="15.75" hidden="1" thickBot="1">
      <c r="A33" s="1084"/>
      <c r="B33" s="3297">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49"/>
      <c r="M33" s="2352"/>
      <c r="N33" s="2352"/>
      <c r="O33" s="2353"/>
      <c r="P33" s="3626"/>
      <c r="Q33" s="1322">
        <f t="shared" si="8"/>
        <v>111</v>
      </c>
      <c r="R33" s="1328" t="s">
        <v>65</v>
      </c>
      <c r="S33" s="1329">
        <f t="shared" si="10"/>
        <v>100</v>
      </c>
      <c r="T33" s="1328" t="s">
        <v>65</v>
      </c>
      <c r="U33" s="1329">
        <f t="shared" si="11"/>
        <v>100</v>
      </c>
      <c r="V33" s="1328" t="s">
        <v>65</v>
      </c>
      <c r="W33" s="1329">
        <f t="shared" si="12"/>
        <v>100</v>
      </c>
      <c r="X33" s="1330"/>
      <c r="Y33" s="3626"/>
      <c r="Z33" s="1331">
        <f t="shared" si="13"/>
        <v>111</v>
      </c>
      <c r="AA33" s="1326">
        <f t="shared" si="3"/>
        <v>1</v>
      </c>
      <c r="AB33" s="1326">
        <f t="shared" si="4"/>
        <v>1</v>
      </c>
      <c r="AC33" s="1326">
        <f t="shared" si="5"/>
        <v>1</v>
      </c>
    </row>
    <row r="34" spans="1:29" ht="15">
      <c r="A34" s="782" t="s">
        <v>2801</v>
      </c>
      <c r="B34" s="798" t="s">
        <v>484</v>
      </c>
      <c r="C34" s="1087">
        <f>'数据-汇总表'!D3</f>
        <v>104051.87</v>
      </c>
      <c r="D34" s="809">
        <v>100</v>
      </c>
      <c r="E34" s="1087">
        <v>58294.75</v>
      </c>
      <c r="F34" s="809">
        <f>LOOKUP(E34,108:108,109:109)-LOOKUP(C34,108:108,109:109)+100</f>
        <v>99.5</v>
      </c>
      <c r="G34" s="1087">
        <v>6840.7</v>
      </c>
      <c r="H34" s="809">
        <f>LOOKUP(G34,108:108,109:109)-LOOKUP(C34,108:108,109:109)+100</f>
        <v>99.5</v>
      </c>
      <c r="I34" s="872">
        <v>146159.29999999999</v>
      </c>
      <c r="J34" s="809">
        <f>LOOKUP(I34,108:108,109:109)-LOOKUP(C34,108:108,109:109)+100</f>
        <v>100</v>
      </c>
      <c r="K34" s="955"/>
      <c r="L34" s="2351"/>
      <c r="M34" s="2342"/>
      <c r="N34" s="2342"/>
      <c r="O34" s="2350"/>
      <c r="P34" s="3626"/>
      <c r="Q34" s="1322" t="str">
        <f>B34</f>
        <v>宗地面积</v>
      </c>
      <c r="R34" s="1323" t="s">
        <v>65</v>
      </c>
      <c r="S34" s="1324">
        <f t="shared" si="10"/>
        <v>99.5</v>
      </c>
      <c r="T34" s="1323" t="s">
        <v>65</v>
      </c>
      <c r="U34" s="1324">
        <f t="shared" si="11"/>
        <v>99.5</v>
      </c>
      <c r="V34" s="1323" t="s">
        <v>65</v>
      </c>
      <c r="W34" s="1324">
        <f t="shared" si="12"/>
        <v>100</v>
      </c>
      <c r="X34" s="1317"/>
      <c r="Y34" s="3626"/>
      <c r="Z34" s="1325" t="str">
        <f t="shared" si="13"/>
        <v>宗地面积</v>
      </c>
      <c r="AA34" s="1326">
        <f t="shared" si="3"/>
        <v>1.0050251256281406</v>
      </c>
      <c r="AB34" s="1326">
        <f t="shared" si="4"/>
        <v>1.0050251256281406</v>
      </c>
      <c r="AC34" s="1326">
        <f t="shared" si="5"/>
        <v>1</v>
      </c>
    </row>
    <row r="35" spans="1:29" ht="15">
      <c r="A35" s="814"/>
      <c r="B35" s="764" t="s">
        <v>485</v>
      </c>
      <c r="C35" s="109" t="s">
        <v>3203</v>
      </c>
      <c r="D35" s="777">
        <v>100</v>
      </c>
      <c r="E35" s="109" t="s">
        <v>3203</v>
      </c>
      <c r="F35" s="777">
        <f>SUMIF(110:110,E35,111:111)-SUMIF(110:110,C35,111:111)+100</f>
        <v>100</v>
      </c>
      <c r="G35" s="109" t="s">
        <v>3203</v>
      </c>
      <c r="H35" s="777">
        <f>SUMIF(110:110,G35,111:111)-SUMIF(110:110,C35,111:111)+100</f>
        <v>100</v>
      </c>
      <c r="I35" s="109" t="s">
        <v>3203</v>
      </c>
      <c r="J35" s="777">
        <f>SUMIF(110:110,I35,111:111)-SUMIF(110:110,C35,111:111)+100</f>
        <v>100</v>
      </c>
      <c r="K35" s="954">
        <v>1</v>
      </c>
      <c r="L35" s="2351"/>
      <c r="M35" s="2342"/>
      <c r="N35" s="2342"/>
      <c r="O35" s="2350"/>
      <c r="P35" s="3626"/>
      <c r="Q35" s="1322" t="str">
        <f t="shared" ref="Q35:Q40" si="14">B35</f>
        <v>宗地形状</v>
      </c>
      <c r="R35" s="1323" t="s">
        <v>65</v>
      </c>
      <c r="S35" s="1324">
        <f t="shared" si="10"/>
        <v>100</v>
      </c>
      <c r="T35" s="1323" t="s">
        <v>65</v>
      </c>
      <c r="U35" s="1324">
        <f t="shared" si="11"/>
        <v>100</v>
      </c>
      <c r="V35" s="1323" t="s">
        <v>65</v>
      </c>
      <c r="W35" s="1324">
        <f t="shared" si="12"/>
        <v>100</v>
      </c>
      <c r="X35" s="1317"/>
      <c r="Y35" s="3626"/>
      <c r="Z35" s="1325" t="str">
        <f t="shared" si="13"/>
        <v>宗地形状</v>
      </c>
      <c r="AA35" s="1326">
        <f t="shared" si="3"/>
        <v>1</v>
      </c>
      <c r="AB35" s="1326">
        <f t="shared" si="4"/>
        <v>1</v>
      </c>
      <c r="AC35" s="1326">
        <f t="shared" si="5"/>
        <v>1</v>
      </c>
    </row>
    <row r="36" spans="1:29" s="406" customFormat="1" ht="15">
      <c r="A36" s="815"/>
      <c r="B36" s="2603" t="s">
        <v>2507</v>
      </c>
      <c r="C36" s="1041" t="s">
        <v>3204</v>
      </c>
      <c r="D36" s="425">
        <v>100</v>
      </c>
      <c r="E36" s="1041" t="s">
        <v>3204</v>
      </c>
      <c r="F36" s="777">
        <f>SUMIF(112:112,E36,113:113)-SUMIF(112:112,C36,113:113)+100</f>
        <v>100</v>
      </c>
      <c r="G36" s="1041" t="s">
        <v>3204</v>
      </c>
      <c r="H36" s="777">
        <f>SUMIF(112:112,G36,113:113)-SUMIF(112:112,C36,113:113)+100</f>
        <v>100</v>
      </c>
      <c r="I36" s="1041" t="s">
        <v>3204</v>
      </c>
      <c r="J36" s="777">
        <f>SUMIF(112:112,I36,113:113)-SUMIF(112:112,C36,113:113)+100</f>
        <v>100</v>
      </c>
      <c r="K36" s="954">
        <v>1</v>
      </c>
      <c r="L36" s="2343"/>
      <c r="M36" s="2344"/>
      <c r="N36" s="2344"/>
      <c r="O36" s="2345"/>
      <c r="P36" s="3626"/>
      <c r="Q36" s="1322" t="str">
        <f t="shared" si="14"/>
        <v>宗地开发程度</v>
      </c>
      <c r="R36" s="1318" t="s">
        <v>65</v>
      </c>
      <c r="S36" s="1319">
        <f t="shared" si="10"/>
        <v>100</v>
      </c>
      <c r="T36" s="1318" t="s">
        <v>65</v>
      </c>
      <c r="U36" s="1319">
        <f t="shared" si="11"/>
        <v>100</v>
      </c>
      <c r="V36" s="1318" t="s">
        <v>65</v>
      </c>
      <c r="W36" s="1319">
        <f t="shared" si="12"/>
        <v>100</v>
      </c>
      <c r="X36" s="1320"/>
      <c r="Y36" s="3626"/>
      <c r="Z36" s="344" t="str">
        <f t="shared" si="13"/>
        <v>宗地开发程度</v>
      </c>
      <c r="AA36" s="1321">
        <f t="shared" si="3"/>
        <v>1</v>
      </c>
      <c r="AB36" s="1321">
        <f t="shared" si="4"/>
        <v>1</v>
      </c>
      <c r="AC36" s="1321">
        <f t="shared" si="5"/>
        <v>1</v>
      </c>
    </row>
    <row r="37" spans="1:29" ht="15.75" thickBot="1">
      <c r="A37" s="814"/>
      <c r="B37" s="764" t="s">
        <v>487</v>
      </c>
      <c r="C37" s="109" t="s">
        <v>3175</v>
      </c>
      <c r="D37" s="777">
        <v>100</v>
      </c>
      <c r="E37" s="109" t="s">
        <v>3175</v>
      </c>
      <c r="F37" s="777">
        <f>SUMIF(114:114,E37,115:115)-SUMIF(114:114,C37,115:115)+100</f>
        <v>100</v>
      </c>
      <c r="G37" s="109" t="s">
        <v>3175</v>
      </c>
      <c r="H37" s="777">
        <f>SUMIF(114:114,G37,115:115)-SUMIF(114:114,C37,115:115)+100</f>
        <v>100</v>
      </c>
      <c r="I37" s="109" t="s">
        <v>3175</v>
      </c>
      <c r="J37" s="777">
        <f>SUMIF(114:114,I37,115:115)-SUMIF(114:114,C37,115:115)+100</f>
        <v>100</v>
      </c>
      <c r="K37" s="954">
        <v>1</v>
      </c>
      <c r="L37" s="2351"/>
      <c r="M37" s="2342"/>
      <c r="N37" s="2342"/>
      <c r="O37" s="2350"/>
      <c r="P37" s="3626" t="s">
        <v>518</v>
      </c>
      <c r="Q37" s="1322" t="str">
        <f t="shared" si="14"/>
        <v>工程地质条件</v>
      </c>
      <c r="R37" s="1323" t="s">
        <v>65</v>
      </c>
      <c r="S37" s="1324">
        <f t="shared" si="10"/>
        <v>100</v>
      </c>
      <c r="T37" s="1323" t="s">
        <v>65</v>
      </c>
      <c r="U37" s="1324">
        <f t="shared" si="11"/>
        <v>100</v>
      </c>
      <c r="V37" s="1323" t="s">
        <v>65</v>
      </c>
      <c r="W37" s="1324">
        <f t="shared" si="12"/>
        <v>100</v>
      </c>
      <c r="X37" s="1317"/>
      <c r="Y37" s="3626" t="s">
        <v>518</v>
      </c>
      <c r="Z37" s="1325" t="str">
        <f t="shared" si="13"/>
        <v>工程地质条件</v>
      </c>
      <c r="AA37" s="1326">
        <f t="shared" si="3"/>
        <v>1</v>
      </c>
      <c r="AB37" s="1326">
        <f t="shared" si="4"/>
        <v>1</v>
      </c>
      <c r="AC37" s="1326">
        <f t="shared" si="5"/>
        <v>1</v>
      </c>
    </row>
    <row r="38" spans="1:29" ht="15" hidden="1">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1"/>
      <c r="M38" s="2342"/>
      <c r="N38" s="2342"/>
      <c r="O38" s="2350"/>
      <c r="P38" s="3626"/>
      <c r="Q38" s="1322">
        <f t="shared" si="14"/>
        <v>111</v>
      </c>
      <c r="R38" s="1323" t="s">
        <v>65</v>
      </c>
      <c r="S38" s="1324">
        <f t="shared" si="10"/>
        <v>100</v>
      </c>
      <c r="T38" s="1323" t="s">
        <v>65</v>
      </c>
      <c r="U38" s="1324">
        <f t="shared" si="11"/>
        <v>100</v>
      </c>
      <c r="V38" s="1323" t="s">
        <v>65</v>
      </c>
      <c r="W38" s="1324">
        <f t="shared" si="12"/>
        <v>100</v>
      </c>
      <c r="X38" s="1317"/>
      <c r="Y38" s="3626"/>
      <c r="Z38" s="1325">
        <f t="shared" si="13"/>
        <v>111</v>
      </c>
      <c r="AA38" s="1326">
        <f t="shared" si="3"/>
        <v>1</v>
      </c>
      <c r="AB38" s="1326">
        <f t="shared" si="4"/>
        <v>1</v>
      </c>
      <c r="AC38" s="1326">
        <f t="shared" si="5"/>
        <v>1</v>
      </c>
    </row>
    <row r="39" spans="1:29" ht="15" hidden="1">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1"/>
      <c r="M39" s="2342"/>
      <c r="N39" s="2342"/>
      <c r="O39" s="2350"/>
      <c r="P39" s="3626"/>
      <c r="Q39" s="1322">
        <f t="shared" si="14"/>
        <v>111</v>
      </c>
      <c r="R39" s="1323" t="s">
        <v>65</v>
      </c>
      <c r="S39" s="1324">
        <f t="shared" si="10"/>
        <v>100</v>
      </c>
      <c r="T39" s="1323" t="s">
        <v>65</v>
      </c>
      <c r="U39" s="1324">
        <f t="shared" si="11"/>
        <v>100</v>
      </c>
      <c r="V39" s="1323" t="s">
        <v>65</v>
      </c>
      <c r="W39" s="1324">
        <f t="shared" si="12"/>
        <v>100</v>
      </c>
      <c r="X39" s="1317"/>
      <c r="Y39" s="3626"/>
      <c r="Z39" s="1325">
        <f t="shared" si="13"/>
        <v>111</v>
      </c>
      <c r="AA39" s="1326">
        <f t="shared" si="3"/>
        <v>1</v>
      </c>
      <c r="AB39" s="1326">
        <f t="shared" si="4"/>
        <v>1</v>
      </c>
      <c r="AC39" s="1326">
        <f t="shared" si="5"/>
        <v>1</v>
      </c>
    </row>
    <row r="40" spans="1:29" s="813" customFormat="1" ht="15.75" hidden="1"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49"/>
      <c r="M40" s="2352"/>
      <c r="N40" s="2352"/>
      <c r="O40" s="2353"/>
      <c r="P40" s="3626"/>
      <c r="Q40" s="1322">
        <f t="shared" si="14"/>
        <v>111</v>
      </c>
      <c r="R40" s="1328" t="s">
        <v>65</v>
      </c>
      <c r="S40" s="1329">
        <f t="shared" si="10"/>
        <v>100</v>
      </c>
      <c r="T40" s="1328" t="s">
        <v>65</v>
      </c>
      <c r="U40" s="1329">
        <f t="shared" si="11"/>
        <v>100</v>
      </c>
      <c r="V40" s="1328" t="s">
        <v>65</v>
      </c>
      <c r="W40" s="1329">
        <f t="shared" si="12"/>
        <v>100</v>
      </c>
      <c r="X40" s="1330"/>
      <c r="Y40" s="3626"/>
      <c r="Z40" s="1331">
        <f t="shared" si="13"/>
        <v>111</v>
      </c>
      <c r="AA40" s="1326">
        <f t="shared" si="3"/>
        <v>1</v>
      </c>
      <c r="AB40" s="1326">
        <f t="shared" si="4"/>
        <v>1</v>
      </c>
      <c r="AC40" s="1326">
        <f t="shared" si="5"/>
        <v>1</v>
      </c>
    </row>
    <row r="41" spans="1:29" ht="15">
      <c r="A41" s="821" t="s">
        <v>488</v>
      </c>
      <c r="B41" s="207" t="s">
        <v>3234</v>
      </c>
      <c r="C41" s="1090" t="s">
        <v>23</v>
      </c>
      <c r="D41" s="823"/>
      <c r="E41" s="824">
        <v>480</v>
      </c>
      <c r="F41" s="825"/>
      <c r="G41" s="826">
        <v>480</v>
      </c>
      <c r="H41" s="827"/>
      <c r="I41" s="824">
        <v>480</v>
      </c>
      <c r="J41" s="827"/>
      <c r="K41" s="1399"/>
      <c r="L41" s="2354"/>
      <c r="M41" s="2342"/>
      <c r="N41" s="2342"/>
      <c r="O41" s="2355"/>
      <c r="P41" s="3642" t="str">
        <f>A41</f>
        <v>成交单价</v>
      </c>
      <c r="Q41" s="3642"/>
      <c r="R41" s="3623">
        <f>E41</f>
        <v>480</v>
      </c>
      <c r="S41" s="3623"/>
      <c r="T41" s="3623">
        <f>G41</f>
        <v>480</v>
      </c>
      <c r="U41" s="3623"/>
      <c r="V41" s="3623">
        <f>I41</f>
        <v>480</v>
      </c>
      <c r="W41" s="3623"/>
      <c r="X41" s="1306"/>
      <c r="Y41" s="1332"/>
      <c r="Z41" s="1306"/>
      <c r="AA41" s="1306"/>
      <c r="AB41" s="1306"/>
      <c r="AC41" s="1306"/>
    </row>
    <row r="42" spans="1:29" ht="15.75" thickBot="1">
      <c r="A42" s="828" t="s">
        <v>409</v>
      </c>
      <c r="B42" s="1091"/>
      <c r="C42" s="832">
        <f>R43</f>
        <v>479</v>
      </c>
      <c r="D42" s="831"/>
      <c r="E42" s="832">
        <f>R42</f>
        <v>488</v>
      </c>
      <c r="F42" s="833"/>
      <c r="G42" s="830">
        <f>T42</f>
        <v>478</v>
      </c>
      <c r="H42" s="831"/>
      <c r="I42" s="832">
        <f>V42</f>
        <v>471</v>
      </c>
      <c r="J42" s="831"/>
      <c r="K42" s="1400"/>
      <c r="L42" s="2354"/>
      <c r="M42" s="2342"/>
      <c r="N42" s="2342"/>
      <c r="O42" s="2355"/>
      <c r="P42" s="3642" t="str">
        <f>A42</f>
        <v>比较价值（元/平方米）</v>
      </c>
      <c r="Q42" s="3642"/>
      <c r="R42" s="3647">
        <f>ROUND(PRODUCT(R41,AA7:AA40),0)</f>
        <v>488</v>
      </c>
      <c r="S42" s="3647"/>
      <c r="T42" s="3647">
        <f>ROUND(PRODUCT(T41,AB7:AB40),0)</f>
        <v>478</v>
      </c>
      <c r="U42" s="3647"/>
      <c r="V42" s="3647">
        <f>ROUND(PRODUCT(V41,AC7:AC40),0)</f>
        <v>471</v>
      </c>
      <c r="W42" s="3647"/>
      <c r="X42" s="1306"/>
      <c r="Y42" s="1306"/>
      <c r="Z42" s="1306"/>
      <c r="AA42" s="1306"/>
      <c r="AB42" s="1306"/>
      <c r="AC42" s="1306"/>
    </row>
    <row r="43" spans="1:29" ht="15.75" thickBot="1">
      <c r="A43" s="115" t="s">
        <v>3025</v>
      </c>
      <c r="B43" s="835"/>
      <c r="C43" s="836">
        <f>R43</f>
        <v>479</v>
      </c>
      <c r="D43" s="836"/>
      <c r="E43" s="836"/>
      <c r="F43" s="836"/>
      <c r="G43" s="836"/>
      <c r="H43" s="836"/>
      <c r="I43" s="836"/>
      <c r="J43" s="836"/>
      <c r="K43" s="1401"/>
      <c r="L43" s="2354"/>
      <c r="M43" s="2342"/>
      <c r="N43" s="2342"/>
      <c r="O43" s="2355"/>
      <c r="P43" s="3644" t="str">
        <f>A43</f>
        <v>估价对象XX用房的比较价值（楼面单价，元/平方米）</v>
      </c>
      <c r="Q43" s="3645"/>
      <c r="R43" s="3646">
        <f>ROUND(AVERAGE(R42:V42),0)</f>
        <v>479</v>
      </c>
      <c r="S43" s="3646"/>
      <c r="T43" s="3646"/>
      <c r="U43" s="3646"/>
      <c r="V43" s="3646"/>
      <c r="W43" s="3646"/>
      <c r="X43" s="1306"/>
      <c r="Y43" s="1306"/>
      <c r="Z43" s="1306"/>
      <c r="AA43" s="1306"/>
      <c r="AB43" s="1306"/>
      <c r="AC43" s="1306"/>
    </row>
    <row r="44" spans="1:29">
      <c r="A44" s="2355"/>
      <c r="B44" s="2355"/>
      <c r="C44" s="2355"/>
      <c r="D44" s="2355"/>
      <c r="E44" s="2355"/>
      <c r="F44" s="2355"/>
      <c r="G44" s="2358"/>
      <c r="H44" s="2355"/>
      <c r="I44" s="2355"/>
      <c r="J44" s="2355"/>
      <c r="K44" s="2181"/>
      <c r="L44" s="2182"/>
      <c r="M44" s="2342"/>
      <c r="N44" s="2342"/>
      <c r="O44" s="2355"/>
    </row>
    <row r="45" spans="1:29">
      <c r="A45" s="2355"/>
      <c r="B45" s="2355"/>
      <c r="C45" s="2355"/>
      <c r="D45" s="2355"/>
      <c r="E45" s="2355"/>
      <c r="F45" s="2355"/>
      <c r="G45" s="2355"/>
      <c r="H45" s="2355"/>
      <c r="I45" s="2355"/>
      <c r="J45" s="2355"/>
      <c r="K45" s="2181"/>
      <c r="L45" s="2182"/>
      <c r="M45" s="2342"/>
      <c r="N45" s="2342"/>
      <c r="O45" s="2355"/>
    </row>
    <row r="46" spans="1:29" ht="13.5" customHeight="1">
      <c r="A46" s="2355"/>
      <c r="B46" s="2355"/>
      <c r="C46" s="839" t="s">
        <v>410</v>
      </c>
      <c r="D46" s="840"/>
      <c r="E46" s="841">
        <f>IF(E41&lt;E42,E42/E41-1,E41/E42-1)</f>
        <v>1.6666666666666607E-2</v>
      </c>
      <c r="F46" s="842" t="str">
        <f>IF(OR(E46&gt;=0.3,E46&lt;=-0.3),"超过30%","")</f>
        <v/>
      </c>
      <c r="G46" s="841">
        <f>IF(G41&lt;G42,G42/G41-1,G41/G42-1)</f>
        <v>4.1841004184099972E-3</v>
      </c>
      <c r="H46" s="842" t="str">
        <f>IF(OR(G46&gt;=0.3,G46&lt;=-0.3),"超过30%","")</f>
        <v/>
      </c>
      <c r="I46" s="841">
        <f>IF(I41&lt;I42,I42/I41-1,I41/I42-1)</f>
        <v>1.9108280254777066E-2</v>
      </c>
      <c r="J46" s="842" t="str">
        <f>IF(OR(I46&gt;=0.3,I46&lt;=-0.3),"超过30%","")</f>
        <v/>
      </c>
      <c r="K46" s="2181"/>
      <c r="L46" s="2182"/>
      <c r="M46" s="2342"/>
      <c r="N46" s="2342"/>
      <c r="O46" s="2355"/>
    </row>
    <row r="47" spans="1:29" ht="13.5" customHeight="1">
      <c r="A47" s="2355"/>
      <c r="B47" s="2355"/>
      <c r="C47" s="839" t="s">
        <v>411</v>
      </c>
      <c r="D47" s="843"/>
      <c r="E47" s="841">
        <f>IF(E42&lt;G42,G42/E42-1,E42/G42-1)</f>
        <v>2.0920502092050208E-2</v>
      </c>
      <c r="F47" s="842" t="str">
        <f>IF(OR(E47&gt;=0.2,E47&lt;=-0.2),"超过20%","")</f>
        <v/>
      </c>
      <c r="G47" s="841">
        <f>IF(G42&lt;I42,I42/G42-1,G42/I42-1)</f>
        <v>1.4861995753715496E-2</v>
      </c>
      <c r="H47" s="842" t="str">
        <f>IF(OR(G47&gt;=0.2,G47&lt;=-0.2),"超过20%","")</f>
        <v/>
      </c>
      <c r="I47" s="841">
        <f>IF(I42&lt;E42,E42/I42-1,I42/E42-1)</f>
        <v>3.6093418259023347E-2</v>
      </c>
      <c r="J47" s="842" t="str">
        <f>IF(OR(I47&gt;=0.2,I47&lt;=-0.2),"超过20%","")</f>
        <v/>
      </c>
      <c r="K47" s="2181"/>
      <c r="L47" s="2182"/>
      <c r="M47" s="2355"/>
      <c r="N47" s="2355"/>
      <c r="O47" s="2355"/>
    </row>
    <row r="48" spans="1:29" s="844" customFormat="1" ht="13.5" customHeight="1">
      <c r="A48" s="2356"/>
      <c r="B48" s="2356"/>
      <c r="C48" s="839" t="s">
        <v>412</v>
      </c>
      <c r="D48" s="843"/>
      <c r="E48" s="841">
        <f>IF(E41&lt;G41,G41/E41-1,E41/G41-1)</f>
        <v>0</v>
      </c>
      <c r="F48" s="842" t="str">
        <f>IF(OR(E48&gt;=0.3,E48&lt;=-0.3),"超过30%","")</f>
        <v/>
      </c>
      <c r="G48" s="841">
        <f>IF(G41&lt;I41,I41/G41-1,G41/I41-1)</f>
        <v>0</v>
      </c>
      <c r="H48" s="842" t="str">
        <f>IF(OR(G48&gt;=0.3,G48&lt;=-0.3),"超过30%","")</f>
        <v/>
      </c>
      <c r="I48" s="841">
        <f>IF(I41&lt;E41,E41/I41-1,I41/E41-1)</f>
        <v>0</v>
      </c>
      <c r="J48" s="842" t="str">
        <f>IF(OR(I48&gt;=0.3,I48&lt;=-0.3),"超过30%","")</f>
        <v/>
      </c>
      <c r="K48" s="2359"/>
      <c r="L48" s="2360"/>
      <c r="M48" s="2356"/>
      <c r="N48" s="2356"/>
      <c r="O48" s="2356"/>
    </row>
    <row r="49" spans="1:17" s="844" customFormat="1" ht="15" thickBot="1">
      <c r="A49" s="2356"/>
      <c r="B49" s="2357"/>
      <c r="C49" s="1309"/>
      <c r="D49" s="1307"/>
      <c r="E49" s="1307"/>
      <c r="F49" s="1307"/>
      <c r="G49" s="1307"/>
      <c r="H49" s="1307"/>
      <c r="I49" s="1307"/>
      <c r="J49" s="1307"/>
      <c r="K49" s="2359"/>
      <c r="L49" s="2360"/>
      <c r="M49" s="2356"/>
      <c r="N49" s="2356"/>
      <c r="O49" s="2356"/>
    </row>
    <row r="50" spans="1:17" ht="27">
      <c r="A50" s="1092" t="s">
        <v>489</v>
      </c>
      <c r="B50" s="1093" t="s">
        <v>490</v>
      </c>
      <c r="C50" s="1769" t="s">
        <v>3243</v>
      </c>
      <c r="D50" s="2386" t="s">
        <v>2330</v>
      </c>
      <c r="E50" s="1094" t="s">
        <v>491</v>
      </c>
      <c r="F50" s="1095" t="s">
        <v>492</v>
      </c>
      <c r="G50" s="3601" t="s">
        <v>2323</v>
      </c>
      <c r="H50" s="3602"/>
      <c r="I50" s="2176" t="s">
        <v>1889</v>
      </c>
      <c r="J50" s="1759">
        <f>项目基本情况!F35</f>
        <v>0</v>
      </c>
      <c r="K50" s="2369" t="s">
        <v>1891</v>
      </c>
      <c r="L50" s="2182"/>
      <c r="M50" s="2355"/>
      <c r="N50" s="2355"/>
      <c r="O50" s="2355"/>
    </row>
    <row r="51" spans="1:17" s="1100" customFormat="1">
      <c r="A51" s="1096" t="s">
        <v>493</v>
      </c>
      <c r="B51" s="1097">
        <f>C43</f>
        <v>479</v>
      </c>
      <c r="C51" s="1098">
        <v>1</v>
      </c>
      <c r="D51" s="2387">
        <v>1</v>
      </c>
      <c r="E51" s="1098">
        <f>'数据-汇总表'!E8+'数据-汇总表'!E9</f>
        <v>62053.11</v>
      </c>
      <c r="F51" s="1099">
        <f t="shared" ref="F51:F60" si="15">ROUND(B51*E51/10000,0)</f>
        <v>2972</v>
      </c>
      <c r="G51" s="3603"/>
      <c r="H51" s="3604"/>
      <c r="I51" s="1767">
        <v>1</v>
      </c>
      <c r="J51" s="1767">
        <v>1</v>
      </c>
      <c r="K51" s="2356"/>
      <c r="L51" s="1766"/>
      <c r="M51" s="1766"/>
      <c r="N51" s="1766"/>
      <c r="O51" s="1766"/>
    </row>
    <row r="52" spans="1:17" s="1100" customFormat="1">
      <c r="A52" s="1101" t="s">
        <v>494</v>
      </c>
      <c r="B52" s="593">
        <f>ROUND($C$43*C52*D52,0)</f>
        <v>0</v>
      </c>
      <c r="C52" s="531">
        <f t="shared" ref="C52:C60" si="16">IF($C$50="北京市系数",I52,J52)</f>
        <v>0</v>
      </c>
      <c r="D52" s="2388">
        <v>0.25</v>
      </c>
      <c r="E52" s="1102"/>
      <c r="F52" s="1099">
        <f t="shared" si="15"/>
        <v>0</v>
      </c>
      <c r="G52" s="3605" t="s">
        <v>2324</v>
      </c>
      <c r="H52" s="2180">
        <f>项目基本情况!B37</f>
        <v>0</v>
      </c>
      <c r="I52" s="1767">
        <f>SUMIF(修正!A45:A56,H52,修正!B45:B56)</f>
        <v>0</v>
      </c>
      <c r="J52" s="1768"/>
      <c r="K52" s="2355"/>
      <c r="L52" s="1766"/>
      <c r="M52" s="1766"/>
      <c r="N52" s="1766"/>
      <c r="O52" s="1766"/>
    </row>
    <row r="53" spans="1:17" s="1100" customFormat="1">
      <c r="A53" s="1101" t="s">
        <v>495</v>
      </c>
      <c r="B53" s="593">
        <f t="shared" ref="B53:B60" si="17">ROUND($C$43*C53*D53,0)</f>
        <v>0</v>
      </c>
      <c r="C53" s="531">
        <f t="shared" si="16"/>
        <v>0</v>
      </c>
      <c r="D53" s="2388">
        <v>0.25</v>
      </c>
      <c r="E53" s="1102"/>
      <c r="F53" s="1099">
        <f t="shared" si="15"/>
        <v>0</v>
      </c>
      <c r="G53" s="3605"/>
      <c r="H53" s="2180">
        <f>项目基本情况!B37</f>
        <v>0</v>
      </c>
      <c r="I53" s="1767">
        <f>SUMIF(修正!A45:A56,H53,修正!C45:C56)</f>
        <v>0</v>
      </c>
      <c r="J53" s="1768"/>
      <c r="K53" s="2356"/>
      <c r="L53" s="1766"/>
      <c r="M53" s="1766"/>
      <c r="N53" s="1766"/>
      <c r="O53" s="1766"/>
    </row>
    <row r="54" spans="1:17" s="1100" customFormat="1">
      <c r="A54" s="1101" t="s">
        <v>496</v>
      </c>
      <c r="B54" s="593">
        <f t="shared" si="17"/>
        <v>0</v>
      </c>
      <c r="C54" s="531">
        <f t="shared" si="16"/>
        <v>0</v>
      </c>
      <c r="D54" s="2388">
        <v>0.25</v>
      </c>
      <c r="E54" s="1102"/>
      <c r="F54" s="1099">
        <f t="shared" si="15"/>
        <v>0</v>
      </c>
      <c r="G54" s="3605"/>
      <c r="H54" s="2180">
        <f>项目基本情况!B37</f>
        <v>0</v>
      </c>
      <c r="I54" s="1767">
        <f>SUMIF(修正!A45:A56,H54,修正!D45:D56)</f>
        <v>0</v>
      </c>
      <c r="J54" s="1768"/>
      <c r="K54" s="2355"/>
      <c r="L54" s="1766"/>
      <c r="M54" s="1766"/>
      <c r="N54" s="1766"/>
      <c r="O54" s="1766"/>
    </row>
    <row r="55" spans="1:17" s="1100" customFormat="1">
      <c r="A55" s="1101" t="s">
        <v>497</v>
      </c>
      <c r="B55" s="593">
        <f t="shared" si="17"/>
        <v>0</v>
      </c>
      <c r="C55" s="531">
        <f t="shared" si="16"/>
        <v>0</v>
      </c>
      <c r="D55" s="2388">
        <v>0.25</v>
      </c>
      <c r="E55" s="1102"/>
      <c r="F55" s="1099">
        <f t="shared" si="15"/>
        <v>0</v>
      </c>
      <c r="G55" s="3605"/>
      <c r="H55" s="2180">
        <f>项目基本情况!B37</f>
        <v>0</v>
      </c>
      <c r="I55" s="1767">
        <f>SUMIF(修正!A45:A56,H55,修正!E45:E56)</f>
        <v>0</v>
      </c>
      <c r="J55" s="1768"/>
      <c r="K55" s="2356"/>
      <c r="L55" s="1766"/>
      <c r="M55" s="1766"/>
      <c r="N55" s="1766"/>
      <c r="O55" s="1766"/>
    </row>
    <row r="56" spans="1:17" s="1100" customFormat="1">
      <c r="A56" s="2508" t="s">
        <v>2407</v>
      </c>
      <c r="B56" s="593">
        <f t="shared" si="17"/>
        <v>0</v>
      </c>
      <c r="C56" s="531">
        <f t="shared" si="16"/>
        <v>0</v>
      </c>
      <c r="D56" s="2388">
        <v>0.25</v>
      </c>
      <c r="E56" s="592">
        <f>'数据-汇总表'!E11</f>
        <v>0</v>
      </c>
      <c r="F56" s="1099">
        <f t="shared" si="15"/>
        <v>0</v>
      </c>
      <c r="G56" s="2192" t="s">
        <v>2325</v>
      </c>
      <c r="H56" s="2180">
        <f>项目基本情况!C37</f>
        <v>0</v>
      </c>
      <c r="I56" s="1767">
        <f>SUMIF(修正!A45:A56,H56,修正!F45:F56)</f>
        <v>0</v>
      </c>
      <c r="J56" s="1768"/>
      <c r="K56" s="2355"/>
      <c r="L56" s="1766"/>
      <c r="M56" s="1766"/>
      <c r="N56" s="1766"/>
      <c r="O56" s="1766"/>
    </row>
    <row r="57" spans="1:17" s="1100" customFormat="1">
      <c r="A57" s="1101" t="s">
        <v>498</v>
      </c>
      <c r="B57" s="593">
        <f t="shared" si="17"/>
        <v>0</v>
      </c>
      <c r="C57" s="531">
        <f t="shared" si="16"/>
        <v>0</v>
      </c>
      <c r="D57" s="2388">
        <v>0.25</v>
      </c>
      <c r="E57" s="592">
        <f>'数据-汇总表'!E12</f>
        <v>0</v>
      </c>
      <c r="F57" s="1099">
        <f t="shared" si="15"/>
        <v>0</v>
      </c>
      <c r="G57" s="2186" t="s">
        <v>141</v>
      </c>
      <c r="H57" s="2180">
        <f>IF(G57="商业",项目基本情况!B37,IF(G57="办公",项目基本情况!C37,IF(G57="住宅",项目基本情况!D37,项目基本情况!E37)))</f>
        <v>0</v>
      </c>
      <c r="I57" s="1767">
        <f>SUMIF(修正!A45:A56,H57,修正!G45:G56)</f>
        <v>0</v>
      </c>
      <c r="J57" s="1768"/>
      <c r="K57" s="2356"/>
      <c r="L57" s="1766"/>
      <c r="M57" s="1766"/>
      <c r="N57" s="1766"/>
      <c r="O57" s="1766"/>
    </row>
    <row r="58" spans="1:17" s="1100" customFormat="1">
      <c r="A58" s="1101" t="s">
        <v>499</v>
      </c>
      <c r="B58" s="593">
        <f t="shared" si="17"/>
        <v>0</v>
      </c>
      <c r="C58" s="531">
        <f t="shared" si="16"/>
        <v>0</v>
      </c>
      <c r="D58" s="2388">
        <v>0.25</v>
      </c>
      <c r="E58" s="592">
        <f>'数据-汇总表'!E13</f>
        <v>0</v>
      </c>
      <c r="F58" s="1099">
        <f t="shared" si="15"/>
        <v>0</v>
      </c>
      <c r="G58" s="2186" t="s">
        <v>40</v>
      </c>
      <c r="H58" s="2180">
        <f>IF(G58="商业",项目基本情况!B37,IF(G58="办公",项目基本情况!C37,IF(G58="住宅",项目基本情况!D37,项目基本情况!E37)))</f>
        <v>0</v>
      </c>
      <c r="I58" s="1767">
        <f>SUMIF(修正!A45:A56,H58,修正!H45:H56)</f>
        <v>0</v>
      </c>
      <c r="J58" s="1768"/>
      <c r="K58" s="2355"/>
      <c r="L58" s="1766"/>
      <c r="M58" s="1766"/>
      <c r="N58" s="1766"/>
      <c r="O58" s="1766"/>
    </row>
    <row r="59" spans="1:17" s="1100" customFormat="1">
      <c r="A59" s="1101" t="s">
        <v>500</v>
      </c>
      <c r="B59" s="593">
        <f t="shared" si="17"/>
        <v>0</v>
      </c>
      <c r="C59" s="531">
        <f t="shared" si="16"/>
        <v>0</v>
      </c>
      <c r="D59" s="2388">
        <v>0.25</v>
      </c>
      <c r="E59" s="592">
        <f>'数据-汇总表'!E14</f>
        <v>0</v>
      </c>
      <c r="F59" s="1099">
        <f t="shared" si="15"/>
        <v>0</v>
      </c>
      <c r="G59" s="2192" t="s">
        <v>2326</v>
      </c>
      <c r="H59" s="2180">
        <f>项目基本情况!B37</f>
        <v>0</v>
      </c>
      <c r="I59" s="1767">
        <f>SUMIF(修正!A45:A56,H59,修正!H45:H56)</f>
        <v>0</v>
      </c>
      <c r="J59" s="1768"/>
      <c r="K59" s="2356"/>
      <c r="L59" s="1766"/>
      <c r="M59" s="1766"/>
      <c r="N59" s="1766"/>
      <c r="O59" s="1766"/>
    </row>
    <row r="60" spans="1:17" s="1100" customFormat="1" ht="15" thickBot="1">
      <c r="A60" s="1101" t="s">
        <v>501</v>
      </c>
      <c r="B60" s="593">
        <f t="shared" si="17"/>
        <v>0</v>
      </c>
      <c r="C60" s="531">
        <f t="shared" si="16"/>
        <v>0</v>
      </c>
      <c r="D60" s="2388">
        <v>0.25</v>
      </c>
      <c r="E60" s="592">
        <f>'数据-汇总表'!E15</f>
        <v>0</v>
      </c>
      <c r="F60" s="1099">
        <f t="shared" si="15"/>
        <v>0</v>
      </c>
      <c r="G60" s="2193" t="s">
        <v>2325</v>
      </c>
      <c r="H60" s="2194">
        <f>项目基本情况!C37</f>
        <v>0</v>
      </c>
      <c r="I60" s="1767">
        <f>SUMIF(修正!A45:A56,H60,修正!H45:H56)</f>
        <v>0</v>
      </c>
      <c r="J60" s="1768"/>
      <c r="K60" s="2355"/>
      <c r="L60" s="1766"/>
      <c r="M60" s="1766"/>
      <c r="N60" s="1766"/>
      <c r="O60" s="1766"/>
    </row>
    <row r="61" spans="1:17" s="1100" customFormat="1" ht="15" thickBot="1">
      <c r="A61" s="1103" t="s">
        <v>502</v>
      </c>
      <c r="B61" s="1104" t="s">
        <v>156</v>
      </c>
      <c r="C61" s="1104" t="s">
        <v>157</v>
      </c>
      <c r="D61" s="1104" t="s">
        <v>2331</v>
      </c>
      <c r="E61" s="1104">
        <f>IF(B41="楼面地价",SUM(E51:E60),'数据-汇总表'!D3)</f>
        <v>104051.87</v>
      </c>
      <c r="F61" s="1105">
        <f>IF(B41="楼面地价",SUM(F51:F60),ROUND(C43*E61/10000,0))</f>
        <v>4984</v>
      </c>
      <c r="G61" s="2370"/>
      <c r="H61" s="2370"/>
      <c r="I61" s="2370"/>
      <c r="J61" s="2370"/>
      <c r="K61" s="2181"/>
      <c r="L61" s="1766"/>
      <c r="M61" s="1766"/>
      <c r="N61" s="1766"/>
      <c r="O61" s="1766"/>
    </row>
    <row r="62" spans="1:17">
      <c r="A62" s="2355"/>
      <c r="B62" s="2357"/>
      <c r="C62" s="2361"/>
      <c r="D62" s="2355"/>
      <c r="E62" s="2355"/>
      <c r="F62" s="2355"/>
      <c r="G62" s="2355"/>
      <c r="H62" s="2355"/>
      <c r="I62" s="2355"/>
      <c r="J62" s="2355"/>
      <c r="K62" s="2181"/>
      <c r="L62" s="2182"/>
      <c r="M62" s="2355"/>
      <c r="N62" s="2355"/>
      <c r="O62" s="2355"/>
    </row>
    <row r="63" spans="1:17">
      <c r="A63" s="2355"/>
      <c r="B63" s="2357"/>
      <c r="C63" s="1308" t="str">
        <f>YEAR(C7)&amp;"-"&amp;MONTH(C7)&amp;"-1"</f>
        <v>2017-7-1</v>
      </c>
      <c r="D63" s="1308">
        <f>EDATE(C63,-3)</f>
        <v>42826</v>
      </c>
      <c r="E63" s="1308">
        <f>EDATE(D63,-3)</f>
        <v>42736</v>
      </c>
      <c r="F63" s="1308">
        <f t="shared" ref="F63:O63" si="18">EDATE(E63,-3)</f>
        <v>42644</v>
      </c>
      <c r="G63" s="1308">
        <f t="shared" si="18"/>
        <v>42552</v>
      </c>
      <c r="H63" s="1308">
        <f t="shared" si="18"/>
        <v>42461</v>
      </c>
      <c r="I63" s="1308">
        <f t="shared" si="18"/>
        <v>42370</v>
      </c>
      <c r="J63" s="1308">
        <f t="shared" si="18"/>
        <v>42278</v>
      </c>
      <c r="K63" s="1308">
        <f t="shared" si="18"/>
        <v>42186</v>
      </c>
      <c r="L63" s="1308">
        <f t="shared" si="18"/>
        <v>42095</v>
      </c>
      <c r="M63" s="1308">
        <f t="shared" si="18"/>
        <v>42005</v>
      </c>
      <c r="N63" s="1308">
        <f t="shared" si="18"/>
        <v>41913</v>
      </c>
      <c r="O63" s="1308">
        <f t="shared" si="18"/>
        <v>41821</v>
      </c>
    </row>
    <row r="64" spans="1:17" ht="21.75" thickBot="1">
      <c r="A64" s="1310" t="s">
        <v>413</v>
      </c>
      <c r="B64" s="1306"/>
      <c r="C64" s="1311"/>
      <c r="D64" s="1311"/>
      <c r="E64" s="1311"/>
      <c r="F64" s="1312"/>
      <c r="G64" s="1312"/>
      <c r="H64" s="1311"/>
      <c r="I64" s="1311"/>
      <c r="J64" s="1311"/>
      <c r="K64" s="1313"/>
      <c r="L64" s="1314"/>
      <c r="M64" s="1311"/>
      <c r="N64" s="1311"/>
      <c r="O64" s="2371"/>
      <c r="P64" s="845"/>
      <c r="Q64" s="846"/>
    </row>
    <row r="65" spans="1:17" s="850" customFormat="1" ht="15">
      <c r="A65" s="2699" t="s">
        <v>2798</v>
      </c>
      <c r="B65" s="2700"/>
      <c r="C65" s="3034" t="str">
        <f>YEAR(C63)&amp;"-"&amp;ROUNDUP(MONTH(C63)/3,0)</f>
        <v>2017-3</v>
      </c>
      <c r="D65" s="3034" t="str">
        <f t="shared" ref="D65:O65" si="19">YEAR(D63)&amp;"-"&amp;ROUNDUP(MONTH(D63)/3,0)</f>
        <v>2017-2</v>
      </c>
      <c r="E65" s="3034" t="str">
        <f t="shared" si="19"/>
        <v>2017-1</v>
      </c>
      <c r="F65" s="3034" t="str">
        <f t="shared" si="19"/>
        <v>2016-4</v>
      </c>
      <c r="G65" s="3034" t="str">
        <f t="shared" si="19"/>
        <v>2016-3</v>
      </c>
      <c r="H65" s="3034" t="str">
        <f t="shared" si="19"/>
        <v>2016-2</v>
      </c>
      <c r="I65" s="3034" t="str">
        <f t="shared" si="19"/>
        <v>2016-1</v>
      </c>
      <c r="J65" s="3034" t="str">
        <f t="shared" si="19"/>
        <v>2015-4</v>
      </c>
      <c r="K65" s="3034" t="str">
        <f t="shared" si="19"/>
        <v>2015-3</v>
      </c>
      <c r="L65" s="3034" t="str">
        <f t="shared" si="19"/>
        <v>2015-2</v>
      </c>
      <c r="M65" s="3034" t="str">
        <f t="shared" si="19"/>
        <v>2015-1</v>
      </c>
      <c r="N65" s="3034" t="str">
        <f t="shared" si="19"/>
        <v>2014-4</v>
      </c>
      <c r="O65" s="3034" t="str">
        <f t="shared" si="19"/>
        <v>2014-3</v>
      </c>
      <c r="P65" s="849"/>
    </row>
    <row r="66" spans="1:17" s="406" customFormat="1" ht="30.75" customHeight="1">
      <c r="A66" s="3030" t="s">
        <v>2797</v>
      </c>
      <c r="B66" s="663" t="str">
        <f>"北京市平均增长率"&amp;TEXT(基准地价修正!P24,"0.00%")</f>
        <v>北京市平均增长率1.34%</v>
      </c>
      <c r="C66" s="945">
        <v>100</v>
      </c>
      <c r="D66" s="937">
        <v>99.85</v>
      </c>
      <c r="E66" s="937">
        <v>99.7</v>
      </c>
      <c r="F66" s="937">
        <v>99.55</v>
      </c>
      <c r="G66" s="937">
        <v>99.4</v>
      </c>
      <c r="H66" s="937">
        <v>99.25</v>
      </c>
      <c r="I66" s="937">
        <v>99.1</v>
      </c>
      <c r="J66" s="937">
        <v>98.95</v>
      </c>
      <c r="K66" s="937"/>
      <c r="L66" s="937"/>
      <c r="M66" s="3028"/>
      <c r="N66" s="3028"/>
      <c r="O66" s="3031"/>
      <c r="P66" s="846"/>
    </row>
    <row r="67" spans="1:17" s="406" customFormat="1" ht="15.75" thickBot="1">
      <c r="A67" s="857" t="s">
        <v>414</v>
      </c>
      <c r="B67" s="858"/>
      <c r="C67" s="859"/>
      <c r="D67" s="860"/>
      <c r="E67" s="860"/>
      <c r="F67" s="860"/>
      <c r="G67" s="860"/>
      <c r="H67" s="860"/>
      <c r="I67" s="860"/>
      <c r="J67" s="860"/>
      <c r="K67" s="860"/>
      <c r="L67" s="860"/>
      <c r="M67" s="861"/>
      <c r="N67" s="861"/>
      <c r="O67" s="862"/>
      <c r="P67" s="846"/>
      <c r="Q67" s="846"/>
    </row>
    <row r="68" spans="1:17" s="406" customFormat="1" ht="15">
      <c r="A68" s="863" t="s">
        <v>398</v>
      </c>
      <c r="B68" s="852"/>
      <c r="C68" s="864" t="s">
        <v>415</v>
      </c>
      <c r="D68" s="140"/>
      <c r="E68" s="140"/>
      <c r="F68" s="140"/>
      <c r="G68" s="140"/>
      <c r="H68" s="140"/>
      <c r="I68" s="140"/>
      <c r="J68" s="140"/>
      <c r="K68" s="140"/>
      <c r="L68" s="141"/>
      <c r="M68" s="1050"/>
      <c r="N68" s="2362"/>
      <c r="O68" s="2362"/>
      <c r="P68" s="868"/>
      <c r="Q68" s="846"/>
    </row>
    <row r="69" spans="1:17" s="406" customFormat="1" ht="15.75" thickBot="1">
      <c r="A69" s="863"/>
      <c r="B69" s="852"/>
      <c r="C69" s="981">
        <v>100</v>
      </c>
      <c r="D69" s="854"/>
      <c r="E69" s="854"/>
      <c r="F69" s="854"/>
      <c r="G69" s="854"/>
      <c r="H69" s="854"/>
      <c r="I69" s="854"/>
      <c r="J69" s="854"/>
      <c r="K69" s="854"/>
      <c r="L69" s="854"/>
      <c r="M69" s="856"/>
      <c r="N69" s="2362"/>
      <c r="O69" s="2362"/>
      <c r="P69" s="846"/>
      <c r="Q69" s="846"/>
    </row>
    <row r="70" spans="1:17">
      <c r="A70" s="869" t="s">
        <v>416</v>
      </c>
      <c r="B70" s="870" t="s">
        <v>417</v>
      </c>
      <c r="C70" s="122" t="s">
        <v>3235</v>
      </c>
      <c r="D70" s="122"/>
      <c r="E70" s="122"/>
      <c r="F70" s="122"/>
      <c r="G70" s="122"/>
      <c r="H70" s="122"/>
      <c r="I70" s="122"/>
      <c r="J70" s="122"/>
      <c r="K70" s="123"/>
      <c r="L70" s="124"/>
      <c r="M70" s="125"/>
      <c r="N70" s="2363"/>
      <c r="O70" s="2363"/>
      <c r="P70" s="334"/>
      <c r="Q70" s="846"/>
    </row>
    <row r="71" spans="1:17" ht="15.75" thickBot="1">
      <c r="A71" s="876"/>
      <c r="B71" s="877"/>
      <c r="C71" s="878">
        <v>100</v>
      </c>
      <c r="D71" s="878"/>
      <c r="E71" s="878"/>
      <c r="F71" s="878"/>
      <c r="G71" s="878"/>
      <c r="H71" s="878"/>
      <c r="I71" s="878"/>
      <c r="J71" s="878"/>
      <c r="K71" s="878"/>
      <c r="L71" s="878"/>
      <c r="M71" s="879"/>
      <c r="N71" s="2364"/>
      <c r="O71" s="2364"/>
      <c r="P71" s="334"/>
      <c r="Q71" s="846"/>
    </row>
    <row r="72" spans="1:17" ht="27.75" thickTop="1">
      <c r="A72" s="876"/>
      <c r="B72" s="880" t="s">
        <v>402</v>
      </c>
      <c r="C72" s="881"/>
      <c r="D72" s="881"/>
      <c r="E72" s="881"/>
      <c r="F72" s="881"/>
      <c r="G72" s="881"/>
      <c r="H72" s="881"/>
      <c r="I72" s="881"/>
      <c r="J72" s="881"/>
      <c r="K72" s="882"/>
      <c r="L72" s="883"/>
      <c r="M72" s="884"/>
      <c r="N72" s="2363"/>
      <c r="O72" s="2363"/>
      <c r="P72" s="334"/>
      <c r="Q72" s="846"/>
    </row>
    <row r="73" spans="1:17" ht="15.75" thickBot="1">
      <c r="A73" s="876"/>
      <c r="B73" s="885"/>
      <c r="C73" s="886"/>
      <c r="D73" s="886"/>
      <c r="E73" s="886"/>
      <c r="F73" s="886"/>
      <c r="G73" s="886"/>
      <c r="H73" s="886"/>
      <c r="I73" s="886"/>
      <c r="J73" s="886"/>
      <c r="K73" s="886"/>
      <c r="L73" s="886"/>
      <c r="M73" s="887"/>
      <c r="N73" s="2364"/>
      <c r="O73" s="2364"/>
      <c r="P73" s="334"/>
      <c r="Q73" s="846"/>
    </row>
    <row r="74" spans="1:17" ht="15.75" thickTop="1">
      <c r="A74" s="876"/>
      <c r="B74" s="1055" t="s">
        <v>93</v>
      </c>
      <c r="C74" s="889" t="str">
        <f>C75&amp;"（含）"&amp;"-"&amp;D75</f>
        <v>0（含）-1</v>
      </c>
      <c r="D74" s="889" t="str">
        <f t="shared" ref="D74:L74" si="20">D75&amp;"（含）"&amp;"-"&amp;E75</f>
        <v>1（含）-2</v>
      </c>
      <c r="E74" s="889" t="str">
        <f t="shared" si="20"/>
        <v>2（含）-3</v>
      </c>
      <c r="F74" s="889" t="str">
        <f t="shared" si="20"/>
        <v>3（含）-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4"/>
      <c r="O74" s="2364"/>
      <c r="P74" s="334"/>
      <c r="Q74" s="846"/>
    </row>
    <row r="75" spans="1:17" ht="15">
      <c r="A75" s="876"/>
      <c r="B75" s="1056"/>
      <c r="C75" s="891">
        <v>0</v>
      </c>
      <c r="D75" s="891">
        <v>1</v>
      </c>
      <c r="E75" s="891">
        <v>2</v>
      </c>
      <c r="F75" s="891">
        <v>3</v>
      </c>
      <c r="G75" s="891"/>
      <c r="H75" s="891"/>
      <c r="I75" s="891"/>
      <c r="J75" s="891"/>
      <c r="K75" s="892"/>
      <c r="L75" s="893"/>
      <c r="M75" s="894"/>
      <c r="N75" s="2363"/>
      <c r="O75" s="2363"/>
      <c r="P75" s="334"/>
      <c r="Q75" s="846"/>
    </row>
    <row r="76" spans="1:17" ht="15.75" thickBot="1">
      <c r="A76" s="876"/>
      <c r="B76" s="1052"/>
      <c r="C76" s="886">
        <v>100</v>
      </c>
      <c r="D76" s="886">
        <f>IF($B$41="单位面积地价",C76+$K11,C76-$K11)</f>
        <v>101</v>
      </c>
      <c r="E76" s="886">
        <f t="shared" ref="E76:M76" si="21">IF($B$41="单位面积地价",D76+$K11,D76-$K11)</f>
        <v>102</v>
      </c>
      <c r="F76" s="886">
        <f t="shared" si="21"/>
        <v>103</v>
      </c>
      <c r="G76" s="886">
        <f t="shared" si="21"/>
        <v>104</v>
      </c>
      <c r="H76" s="886">
        <f t="shared" si="21"/>
        <v>105</v>
      </c>
      <c r="I76" s="886">
        <f t="shared" si="21"/>
        <v>106</v>
      </c>
      <c r="J76" s="886">
        <f t="shared" si="21"/>
        <v>107</v>
      </c>
      <c r="K76" s="886">
        <f t="shared" si="21"/>
        <v>108</v>
      </c>
      <c r="L76" s="886">
        <f t="shared" si="21"/>
        <v>109</v>
      </c>
      <c r="M76" s="886">
        <f t="shared" si="21"/>
        <v>110</v>
      </c>
      <c r="N76" s="2364"/>
      <c r="O76" s="2364"/>
      <c r="P76" s="334"/>
      <c r="Q76" s="846"/>
    </row>
    <row r="77" spans="1:17" s="813" customFormat="1" ht="15.75" thickTop="1">
      <c r="A77" s="895"/>
      <c r="B77" s="1053">
        <f>B12</f>
        <v>111</v>
      </c>
      <c r="C77" s="139"/>
      <c r="D77" s="139"/>
      <c r="E77" s="139"/>
      <c r="F77" s="139"/>
      <c r="G77" s="139"/>
      <c r="H77" s="1058"/>
      <c r="I77" s="1058"/>
      <c r="J77" s="1058"/>
      <c r="K77" s="1058"/>
      <c r="L77" s="1059"/>
      <c r="M77" s="1060"/>
      <c r="N77" s="2365"/>
      <c r="O77" s="2365"/>
      <c r="P77" s="900"/>
      <c r="Q77" s="901"/>
    </row>
    <row r="78" spans="1:17" s="813" customFormat="1" ht="15.75" thickBot="1">
      <c r="A78" s="895"/>
      <c r="B78" s="1054"/>
      <c r="C78" s="902"/>
      <c r="D78" s="878"/>
      <c r="E78" s="878"/>
      <c r="F78" s="878"/>
      <c r="G78" s="878"/>
      <c r="H78" s="878"/>
      <c r="I78" s="878"/>
      <c r="J78" s="878"/>
      <c r="K78" s="878"/>
      <c r="L78" s="878"/>
      <c r="M78" s="879"/>
      <c r="N78" s="2364"/>
      <c r="O78" s="2364"/>
      <c r="P78" s="900"/>
      <c r="Q78" s="901"/>
    </row>
    <row r="79" spans="1:17" s="813" customFormat="1" ht="15.75" thickTop="1">
      <c r="A79" s="895"/>
      <c r="B79" s="1053">
        <f>B13</f>
        <v>111</v>
      </c>
      <c r="C79" s="139"/>
      <c r="D79" s="139"/>
      <c r="E79" s="139"/>
      <c r="F79" s="139"/>
      <c r="G79" s="139"/>
      <c r="H79" s="1058"/>
      <c r="I79" s="1058"/>
      <c r="J79" s="1058"/>
      <c r="K79" s="1058"/>
      <c r="L79" s="1059"/>
      <c r="M79" s="1060"/>
      <c r="N79" s="2365"/>
      <c r="O79" s="2365"/>
      <c r="P79" s="812"/>
      <c r="Q79" s="903"/>
    </row>
    <row r="80" spans="1:17" s="813" customFormat="1" ht="15.75" thickBot="1">
      <c r="A80" s="895"/>
      <c r="B80" s="1054"/>
      <c r="C80" s="902"/>
      <c r="D80" s="902"/>
      <c r="E80" s="902"/>
      <c r="F80" s="902"/>
      <c r="G80" s="902"/>
      <c r="H80" s="904"/>
      <c r="I80" s="904"/>
      <c r="J80" s="904"/>
      <c r="K80" s="904"/>
      <c r="L80" s="904"/>
      <c r="M80" s="905"/>
      <c r="N80" s="2365"/>
      <c r="O80" s="2365"/>
      <c r="P80" s="900"/>
      <c r="Q80" s="901"/>
    </row>
    <row r="81" spans="1:17" s="813" customFormat="1" ht="15.75" thickTop="1">
      <c r="A81" s="895"/>
      <c r="B81" s="1055">
        <f>B14</f>
        <v>111</v>
      </c>
      <c r="C81" s="140"/>
      <c r="D81" s="140"/>
      <c r="E81" s="140"/>
      <c r="F81" s="140"/>
      <c r="G81" s="140"/>
      <c r="H81" s="1065"/>
      <c r="I81" s="1065"/>
      <c r="J81" s="1065"/>
      <c r="K81" s="1065"/>
      <c r="L81" s="1066"/>
      <c r="M81" s="1067"/>
      <c r="N81" s="2365"/>
      <c r="O81" s="2365"/>
      <c r="P81" s="909"/>
      <c r="Q81" s="901"/>
    </row>
    <row r="82" spans="1:17" s="813" customFormat="1" ht="15.75" thickBot="1">
      <c r="A82" s="910"/>
      <c r="B82" s="1070"/>
      <c r="C82" s="912"/>
      <c r="D82" s="912"/>
      <c r="E82" s="912"/>
      <c r="F82" s="912"/>
      <c r="G82" s="912"/>
      <c r="H82" s="913"/>
      <c r="I82" s="913"/>
      <c r="J82" s="913"/>
      <c r="K82" s="913"/>
      <c r="L82" s="913"/>
      <c r="M82" s="914"/>
      <c r="N82" s="2365"/>
      <c r="O82" s="2365"/>
      <c r="P82" s="900"/>
      <c r="Q82" s="901"/>
    </row>
    <row r="83" spans="1:17">
      <c r="A83" s="869" t="s">
        <v>404</v>
      </c>
      <c r="B83" s="286" t="s">
        <v>158</v>
      </c>
      <c r="C83" s="915" t="s">
        <v>423</v>
      </c>
      <c r="D83" s="915" t="s">
        <v>424</v>
      </c>
      <c r="E83" s="915" t="s">
        <v>425</v>
      </c>
      <c r="F83" s="915" t="s">
        <v>426</v>
      </c>
      <c r="G83" s="915" t="s">
        <v>427</v>
      </c>
      <c r="H83" s="871"/>
      <c r="I83" s="871"/>
      <c r="J83" s="871"/>
      <c r="K83" s="916"/>
      <c r="L83" s="917"/>
      <c r="M83" s="918"/>
      <c r="N83" s="2363"/>
      <c r="O83" s="2363"/>
      <c r="P83" s="919"/>
      <c r="Q83" s="846"/>
    </row>
    <row r="84" spans="1:17" ht="15.75" thickBot="1">
      <c r="A84" s="876"/>
      <c r="B84" s="1054"/>
      <c r="C84" s="886">
        <v>100</v>
      </c>
      <c r="D84" s="886">
        <f>C84-$K15</f>
        <v>98</v>
      </c>
      <c r="E84" s="886">
        <f>D84-$K15</f>
        <v>96</v>
      </c>
      <c r="F84" s="886">
        <f>E84-$K15</f>
        <v>94</v>
      </c>
      <c r="G84" s="886">
        <f>F84-$K15</f>
        <v>92</v>
      </c>
      <c r="H84" s="886"/>
      <c r="I84" s="886"/>
      <c r="J84" s="886"/>
      <c r="K84" s="886"/>
      <c r="L84" s="886"/>
      <c r="M84" s="887"/>
      <c r="N84" s="2364"/>
      <c r="O84" s="2364"/>
      <c r="P84" s="334"/>
      <c r="Q84" s="846"/>
    </row>
    <row r="85" spans="1:17" ht="15.75" thickTop="1">
      <c r="A85" s="876"/>
      <c r="B85" s="1053" t="s">
        <v>92</v>
      </c>
      <c r="C85" s="920" t="s">
        <v>423</v>
      </c>
      <c r="D85" s="920" t="s">
        <v>424</v>
      </c>
      <c r="E85" s="920" t="s">
        <v>425</v>
      </c>
      <c r="F85" s="920" t="s">
        <v>426</v>
      </c>
      <c r="G85" s="920" t="s">
        <v>427</v>
      </c>
      <c r="H85" s="881"/>
      <c r="I85" s="881"/>
      <c r="J85" s="881"/>
      <c r="K85" s="882"/>
      <c r="L85" s="883"/>
      <c r="M85" s="884"/>
      <c r="N85" s="2363"/>
      <c r="O85" s="2363"/>
      <c r="P85" s="334"/>
      <c r="Q85" s="846"/>
    </row>
    <row r="86" spans="1:17" ht="15.75" thickBot="1">
      <c r="A86" s="876"/>
      <c r="B86" s="1054"/>
      <c r="C86" s="886">
        <v>100</v>
      </c>
      <c r="D86" s="886">
        <f>C86-$K17</f>
        <v>98</v>
      </c>
      <c r="E86" s="886">
        <f>D86-$K17</f>
        <v>96</v>
      </c>
      <c r="F86" s="886">
        <f>E86-$K17</f>
        <v>94</v>
      </c>
      <c r="G86" s="886">
        <f>F86-$K17</f>
        <v>92</v>
      </c>
      <c r="H86" s="886"/>
      <c r="I86" s="886"/>
      <c r="J86" s="886"/>
      <c r="K86" s="886"/>
      <c r="L86" s="886"/>
      <c r="M86" s="887"/>
      <c r="N86" s="2364"/>
      <c r="O86" s="2364"/>
      <c r="P86" s="334"/>
      <c r="Q86" s="846"/>
    </row>
    <row r="87" spans="1:17" s="406" customFormat="1" ht="27.75" thickTop="1">
      <c r="A87" s="921"/>
      <c r="B87" s="1053" t="s">
        <v>109</v>
      </c>
      <c r="C87" s="915" t="s">
        <v>423</v>
      </c>
      <c r="D87" s="915" t="s">
        <v>424</v>
      </c>
      <c r="E87" s="915" t="s">
        <v>425</v>
      </c>
      <c r="F87" s="915" t="s">
        <v>426</v>
      </c>
      <c r="G87" s="915" t="s">
        <v>427</v>
      </c>
      <c r="H87" s="920"/>
      <c r="I87" s="920"/>
      <c r="J87" s="920"/>
      <c r="K87" s="920"/>
      <c r="L87" s="1106"/>
      <c r="M87" s="964"/>
      <c r="N87" s="2362"/>
      <c r="O87" s="2362"/>
      <c r="P87" s="334"/>
      <c r="Q87" s="846"/>
    </row>
    <row r="88" spans="1:17" s="406" customFormat="1" ht="15.75" thickBot="1">
      <c r="A88" s="921"/>
      <c r="B88" s="1054"/>
      <c r="C88" s="924">
        <v>100</v>
      </c>
      <c r="D88" s="886">
        <f>C88-$K19</f>
        <v>95</v>
      </c>
      <c r="E88" s="886">
        <f>D88-$K19</f>
        <v>90</v>
      </c>
      <c r="F88" s="886">
        <f>E88-$K19</f>
        <v>85</v>
      </c>
      <c r="G88" s="886">
        <f>F88-$K19</f>
        <v>80</v>
      </c>
      <c r="H88" s="886"/>
      <c r="I88" s="886"/>
      <c r="J88" s="886"/>
      <c r="K88" s="886"/>
      <c r="L88" s="886"/>
      <c r="M88" s="887"/>
      <c r="N88" s="2364"/>
      <c r="O88" s="2364"/>
      <c r="P88" s="334"/>
      <c r="Q88" s="846"/>
    </row>
    <row r="89" spans="1:17" s="406" customFormat="1" ht="27.75" thickTop="1">
      <c r="A89" s="921"/>
      <c r="B89" s="1053" t="s">
        <v>154</v>
      </c>
      <c r="C89" s="915" t="s">
        <v>423</v>
      </c>
      <c r="D89" s="915" t="s">
        <v>424</v>
      </c>
      <c r="E89" s="915" t="s">
        <v>425</v>
      </c>
      <c r="F89" s="915" t="s">
        <v>426</v>
      </c>
      <c r="G89" s="915" t="s">
        <v>427</v>
      </c>
      <c r="H89" s="920"/>
      <c r="I89" s="920"/>
      <c r="J89" s="920"/>
      <c r="K89" s="920"/>
      <c r="L89" s="920"/>
      <c r="M89" s="964"/>
      <c r="N89" s="2362"/>
      <c r="O89" s="2362"/>
      <c r="P89" s="334"/>
      <c r="Q89" s="846"/>
    </row>
    <row r="90" spans="1:17" s="406" customFormat="1" ht="15.75" thickBot="1">
      <c r="A90" s="921"/>
      <c r="B90" s="1054"/>
      <c r="C90" s="886">
        <v>100</v>
      </c>
      <c r="D90" s="886">
        <f>C90-$K21</f>
        <v>98</v>
      </c>
      <c r="E90" s="886">
        <f>D90-$K21</f>
        <v>96</v>
      </c>
      <c r="F90" s="886">
        <f>E90-$K21</f>
        <v>94</v>
      </c>
      <c r="G90" s="886">
        <f>F90-$K21</f>
        <v>92</v>
      </c>
      <c r="H90" s="886"/>
      <c r="I90" s="886"/>
      <c r="J90" s="886"/>
      <c r="K90" s="886"/>
      <c r="L90" s="886"/>
      <c r="M90" s="887"/>
      <c r="N90" s="2364"/>
      <c r="O90" s="2364"/>
      <c r="P90" s="334"/>
      <c r="Q90" s="846"/>
    </row>
    <row r="91" spans="1:17" s="813" customFormat="1" ht="15.75" thickTop="1">
      <c r="A91" s="895"/>
      <c r="B91" s="1053" t="s">
        <v>2674</v>
      </c>
      <c r="C91" s="915" t="s">
        <v>423</v>
      </c>
      <c r="D91" s="915" t="s">
        <v>424</v>
      </c>
      <c r="E91" s="915" t="s">
        <v>425</v>
      </c>
      <c r="F91" s="915" t="s">
        <v>426</v>
      </c>
      <c r="G91" s="915" t="s">
        <v>427</v>
      </c>
      <c r="H91" s="942"/>
      <c r="I91" s="942"/>
      <c r="J91" s="942"/>
      <c r="K91" s="942"/>
      <c r="L91" s="943"/>
      <c r="M91" s="944"/>
      <c r="N91" s="2365"/>
      <c r="O91" s="2365"/>
      <c r="P91" s="900"/>
      <c r="Q91" s="901"/>
    </row>
    <row r="92" spans="1:17" s="813" customFormat="1" ht="15.75" thickBot="1">
      <c r="A92" s="895"/>
      <c r="B92" s="1054"/>
      <c r="C92" s="886">
        <v>100</v>
      </c>
      <c r="D92" s="886">
        <f>C92-$K23</f>
        <v>98</v>
      </c>
      <c r="E92" s="886">
        <f>D92-$K23</f>
        <v>96</v>
      </c>
      <c r="F92" s="886">
        <f>E92-$K23</f>
        <v>94</v>
      </c>
      <c r="G92" s="886">
        <f>F92-$K23</f>
        <v>92</v>
      </c>
      <c r="H92" s="949"/>
      <c r="I92" s="949"/>
      <c r="J92" s="949"/>
      <c r="K92" s="949"/>
      <c r="L92" s="949"/>
      <c r="M92" s="950"/>
      <c r="N92" s="2365"/>
      <c r="O92" s="2365"/>
      <c r="P92" s="900"/>
      <c r="Q92" s="901"/>
    </row>
    <row r="93" spans="1:17" s="813" customFormat="1" ht="15.75" thickTop="1">
      <c r="A93" s="895"/>
      <c r="B93" s="1055" t="s">
        <v>2676</v>
      </c>
      <c r="C93" s="213" t="s">
        <v>2662</v>
      </c>
      <c r="D93" s="213" t="s">
        <v>2663</v>
      </c>
      <c r="E93" s="213" t="s">
        <v>2664</v>
      </c>
      <c r="F93" s="213" t="s">
        <v>2665</v>
      </c>
      <c r="G93" s="213" t="s">
        <v>2666</v>
      </c>
      <c r="H93" s="942"/>
      <c r="I93" s="942"/>
      <c r="J93" s="942"/>
      <c r="K93" s="942"/>
      <c r="L93" s="942"/>
      <c r="M93" s="944"/>
      <c r="N93" s="2365"/>
      <c r="O93" s="2365"/>
      <c r="P93" s="900"/>
      <c r="Q93" s="901"/>
    </row>
    <row r="94" spans="1:17" s="813" customFormat="1" ht="15.75" thickBot="1">
      <c r="A94" s="895"/>
      <c r="B94" s="1055"/>
      <c r="C94" s="886">
        <v>100</v>
      </c>
      <c r="D94" s="886">
        <f>C94-$K25</f>
        <v>98</v>
      </c>
      <c r="E94" s="886">
        <f>D94-$K25</f>
        <v>96</v>
      </c>
      <c r="F94" s="886">
        <f>E94-$K25</f>
        <v>94</v>
      </c>
      <c r="G94" s="886">
        <f>F94-$K25</f>
        <v>92</v>
      </c>
      <c r="H94" s="890"/>
      <c r="I94" s="890"/>
      <c r="J94" s="890"/>
      <c r="K94" s="890"/>
      <c r="L94" s="890"/>
      <c r="M94" s="2763"/>
      <c r="N94" s="2365"/>
      <c r="O94" s="2365"/>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63"/>
      <c r="O95" s="2363"/>
      <c r="P95" s="334"/>
      <c r="Q95" s="846"/>
    </row>
    <row r="96" spans="1:17" ht="15.75" thickBot="1">
      <c r="A96" s="876"/>
      <c r="B96" s="1054"/>
      <c r="C96" s="886">
        <v>100</v>
      </c>
      <c r="D96" s="886">
        <f t="shared" ref="D96:M96" si="22">C96-$K27</f>
        <v>99</v>
      </c>
      <c r="E96" s="886">
        <f t="shared" si="22"/>
        <v>98</v>
      </c>
      <c r="F96" s="886">
        <f t="shared" si="22"/>
        <v>97</v>
      </c>
      <c r="G96" s="886">
        <f t="shared" si="22"/>
        <v>96</v>
      </c>
      <c r="H96" s="886">
        <f t="shared" si="22"/>
        <v>95</v>
      </c>
      <c r="I96" s="886">
        <f t="shared" si="22"/>
        <v>94</v>
      </c>
      <c r="J96" s="886">
        <f t="shared" si="22"/>
        <v>93</v>
      </c>
      <c r="K96" s="886">
        <f t="shared" si="22"/>
        <v>92</v>
      </c>
      <c r="L96" s="886">
        <f t="shared" si="22"/>
        <v>91</v>
      </c>
      <c r="M96" s="886">
        <f t="shared" si="22"/>
        <v>90</v>
      </c>
      <c r="N96" s="2364"/>
      <c r="O96" s="2364"/>
      <c r="P96" s="334"/>
      <c r="Q96" s="846"/>
    </row>
    <row r="97" spans="1:17" ht="27.75" thickTop="1">
      <c r="A97" s="876"/>
      <c r="B97" s="1053" t="s">
        <v>144</v>
      </c>
      <c r="C97" s="896" t="s">
        <v>3178</v>
      </c>
      <c r="D97" s="896" t="s">
        <v>3179</v>
      </c>
      <c r="E97" s="896" t="s">
        <v>3180</v>
      </c>
      <c r="F97" s="896" t="s">
        <v>3181</v>
      </c>
      <c r="G97" s="896" t="s">
        <v>3182</v>
      </c>
      <c r="H97" s="131"/>
      <c r="I97" s="131"/>
      <c r="J97" s="131"/>
      <c r="K97" s="132"/>
      <c r="L97" s="133"/>
      <c r="M97" s="134"/>
      <c r="N97" s="2363"/>
      <c r="O97" s="2363"/>
      <c r="P97" s="334"/>
      <c r="Q97" s="846"/>
    </row>
    <row r="98" spans="1:17" ht="15.75" thickBot="1">
      <c r="A98" s="876"/>
      <c r="B98" s="1054"/>
      <c r="C98" s="886">
        <v>100</v>
      </c>
      <c r="D98" s="886">
        <f t="shared" ref="D98:M98" si="23">C98-$K28</f>
        <v>99</v>
      </c>
      <c r="E98" s="886">
        <f t="shared" si="23"/>
        <v>98</v>
      </c>
      <c r="F98" s="886">
        <f t="shared" si="23"/>
        <v>97</v>
      </c>
      <c r="G98" s="886">
        <f t="shared" si="23"/>
        <v>96</v>
      </c>
      <c r="H98" s="886">
        <f t="shared" si="23"/>
        <v>95</v>
      </c>
      <c r="I98" s="886">
        <f t="shared" si="23"/>
        <v>94</v>
      </c>
      <c r="J98" s="886">
        <f t="shared" si="23"/>
        <v>93</v>
      </c>
      <c r="K98" s="886">
        <f t="shared" si="23"/>
        <v>92</v>
      </c>
      <c r="L98" s="886">
        <f t="shared" si="23"/>
        <v>91</v>
      </c>
      <c r="M98" s="886">
        <f t="shared" si="23"/>
        <v>90</v>
      </c>
      <c r="N98" s="2364"/>
      <c r="O98" s="2364"/>
      <c r="P98" s="334"/>
      <c r="Q98" s="846"/>
    </row>
    <row r="99" spans="1:17" ht="15.75" thickTop="1">
      <c r="A99" s="876"/>
      <c r="B99" s="1053" t="s">
        <v>153</v>
      </c>
      <c r="C99" s="925"/>
      <c r="D99" s="925"/>
      <c r="E99" s="925"/>
      <c r="F99" s="925"/>
      <c r="G99" s="925"/>
      <c r="H99" s="925"/>
      <c r="I99" s="925"/>
      <c r="J99" s="925"/>
      <c r="K99" s="926"/>
      <c r="L99" s="927"/>
      <c r="M99" s="928"/>
      <c r="N99" s="2363"/>
      <c r="O99" s="2363"/>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4"/>
      <c r="O100" s="2364"/>
      <c r="P100" s="334"/>
      <c r="Q100" s="846"/>
    </row>
    <row r="101" spans="1:17" ht="15.75" thickTop="1">
      <c r="A101" s="876"/>
      <c r="B101" s="1055">
        <f>B31</f>
        <v>111</v>
      </c>
      <c r="C101" s="139"/>
      <c r="D101" s="139"/>
      <c r="E101" s="139"/>
      <c r="F101" s="139"/>
      <c r="G101" s="135"/>
      <c r="H101" s="135"/>
      <c r="I101" s="135"/>
      <c r="J101" s="135"/>
      <c r="K101" s="136"/>
      <c r="L101" s="137"/>
      <c r="M101" s="138"/>
      <c r="N101" s="2363"/>
      <c r="O101" s="2363"/>
      <c r="P101" s="334"/>
      <c r="Q101" s="846"/>
    </row>
    <row r="102" spans="1:17" ht="15.75" thickBot="1">
      <c r="A102" s="876"/>
      <c r="B102" s="1070"/>
      <c r="C102" s="902"/>
      <c r="D102" s="878"/>
      <c r="E102" s="878"/>
      <c r="F102" s="878"/>
      <c r="G102" s="933"/>
      <c r="H102" s="933"/>
      <c r="I102" s="933"/>
      <c r="J102" s="933"/>
      <c r="K102" s="933"/>
      <c r="L102" s="933"/>
      <c r="M102" s="934"/>
      <c r="N102" s="2364"/>
      <c r="O102" s="2364"/>
      <c r="P102" s="334"/>
      <c r="Q102" s="846"/>
    </row>
    <row r="103" spans="1:17" ht="15" thickTop="1">
      <c r="A103" s="1083"/>
      <c r="B103" s="1053">
        <f>B32</f>
        <v>111</v>
      </c>
      <c r="C103" s="139"/>
      <c r="D103" s="139"/>
      <c r="E103" s="139"/>
      <c r="F103" s="139"/>
      <c r="G103" s="131"/>
      <c r="H103" s="131"/>
      <c r="I103" s="131"/>
      <c r="J103" s="131"/>
      <c r="K103" s="132"/>
      <c r="L103" s="133"/>
      <c r="M103" s="134"/>
      <c r="N103" s="2363"/>
      <c r="O103" s="2363"/>
      <c r="P103" s="334"/>
      <c r="Q103" s="846"/>
    </row>
    <row r="104" spans="1:17" ht="15.75" thickBot="1">
      <c r="A104" s="876"/>
      <c r="B104" s="1054"/>
      <c r="C104" s="902"/>
      <c r="D104" s="902"/>
      <c r="E104" s="902"/>
      <c r="F104" s="902"/>
      <c r="G104" s="878"/>
      <c r="H104" s="878"/>
      <c r="I104" s="878"/>
      <c r="J104" s="878"/>
      <c r="K104" s="878"/>
      <c r="L104" s="878"/>
      <c r="M104" s="879"/>
      <c r="N104" s="2364"/>
      <c r="O104" s="2364"/>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65"/>
      <c r="O105" s="2365"/>
      <c r="P105" s="900"/>
      <c r="Q105" s="901"/>
    </row>
    <row r="106" spans="1:17" s="813" customFormat="1" ht="15.75" thickBot="1">
      <c r="A106" s="895"/>
      <c r="B106" s="1055"/>
      <c r="C106" s="912"/>
      <c r="D106" s="912"/>
      <c r="E106" s="912"/>
      <c r="F106" s="912"/>
      <c r="G106" s="1085"/>
      <c r="H106" s="1085"/>
      <c r="I106" s="1085"/>
      <c r="J106" s="1085"/>
      <c r="K106" s="1085"/>
      <c r="L106" s="1085"/>
      <c r="M106" s="1107"/>
      <c r="N106" s="2364"/>
      <c r="O106" s="2364"/>
      <c r="P106" s="900"/>
      <c r="Q106" s="901"/>
    </row>
    <row r="107" spans="1:17" ht="28.5">
      <c r="A107" s="869" t="s">
        <v>406</v>
      </c>
      <c r="B107" s="286" t="s">
        <v>87</v>
      </c>
      <c r="C107" s="871" t="str">
        <f t="shared" ref="C107:L107" si="25">C108&amp;"(含)"&amp;"-"&amp;D108</f>
        <v>0(含)-100000</v>
      </c>
      <c r="D107" s="871" t="str">
        <f t="shared" si="25"/>
        <v>100000(含)-200000</v>
      </c>
      <c r="E107" s="871" t="str">
        <f t="shared" si="25"/>
        <v>200000(含)-</v>
      </c>
      <c r="F107" s="871" t="str">
        <f t="shared" si="25"/>
        <v>(含)-</v>
      </c>
      <c r="G107" s="871" t="str">
        <f t="shared" si="25"/>
        <v>(含)-</v>
      </c>
      <c r="H107" s="871" t="str">
        <f t="shared" si="25"/>
        <v>(含)-</v>
      </c>
      <c r="I107" s="871" t="str">
        <f t="shared" si="25"/>
        <v>(含)-</v>
      </c>
      <c r="J107" s="871" t="str">
        <f t="shared" si="25"/>
        <v>(含)-</v>
      </c>
      <c r="K107" s="3298" t="str">
        <f t="shared" si="25"/>
        <v>(含)-</v>
      </c>
      <c r="L107" s="3298" t="str">
        <f t="shared" si="25"/>
        <v>(含)-</v>
      </c>
      <c r="M107" s="3299" t="str">
        <f>M108&amp;"(含)"&amp;"-"&amp;P108</f>
        <v>(含)-</v>
      </c>
      <c r="N107" s="2363"/>
      <c r="O107" s="2363"/>
      <c r="P107" s="334"/>
      <c r="Q107" s="846"/>
    </row>
    <row r="108" spans="1:17" ht="15">
      <c r="A108" s="876"/>
      <c r="B108" s="1055"/>
      <c r="C108" s="937">
        <v>0</v>
      </c>
      <c r="D108" s="937">
        <v>100000</v>
      </c>
      <c r="E108" s="937">
        <v>200000</v>
      </c>
      <c r="F108" s="937"/>
      <c r="G108" s="937"/>
      <c r="H108" s="937"/>
      <c r="I108" s="937"/>
      <c r="J108" s="938"/>
      <c r="K108" s="938"/>
      <c r="L108" s="939"/>
      <c r="M108" s="940"/>
      <c r="N108" s="2363"/>
      <c r="O108" s="2363"/>
      <c r="P108" s="334"/>
      <c r="Q108" s="846"/>
    </row>
    <row r="109" spans="1:17" ht="15.75" thickBot="1">
      <c r="A109" s="876"/>
      <c r="B109" s="1054"/>
      <c r="C109" s="912">
        <v>100</v>
      </c>
      <c r="D109" s="933">
        <v>100.5</v>
      </c>
      <c r="E109" s="933">
        <v>101</v>
      </c>
      <c r="F109" s="933"/>
      <c r="G109" s="933"/>
      <c r="H109" s="933"/>
      <c r="I109" s="933"/>
      <c r="J109" s="933"/>
      <c r="K109" s="933"/>
      <c r="L109" s="933"/>
      <c r="M109" s="934"/>
      <c r="N109" s="2364"/>
      <c r="O109" s="2364"/>
      <c r="P109" s="334"/>
      <c r="Q109" s="846"/>
    </row>
    <row r="110" spans="1:17" ht="15" thickTop="1">
      <c r="A110" s="941"/>
      <c r="B110" s="1053" t="s">
        <v>86</v>
      </c>
      <c r="C110" s="925" t="s">
        <v>3183</v>
      </c>
      <c r="D110" s="3331" t="s">
        <v>3184</v>
      </c>
      <c r="E110" s="925" t="s">
        <v>3185</v>
      </c>
      <c r="F110" s="925" t="s">
        <v>3186</v>
      </c>
      <c r="G110" s="131"/>
      <c r="H110" s="131"/>
      <c r="I110" s="131"/>
      <c r="J110" s="131"/>
      <c r="K110" s="132"/>
      <c r="L110" s="133"/>
      <c r="M110" s="134"/>
      <c r="N110" s="2363"/>
      <c r="O110" s="2363"/>
      <c r="P110" s="334"/>
      <c r="Q110" s="846"/>
    </row>
    <row r="111" spans="1:17" ht="15.75" thickBot="1">
      <c r="A111" s="876"/>
      <c r="B111" s="1054"/>
      <c r="C111" s="886">
        <v>100</v>
      </c>
      <c r="D111" s="886">
        <f t="shared" ref="D111:M111" si="26">C111-$K35</f>
        <v>99</v>
      </c>
      <c r="E111" s="886">
        <f t="shared" si="26"/>
        <v>98</v>
      </c>
      <c r="F111" s="886">
        <f t="shared" si="26"/>
        <v>97</v>
      </c>
      <c r="G111" s="886">
        <f t="shared" si="26"/>
        <v>96</v>
      </c>
      <c r="H111" s="886">
        <f t="shared" si="26"/>
        <v>95</v>
      </c>
      <c r="I111" s="886">
        <f t="shared" si="26"/>
        <v>94</v>
      </c>
      <c r="J111" s="886">
        <f t="shared" si="26"/>
        <v>93</v>
      </c>
      <c r="K111" s="886">
        <f t="shared" si="26"/>
        <v>92</v>
      </c>
      <c r="L111" s="886">
        <f t="shared" si="26"/>
        <v>91</v>
      </c>
      <c r="M111" s="887">
        <f t="shared" si="26"/>
        <v>90</v>
      </c>
      <c r="N111" s="2364"/>
      <c r="O111" s="2364"/>
      <c r="P111" s="334"/>
      <c r="Q111" s="846"/>
    </row>
    <row r="112" spans="1:17" s="813" customFormat="1" ht="15" thickTop="1">
      <c r="A112" s="935"/>
      <c r="B112" s="1053" t="s">
        <v>2508</v>
      </c>
      <c r="C112" s="3332" t="s">
        <v>3190</v>
      </c>
      <c r="D112" s="3332" t="s">
        <v>3191</v>
      </c>
      <c r="E112" s="3332" t="s">
        <v>3192</v>
      </c>
      <c r="F112" s="3332" t="s">
        <v>3193</v>
      </c>
      <c r="G112" s="3332" t="s">
        <v>3194</v>
      </c>
      <c r="H112" s="131"/>
      <c r="I112" s="131"/>
      <c r="J112" s="131"/>
      <c r="K112" s="132"/>
      <c r="L112" s="133"/>
      <c r="M112" s="134"/>
      <c r="N112" s="2365"/>
      <c r="O112" s="2365"/>
      <c r="P112" s="900"/>
      <c r="Q112" s="901"/>
    </row>
    <row r="113" spans="1:17" s="813" customFormat="1" ht="15.75" thickBot="1">
      <c r="A113" s="895"/>
      <c r="B113" s="1054"/>
      <c r="C113" s="886">
        <v>100</v>
      </c>
      <c r="D113" s="886">
        <f t="shared" ref="D113:M113" si="27">C113-$K36</f>
        <v>99</v>
      </c>
      <c r="E113" s="886">
        <f t="shared" si="27"/>
        <v>98</v>
      </c>
      <c r="F113" s="886">
        <f t="shared" si="27"/>
        <v>97</v>
      </c>
      <c r="G113" s="886">
        <f t="shared" si="27"/>
        <v>96</v>
      </c>
      <c r="H113" s="886">
        <f t="shared" si="27"/>
        <v>95</v>
      </c>
      <c r="I113" s="886">
        <f t="shared" si="27"/>
        <v>94</v>
      </c>
      <c r="J113" s="886">
        <f t="shared" si="27"/>
        <v>93</v>
      </c>
      <c r="K113" s="886">
        <f t="shared" si="27"/>
        <v>92</v>
      </c>
      <c r="L113" s="886">
        <f t="shared" si="27"/>
        <v>91</v>
      </c>
      <c r="M113" s="887">
        <f t="shared" si="27"/>
        <v>90</v>
      </c>
      <c r="N113" s="2365"/>
      <c r="O113" s="2365"/>
      <c r="P113" s="900"/>
      <c r="Q113" s="901"/>
    </row>
    <row r="114" spans="1:17" ht="15" thickTop="1">
      <c r="A114" s="941"/>
      <c r="B114" s="1053" t="s">
        <v>85</v>
      </c>
      <c r="C114" s="896" t="s">
        <v>3195</v>
      </c>
      <c r="D114" s="896" t="s">
        <v>3196</v>
      </c>
      <c r="E114" s="925" t="s">
        <v>3197</v>
      </c>
      <c r="F114" s="925" t="s">
        <v>3198</v>
      </c>
      <c r="G114" s="925" t="s">
        <v>3199</v>
      </c>
      <c r="H114" s="131"/>
      <c r="I114" s="131"/>
      <c r="J114" s="131"/>
      <c r="K114" s="132"/>
      <c r="L114" s="133"/>
      <c r="M114" s="134"/>
      <c r="N114" s="2363"/>
      <c r="O114" s="2363"/>
      <c r="P114" s="334"/>
      <c r="Q114" s="846"/>
    </row>
    <row r="115" spans="1:17" ht="15.75" thickBot="1">
      <c r="A115" s="876"/>
      <c r="B115" s="1054"/>
      <c r="C115" s="886">
        <v>100</v>
      </c>
      <c r="D115" s="886">
        <f t="shared" ref="D115:M115" si="28">C115-$K37</f>
        <v>99</v>
      </c>
      <c r="E115" s="886">
        <f t="shared" si="28"/>
        <v>98</v>
      </c>
      <c r="F115" s="886">
        <f t="shared" si="28"/>
        <v>97</v>
      </c>
      <c r="G115" s="886">
        <f t="shared" si="28"/>
        <v>96</v>
      </c>
      <c r="H115" s="886">
        <f t="shared" si="28"/>
        <v>95</v>
      </c>
      <c r="I115" s="886">
        <f t="shared" si="28"/>
        <v>94</v>
      </c>
      <c r="J115" s="886">
        <f t="shared" si="28"/>
        <v>93</v>
      </c>
      <c r="K115" s="886">
        <f t="shared" si="28"/>
        <v>92</v>
      </c>
      <c r="L115" s="886">
        <f t="shared" si="28"/>
        <v>91</v>
      </c>
      <c r="M115" s="887">
        <f t="shared" si="28"/>
        <v>90</v>
      </c>
      <c r="N115" s="2364"/>
      <c r="O115" s="2364"/>
      <c r="P115" s="334"/>
      <c r="Q115" s="846"/>
    </row>
    <row r="116" spans="1:17" ht="15" thickTop="1">
      <c r="A116" s="941"/>
      <c r="B116" s="1053">
        <f>B38</f>
        <v>111</v>
      </c>
      <c r="C116" s="139"/>
      <c r="D116" s="139"/>
      <c r="E116" s="139"/>
      <c r="F116" s="139"/>
      <c r="G116" s="139"/>
      <c r="H116" s="131"/>
      <c r="I116" s="131"/>
      <c r="J116" s="131"/>
      <c r="K116" s="132"/>
      <c r="L116" s="133"/>
      <c r="M116" s="134"/>
      <c r="N116" s="2363"/>
      <c r="O116" s="2363"/>
      <c r="P116" s="334"/>
      <c r="Q116" s="846"/>
    </row>
    <row r="117" spans="1:17" ht="15.75" thickBot="1">
      <c r="A117" s="876"/>
      <c r="B117" s="1054"/>
      <c r="C117" s="902"/>
      <c r="D117" s="878"/>
      <c r="E117" s="878"/>
      <c r="F117" s="878"/>
      <c r="G117" s="878"/>
      <c r="H117" s="878"/>
      <c r="I117" s="878"/>
      <c r="J117" s="878"/>
      <c r="K117" s="878"/>
      <c r="L117" s="878"/>
      <c r="M117" s="879"/>
      <c r="N117" s="2364"/>
      <c r="O117" s="2364"/>
      <c r="P117" s="334"/>
      <c r="Q117" s="846"/>
    </row>
    <row r="118" spans="1:17" ht="15" thickTop="1">
      <c r="A118" s="941"/>
      <c r="B118" s="1053">
        <f>B39</f>
        <v>111</v>
      </c>
      <c r="C118" s="139"/>
      <c r="D118" s="139"/>
      <c r="E118" s="139"/>
      <c r="F118" s="139"/>
      <c r="G118" s="131"/>
      <c r="H118" s="131"/>
      <c r="I118" s="131"/>
      <c r="J118" s="131"/>
      <c r="K118" s="132"/>
      <c r="L118" s="133"/>
      <c r="M118" s="134"/>
      <c r="N118" s="2363"/>
      <c r="O118" s="2363"/>
      <c r="P118" s="334"/>
      <c r="Q118" s="846"/>
    </row>
    <row r="119" spans="1:17" ht="15.75" thickBot="1">
      <c r="A119" s="876"/>
      <c r="B119" s="1054"/>
      <c r="C119" s="902"/>
      <c r="D119" s="902"/>
      <c r="E119" s="902"/>
      <c r="F119" s="902"/>
      <c r="G119" s="878"/>
      <c r="H119" s="878"/>
      <c r="I119" s="878"/>
      <c r="J119" s="878"/>
      <c r="K119" s="878"/>
      <c r="L119" s="878"/>
      <c r="M119" s="879"/>
      <c r="N119" s="2364"/>
      <c r="O119" s="2364"/>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65"/>
      <c r="O120" s="2365"/>
      <c r="P120" s="900"/>
      <c r="Q120" s="901"/>
    </row>
    <row r="121" spans="1:17" s="813" customFormat="1" ht="15.75" thickBot="1">
      <c r="A121" s="910"/>
      <c r="B121" s="1078"/>
      <c r="C121" s="912"/>
      <c r="D121" s="912"/>
      <c r="E121" s="912"/>
      <c r="F121" s="912"/>
      <c r="G121" s="933"/>
      <c r="H121" s="933"/>
      <c r="I121" s="933"/>
      <c r="J121" s="933"/>
      <c r="K121" s="933"/>
      <c r="L121" s="933"/>
      <c r="M121" s="934"/>
      <c r="N121" s="2365"/>
      <c r="O121" s="2365"/>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8" type="noConversion"/>
  <conditionalFormatting sqref="F46 H46 J46">
    <cfRule type="containsText" dxfId="147" priority="14" stopIfTrue="1" operator="containsText" text="超过">
      <formula>NOT(ISERROR(SEARCH("超过",F46)))</formula>
    </cfRule>
  </conditionalFormatting>
  <conditionalFormatting sqref="J48">
    <cfRule type="containsText" dxfId="146" priority="13" stopIfTrue="1" operator="containsText" text="超过">
      <formula>NOT(ISERROR(SEARCH("超过",J48)))</formula>
    </cfRule>
  </conditionalFormatting>
  <conditionalFormatting sqref="H48">
    <cfRule type="containsText" dxfId="145" priority="12" stopIfTrue="1" operator="containsText" text="超过">
      <formula>NOT(ISERROR(SEARCH("超过",H48)))</formula>
    </cfRule>
  </conditionalFormatting>
  <conditionalFormatting sqref="F48">
    <cfRule type="containsText" dxfId="144" priority="11" stopIfTrue="1" operator="containsText" text="超过">
      <formula>NOT(ISERROR(SEARCH("超过",F48)))</formula>
    </cfRule>
  </conditionalFormatting>
  <conditionalFormatting sqref="F47 H47 J47">
    <cfRule type="containsText" dxfId="143" priority="10" stopIfTrue="1" operator="containsText" text="超过">
      <formula>NOT(ISERROR(SEARCH("超过",F47)))</formula>
    </cfRule>
  </conditionalFormatting>
  <conditionalFormatting sqref="E46">
    <cfRule type="expression" dxfId="142" priority="9" stopIfTrue="1">
      <formula>$F$46="超过30%"</formula>
    </cfRule>
  </conditionalFormatting>
  <conditionalFormatting sqref="G48">
    <cfRule type="expression" dxfId="141" priority="8" stopIfTrue="1">
      <formula>$H$48="超过30%"</formula>
    </cfRule>
  </conditionalFormatting>
  <conditionalFormatting sqref="E48">
    <cfRule type="expression" dxfId="140" priority="6" stopIfTrue="1">
      <formula>$F$48="超过30%"</formula>
    </cfRule>
  </conditionalFormatting>
  <conditionalFormatting sqref="G46">
    <cfRule type="expression" dxfId="139" priority="5" stopIfTrue="1">
      <formula>$H$46="超过30%"</formula>
    </cfRule>
  </conditionalFormatting>
  <conditionalFormatting sqref="G47">
    <cfRule type="expression" dxfId="138" priority="4" stopIfTrue="1">
      <formula>$H$47="超过20%"</formula>
    </cfRule>
  </conditionalFormatting>
  <conditionalFormatting sqref="I46">
    <cfRule type="expression" dxfId="137" priority="3" stopIfTrue="1">
      <formula>$J$46="超过30%"</formula>
    </cfRule>
  </conditionalFormatting>
  <conditionalFormatting sqref="I47">
    <cfRule type="expression" dxfId="136" priority="2" stopIfTrue="1">
      <formula>$J$47="超过20%"</formula>
    </cfRule>
  </conditionalFormatting>
  <conditionalFormatting sqref="I48">
    <cfRule type="expression" dxfId="135" priority="1" stopIfTrue="1">
      <formula>$J$48="超过30%"</formula>
    </cfRule>
  </conditionalFormatting>
  <conditionalFormatting sqref="E47">
    <cfRule type="expression" dxfId="1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6">
    <tabColor rgb="FF00B0F0"/>
    <pageSetUpPr fitToPage="1"/>
  </sheetPr>
  <dimension ref="A1:AG34"/>
  <sheetViews>
    <sheetView workbookViewId="0">
      <selection activeCell="E14" sqref="E14"/>
    </sheetView>
  </sheetViews>
  <sheetFormatPr defaultColWidth="6.625" defaultRowHeight="12.75"/>
  <cols>
    <col min="1" max="1" width="9.75" style="1465" customWidth="1"/>
    <col min="2" max="2" width="25.75" style="1799" customWidth="1"/>
    <col min="3" max="3" width="10.375" style="1843" customWidth="1"/>
    <col min="4" max="4" width="9.875" style="1799" customWidth="1"/>
    <col min="5" max="5" width="9.5" style="1465" customWidth="1"/>
    <col min="6" max="6" width="10.125" style="1799" customWidth="1"/>
    <col min="7" max="7" width="10.75" style="1799" customWidth="1"/>
    <col min="8" max="8" width="10" style="1799" customWidth="1"/>
    <col min="9" max="11" width="9.5" style="1799" customWidth="1"/>
    <col min="12" max="12" width="9" style="1799" customWidth="1"/>
    <col min="13" max="13" width="10.5" style="1799" bestFit="1" customWidth="1"/>
    <col min="14" max="254" width="9" style="1799" customWidth="1"/>
    <col min="255" max="16384" width="6.625" style="1799"/>
  </cols>
  <sheetData>
    <row r="1" spans="1:33" ht="20.25">
      <c r="A1" s="571" t="s">
        <v>870</v>
      </c>
      <c r="B1" s="3047"/>
      <c r="C1" s="3048"/>
      <c r="D1" s="3046"/>
      <c r="E1" s="651"/>
      <c r="F1" s="651"/>
      <c r="G1" s="3047"/>
      <c r="H1" s="651"/>
      <c r="I1" s="651"/>
      <c r="J1" s="651"/>
      <c r="K1" s="651">
        <f>MATCH(C1,'数据-取费表'!A6:A16,0)+5</f>
        <v>6</v>
      </c>
    </row>
    <row r="2" spans="1:33" ht="18" customHeight="1">
      <c r="A2" s="576" t="s">
        <v>819</v>
      </c>
      <c r="B2" s="579">
        <f ca="1">C32</f>
        <v>15912</v>
      </c>
      <c r="C2" s="88" t="s">
        <v>1102</v>
      </c>
      <c r="D2" s="651"/>
      <c r="E2" s="651"/>
      <c r="F2" s="651"/>
      <c r="G2" s="651"/>
      <c r="H2" s="651"/>
      <c r="I2" s="651"/>
      <c r="J2" s="651"/>
      <c r="K2" s="651"/>
    </row>
    <row r="3" spans="1:33" ht="18" customHeight="1" thickBot="1">
      <c r="A3" s="578" t="s">
        <v>820</v>
      </c>
      <c r="B3" s="579">
        <f ca="1">ROUND(B2*10000/IF(C1="",'数据-汇总表'!E3,INDIRECT("'数据-取费表'!K"&amp;$K$1)),0)</f>
        <v>1808</v>
      </c>
      <c r="C3" s="88" t="s">
        <v>869</v>
      </c>
      <c r="D3" s="651"/>
      <c r="E3" s="651"/>
      <c r="F3" s="651"/>
      <c r="G3" s="651"/>
      <c r="H3" s="651"/>
      <c r="I3" s="651"/>
      <c r="J3" s="651"/>
      <c r="K3" s="651"/>
    </row>
    <row r="4" spans="1:33" s="1803" customFormat="1" ht="16.5" customHeight="1">
      <c r="A4" s="1800" t="s">
        <v>871</v>
      </c>
      <c r="B4" s="1801"/>
      <c r="C4" s="1844">
        <f ca="1">SUM(C8:K8)</f>
        <v>22175</v>
      </c>
      <c r="D4" s="1801"/>
      <c r="E4" s="1801"/>
      <c r="F4" s="1801"/>
      <c r="G4" s="1801"/>
      <c r="H4" s="1801"/>
      <c r="I4" s="1801"/>
      <c r="J4" s="1801"/>
      <c r="K4" s="1802"/>
    </row>
    <row r="5" spans="1:33" s="1807" customFormat="1" ht="15">
      <c r="A5" s="1804" t="s">
        <v>872</v>
      </c>
      <c r="B5" s="1805" t="s">
        <v>873</v>
      </c>
      <c r="C5" s="1272" t="s">
        <v>3268</v>
      </c>
      <c r="D5" s="1272"/>
      <c r="E5" s="1272"/>
      <c r="F5" s="1272"/>
      <c r="G5" s="1272"/>
      <c r="H5" s="1272"/>
      <c r="I5" s="1272"/>
      <c r="J5" s="1272"/>
      <c r="K5" s="1272"/>
      <c r="L5" s="1806"/>
      <c r="M5" s="1806"/>
      <c r="N5" s="1806"/>
      <c r="O5" s="1806"/>
      <c r="P5" s="1806"/>
      <c r="Q5" s="1806"/>
      <c r="R5" s="1806"/>
      <c r="S5" s="1806"/>
      <c r="T5" s="1806"/>
      <c r="U5" s="1806"/>
      <c r="V5" s="1806"/>
      <c r="W5" s="1806"/>
      <c r="X5" s="1806"/>
      <c r="Y5" s="1806"/>
      <c r="Z5" s="1806"/>
      <c r="AA5" s="1806"/>
      <c r="AB5" s="1806"/>
      <c r="AC5" s="1806"/>
      <c r="AD5" s="1806"/>
      <c r="AE5" s="1806"/>
      <c r="AF5" s="1806"/>
      <c r="AG5" s="1806"/>
    </row>
    <row r="6" spans="1:33" s="1812" customFormat="1" ht="13.5" customHeight="1">
      <c r="A6" s="1808" t="s">
        <v>1934</v>
      </c>
      <c r="B6" s="470" t="s">
        <v>874</v>
      </c>
      <c r="C6" s="1809">
        <f ca="1">收益法!C43</f>
        <v>3574</v>
      </c>
      <c r="D6" s="1809"/>
      <c r="E6" s="1809"/>
      <c r="F6" s="1809"/>
      <c r="G6" s="1809"/>
      <c r="H6" s="1809"/>
      <c r="I6" s="1809"/>
      <c r="J6" s="1809"/>
      <c r="K6" s="1810"/>
      <c r="L6" s="1811"/>
      <c r="M6" s="1811"/>
      <c r="N6" s="1811"/>
      <c r="O6" s="1811"/>
      <c r="P6" s="1811"/>
      <c r="Q6" s="1811"/>
      <c r="R6" s="1811"/>
      <c r="S6" s="1811"/>
      <c r="T6" s="1811"/>
      <c r="U6" s="1811"/>
      <c r="V6" s="1811"/>
      <c r="W6" s="1811"/>
      <c r="X6" s="1811"/>
      <c r="Y6" s="1811"/>
      <c r="Z6" s="1811"/>
      <c r="AA6" s="1811"/>
      <c r="AB6" s="1811"/>
      <c r="AC6" s="1811"/>
      <c r="AD6" s="1811"/>
      <c r="AE6" s="1811"/>
      <c r="AF6" s="1811"/>
      <c r="AG6" s="1811"/>
    </row>
    <row r="7" spans="1:33" s="1812" customFormat="1" ht="13.5" customHeight="1">
      <c r="A7" s="1813" t="s">
        <v>1915</v>
      </c>
      <c r="B7" s="470" t="s">
        <v>875</v>
      </c>
      <c r="C7" s="652">
        <f>SUMIF('数据-汇总表'!$C19:$C33,假设开发法!C5,'数据-汇总表'!$E19:$E33)</f>
        <v>62053.11</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1"/>
      <c r="M7" s="1811"/>
      <c r="N7" s="1811"/>
      <c r="O7" s="1811"/>
      <c r="P7" s="1811"/>
      <c r="Q7" s="1811"/>
      <c r="R7" s="1811"/>
      <c r="S7" s="1811"/>
      <c r="T7" s="1811"/>
      <c r="U7" s="1811"/>
      <c r="V7" s="1811"/>
      <c r="W7" s="1811"/>
      <c r="X7" s="1811"/>
      <c r="Y7" s="1811"/>
      <c r="Z7" s="1811"/>
      <c r="AA7" s="1811"/>
      <c r="AB7" s="1811"/>
      <c r="AC7" s="1811"/>
      <c r="AD7" s="1811"/>
      <c r="AE7" s="1811"/>
      <c r="AF7" s="1811"/>
      <c r="AG7" s="1811"/>
    </row>
    <row r="8" spans="1:33" s="1812" customFormat="1" ht="13.5" customHeight="1" thickBot="1">
      <c r="A8" s="1845" t="s">
        <v>1916</v>
      </c>
      <c r="B8" s="508" t="s">
        <v>876</v>
      </c>
      <c r="C8" s="1846">
        <f ca="1">收益法!C40</f>
        <v>22175</v>
      </c>
      <c r="D8" s="1846"/>
      <c r="E8" s="1846"/>
      <c r="F8" s="1847"/>
      <c r="G8" s="1847"/>
      <c r="H8" s="1847"/>
      <c r="I8" s="1847"/>
      <c r="J8" s="1847"/>
      <c r="K8" s="1848"/>
      <c r="L8" s="1811"/>
      <c r="M8" s="1811"/>
      <c r="N8" s="1811"/>
      <c r="O8" s="1811"/>
      <c r="P8" s="1811"/>
      <c r="Q8" s="1811"/>
      <c r="R8" s="1811"/>
      <c r="S8" s="1811"/>
      <c r="T8" s="1811"/>
      <c r="U8" s="1811"/>
      <c r="V8" s="1811"/>
      <c r="W8" s="1811"/>
      <c r="X8" s="1811"/>
      <c r="Y8" s="1811"/>
      <c r="Z8" s="1811"/>
      <c r="AA8" s="1811"/>
      <c r="AB8" s="1811"/>
      <c r="AC8" s="1811"/>
      <c r="AD8" s="1811"/>
      <c r="AE8" s="1811"/>
      <c r="AF8" s="1811"/>
      <c r="AG8" s="1811"/>
    </row>
    <row r="9" spans="1:33" s="1803" customFormat="1" ht="16.5" customHeight="1">
      <c r="A9" s="1800" t="s">
        <v>877</v>
      </c>
      <c r="B9" s="1801"/>
      <c r="C9" s="1801"/>
      <c r="D9" s="1801"/>
      <c r="E9" s="1801"/>
      <c r="F9" s="1801"/>
      <c r="G9" s="1801"/>
      <c r="H9" s="1801"/>
      <c r="I9" s="1801"/>
      <c r="J9" s="1801"/>
      <c r="K9" s="1802"/>
    </row>
    <row r="10" spans="1:33" s="1818" customFormat="1" ht="13.5" customHeight="1">
      <c r="A10" s="1804" t="s">
        <v>872</v>
      </c>
      <c r="B10" s="295" t="s">
        <v>873</v>
      </c>
      <c r="C10" s="1814" t="s">
        <v>878</v>
      </c>
      <c r="D10" s="1815" t="s">
        <v>879</v>
      </c>
      <c r="E10" s="1815" t="s">
        <v>880</v>
      </c>
      <c r="F10" s="1815" t="s">
        <v>881</v>
      </c>
      <c r="G10" s="295"/>
      <c r="H10" s="1816"/>
      <c r="I10" s="1816"/>
      <c r="J10" s="1816"/>
      <c r="K10" s="1817"/>
    </row>
    <row r="11" spans="1:33" s="1823" customFormat="1" ht="13.5" customHeight="1">
      <c r="A11" s="1819" t="s">
        <v>2956</v>
      </c>
      <c r="B11" s="1820" t="s">
        <v>882</v>
      </c>
      <c r="C11" s="654">
        <f ca="1">IF(C1="",'数据-取费表'!P16,INDIRECT("'数据-取费表'!p"&amp;$K$1)+INDIRECT("'数据-取费表'!ar"&amp;$K$1))</f>
        <v>1838</v>
      </c>
      <c r="D11" s="1821"/>
      <c r="E11" s="714"/>
      <c r="F11" s="1822">
        <f ca="1">1-IF('数据-取费表'!B24=0,1,IF(C1="",'数据-取费表'!N16,INDIRECT("'数据-取费表'!n"&amp;$K$1)))</f>
        <v>0.20899999999999996</v>
      </c>
      <c r="G11" s="295"/>
      <c r="H11" s="1816"/>
      <c r="I11" s="1816"/>
      <c r="J11" s="1816"/>
      <c r="K11" s="1817"/>
    </row>
    <row r="12" spans="1:33" s="1823" customFormat="1" ht="13.5" customHeight="1">
      <c r="A12" s="1819" t="s">
        <v>2957</v>
      </c>
      <c r="B12" s="1820" t="s">
        <v>883</v>
      </c>
      <c r="C12" s="313">
        <f ca="1">ROUND(C11*F12,0)</f>
        <v>55</v>
      </c>
      <c r="D12" s="1821"/>
      <c r="E12" s="714"/>
      <c r="F12" s="1824">
        <f>'数据-取费表'!B33</f>
        <v>0.03</v>
      </c>
      <c r="G12" s="295" t="s">
        <v>884</v>
      </c>
      <c r="H12" s="1816"/>
      <c r="I12" s="1816"/>
      <c r="J12" s="1816"/>
      <c r="K12" s="1817"/>
    </row>
    <row r="13" spans="1:33" s="1823" customFormat="1" ht="13.5" customHeight="1">
      <c r="A13" s="1819" t="s">
        <v>2958</v>
      </c>
      <c r="B13" s="1820" t="s">
        <v>885</v>
      </c>
      <c r="C13" s="313">
        <f ca="1">ROUND(IF(C1="",SUMIF('数据-取费表'!C:C,"住宅",'数据-取费表'!P:P)*F13,IF(INDIRECT("'数据-取费表'!c"&amp;$K$1)="住宅",INDIRECT("'数据-取费表'!P"&amp;$K$1)*F13,0)),0)</f>
        <v>0</v>
      </c>
      <c r="D13" s="1902"/>
      <c r="E13" s="714"/>
      <c r="F13" s="1824">
        <f>'数据-取费表'!B34</f>
        <v>0.05</v>
      </c>
      <c r="G13" s="295" t="s">
        <v>886</v>
      </c>
      <c r="H13" s="1816"/>
      <c r="I13" s="1816"/>
      <c r="J13" s="1816"/>
      <c r="K13" s="1817"/>
    </row>
    <row r="14" spans="1:33" s="1825" customFormat="1" ht="13.5" customHeight="1">
      <c r="A14" s="1819" t="s">
        <v>2959</v>
      </c>
      <c r="B14" s="1820" t="s">
        <v>887</v>
      </c>
      <c r="C14" s="313">
        <f ca="1">ROUND(D14*E14*F11/10000,0)</f>
        <v>276</v>
      </c>
      <c r="D14" s="1902">
        <f ca="1">IF(C1="",'数据-汇总表'!E3,INDIRECT("'数据-取费表'!K"&amp;$K$1)+INDIRECT("'数据-取费表'!S"&amp;$K$1))</f>
        <v>88021.11</v>
      </c>
      <c r="E14" s="313">
        <f>'数据-取费表'!B35</f>
        <v>150</v>
      </c>
      <c r="F14" s="1824"/>
      <c r="G14" s="295" t="s">
        <v>888</v>
      </c>
      <c r="H14" s="1816"/>
      <c r="I14" s="1816"/>
      <c r="J14" s="1816"/>
      <c r="K14" s="1817"/>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row>
    <row r="15" spans="1:33" s="1825" customFormat="1" ht="13.5" customHeight="1">
      <c r="A15" s="1819" t="s">
        <v>2960</v>
      </c>
      <c r="B15" s="1820" t="s">
        <v>894</v>
      </c>
      <c r="C15" s="1831">
        <f ca="1">ROUND(C11*F15,0)</f>
        <v>28</v>
      </c>
      <c r="D15" s="1826"/>
      <c r="E15" s="1831"/>
      <c r="F15" s="1832">
        <f>'数据-取费表'!B36</f>
        <v>1.4999999999999999E-2</v>
      </c>
      <c r="G15" s="470" t="s">
        <v>895</v>
      </c>
      <c r="H15" s="1827"/>
      <c r="I15" s="1827"/>
      <c r="J15" s="1827"/>
      <c r="K15" s="1828"/>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row>
    <row r="16" spans="1:33" s="1825" customFormat="1" ht="13.5" customHeight="1">
      <c r="A16" s="1819" t="s">
        <v>1935</v>
      </c>
      <c r="B16" s="3233" t="s">
        <v>2961</v>
      </c>
      <c r="C16" s="1831">
        <f ca="1">SUM(C11:C15)</f>
        <v>2197</v>
      </c>
      <c r="D16" s="1826"/>
      <c r="E16" s="1831"/>
      <c r="F16" s="1832"/>
      <c r="G16" s="470"/>
      <c r="H16" s="3044"/>
      <c r="I16" s="1827"/>
      <c r="J16" s="1827"/>
      <c r="K16" s="1828"/>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row>
    <row r="17" spans="1:33" s="1825" customFormat="1" ht="13.5" customHeight="1">
      <c r="A17" s="1819" t="s">
        <v>1936</v>
      </c>
      <c r="B17" s="1820" t="s">
        <v>889</v>
      </c>
      <c r="C17" s="313">
        <f ca="1">ROUND(D17*E17/10000,0)</f>
        <v>0</v>
      </c>
      <c r="D17" s="1902">
        <f ca="1">D14</f>
        <v>88021.11</v>
      </c>
      <c r="E17" s="313">
        <f>'数据-取费表'!B32</f>
        <v>0</v>
      </c>
      <c r="F17" s="1826"/>
      <c r="G17" s="470" t="s">
        <v>890</v>
      </c>
      <c r="H17" s="3044"/>
      <c r="I17" s="1827"/>
      <c r="J17" s="1827"/>
      <c r="K17" s="1828"/>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row>
    <row r="18" spans="1:33" s="1823" customFormat="1" ht="13.5" customHeight="1">
      <c r="A18" s="1819" t="s">
        <v>2962</v>
      </c>
      <c r="B18" s="1820" t="s">
        <v>891</v>
      </c>
      <c r="C18" s="313">
        <f ca="1">C19+C20-IF(C1="",'数据-取费表'!B29,IF(G18="已全部缴纳",C19+C20,H18))</f>
        <v>1303</v>
      </c>
      <c r="D18" s="1902"/>
      <c r="E18" s="313"/>
      <c r="F18" s="1824"/>
      <c r="G18" s="3043" t="s">
        <v>3224</v>
      </c>
      <c r="H18" s="3041">
        <f>'数据-取费表'!B29</f>
        <v>0</v>
      </c>
      <c r="I18" s="3042" t="s">
        <v>2806</v>
      </c>
      <c r="J18" s="1827"/>
      <c r="K18" s="1828"/>
    </row>
    <row r="19" spans="1:33" s="1823" customFormat="1" ht="13.5" customHeight="1">
      <c r="A19" s="1819" t="s">
        <v>1937</v>
      </c>
      <c r="B19" s="1820" t="s">
        <v>892</v>
      </c>
      <c r="C19" s="313">
        <f ca="1">ROUND(D19*E19/10000,0)</f>
        <v>0</v>
      </c>
      <c r="D19" s="1902">
        <f ca="1">IF(C1="",'数据-汇总表'!E5,IF(INDIRECT("'数据-取费表'!c"&amp;$K$1)="住宅",INDIRECT("'数据-取费表'!k"&amp;$K$1),0))</f>
        <v>0</v>
      </c>
      <c r="E19" s="313">
        <f>'数据-取费表'!B27</f>
        <v>0</v>
      </c>
      <c r="F19" s="1824"/>
      <c r="G19" s="303"/>
      <c r="H19" s="3045"/>
      <c r="I19" s="1829"/>
      <c r="J19" s="1829"/>
      <c r="K19" s="1830"/>
    </row>
    <row r="20" spans="1:33" s="1823" customFormat="1" ht="13.5" customHeight="1">
      <c r="A20" s="1819" t="s">
        <v>1938</v>
      </c>
      <c r="B20" s="1820" t="s">
        <v>893</v>
      </c>
      <c r="C20" s="313">
        <f ca="1">ROUND(D20*E20/10000,0)</f>
        <v>1303</v>
      </c>
      <c r="D20" s="1902">
        <f ca="1">IF(C1="",'数据-汇总表'!E6,IF(INDIRECT("'数据-取费表'!c"&amp;$K$1)="住宅",INDIRECT("'数据-取费表'!s"&amp;$K$1),INDIRECT("'数据-取费表'!k"&amp;$K$1)+INDIRECT("'数据-取费表'!s"&amp;$K$1)))</f>
        <v>88021.11</v>
      </c>
      <c r="E20" s="313">
        <f>'数据-取费表'!B28</f>
        <v>148</v>
      </c>
      <c r="F20" s="1824"/>
      <c r="G20" s="303"/>
      <c r="H20" s="1829"/>
      <c r="I20" s="1829"/>
      <c r="J20" s="1829"/>
      <c r="K20" s="1830"/>
    </row>
    <row r="21" spans="1:33" s="1823" customFormat="1" ht="13.5" customHeight="1">
      <c r="A21" s="1808" t="s">
        <v>1934</v>
      </c>
      <c r="B21" s="1833" t="s">
        <v>896</v>
      </c>
      <c r="C21" s="1834">
        <f ca="1">C16+C17+C18</f>
        <v>3500</v>
      </c>
      <c r="D21" s="1835"/>
      <c r="E21" s="656"/>
      <c r="F21" s="656"/>
      <c r="G21" s="470" t="s">
        <v>2532</v>
      </c>
      <c r="H21" s="1827"/>
      <c r="I21" s="1827"/>
      <c r="J21" s="1827"/>
      <c r="K21" s="1828"/>
    </row>
    <row r="22" spans="1:33" s="1823" customFormat="1" ht="13.5" customHeight="1">
      <c r="A22" s="1813" t="s">
        <v>1915</v>
      </c>
      <c r="B22" s="1833" t="s">
        <v>897</v>
      </c>
      <c r="C22" s="1834">
        <f ca="1">ROUND(C21*F22,0)</f>
        <v>53</v>
      </c>
      <c r="D22" s="656"/>
      <c r="E22" s="656"/>
      <c r="F22" s="1836">
        <f>'数据-取费表'!B37</f>
        <v>1.4999999999999999E-2</v>
      </c>
      <c r="G22" s="295" t="s">
        <v>898</v>
      </c>
      <c r="H22" s="1816"/>
      <c r="I22" s="1816"/>
      <c r="J22" s="1816"/>
      <c r="K22" s="1817"/>
    </row>
    <row r="23" spans="1:33" s="1823" customFormat="1" ht="13.5" customHeight="1">
      <c r="A23" s="1813" t="s">
        <v>1916</v>
      </c>
      <c r="B23" s="1833" t="s">
        <v>899</v>
      </c>
      <c r="C23" s="1834">
        <f ca="1">ROUND(C4*F23*F11,0)</f>
        <v>116</v>
      </c>
      <c r="D23" s="656"/>
      <c r="E23" s="656"/>
      <c r="F23" s="1836">
        <f>'数据-取费表'!B38</f>
        <v>2.5000000000000001E-2</v>
      </c>
      <c r="G23" s="295" t="s">
        <v>900</v>
      </c>
      <c r="H23" s="1816"/>
      <c r="I23" s="1816"/>
      <c r="J23" s="1816"/>
      <c r="K23" s="1817"/>
    </row>
    <row r="24" spans="1:33" s="1823" customFormat="1" ht="13.5" customHeight="1">
      <c r="A24" s="1813" t="s">
        <v>1917</v>
      </c>
      <c r="B24" s="1833" t="s">
        <v>901</v>
      </c>
      <c r="C24" s="655">
        <f>ROUND(F24/(1+'数据-取费表'!C42),4)</f>
        <v>2.9000000000000001E-2</v>
      </c>
      <c r="D24" s="656" t="s">
        <v>50</v>
      </c>
      <c r="E24" s="656"/>
      <c r="F24" s="1836">
        <f>'数据-取费表'!B48+'数据-取费表'!B49</f>
        <v>3.0499999999999999E-2</v>
      </c>
      <c r="G24" s="2015" t="s">
        <v>2954</v>
      </c>
      <c r="H24" s="1838"/>
      <c r="I24" s="1838"/>
      <c r="J24" s="1838"/>
      <c r="K24" s="1839"/>
    </row>
    <row r="25" spans="1:33" s="1823" customFormat="1" ht="13.5" customHeight="1">
      <c r="A25" s="1813" t="s">
        <v>1918</v>
      </c>
      <c r="B25" s="1835" t="s">
        <v>902</v>
      </c>
      <c r="C25" s="2695">
        <f ca="1">C27</f>
        <v>26</v>
      </c>
      <c r="D25" s="655">
        <f ca="1">C26</f>
        <v>1.44E-2</v>
      </c>
      <c r="E25" s="657" t="s">
        <v>50</v>
      </c>
      <c r="F25" s="658">
        <f ca="1">'数据-取费表'!B40</f>
        <v>4.7500000000000001E-2</v>
      </c>
      <c r="G25" s="2694" t="str">
        <f>IF('数据-取费表'!B22&lt;=1,"单利计息。","复利计息。")&amp;"后续开发成本、管理费用及销售费用产生的利息。"</f>
        <v>复利计息。后续开发成本、管理费用及销售费用产生的利息。</v>
      </c>
      <c r="H25" s="1838"/>
      <c r="I25" s="1838"/>
      <c r="J25" s="1838"/>
      <c r="K25" s="1839"/>
    </row>
    <row r="26" spans="1:33" s="1841" customFormat="1" ht="13.5" customHeight="1">
      <c r="A26" s="1819" t="s">
        <v>1935</v>
      </c>
      <c r="B26" s="1840" t="s">
        <v>903</v>
      </c>
      <c r="C26" s="2696">
        <f ca="1">ROUND(IF('数据-取费表'!B22&lt;=1,(1+C24)*F25*'数据-取费表'!B24,(1+C24)*(POWER((1+F25),'数据-取费表'!B24)-1)),4)</f>
        <v>1.44E-2</v>
      </c>
      <c r="D26" s="659"/>
      <c r="E26" s="660"/>
      <c r="F26" s="661"/>
      <c r="G26" s="2701" t="str">
        <f>IF('数据-取费表'!B22&lt;=1,"（(1)+取得税费率/(1+5%)）×年利率×建设期","（(1)+取得税费率）/(1+5%)×((1+年利率)^建设期-1)")</f>
        <v>（(1)+取得税费率）/(1+5%)×((1+年利率)^建设期-1)</v>
      </c>
      <c r="H26" s="1827"/>
      <c r="I26" s="1827"/>
      <c r="J26" s="1827"/>
      <c r="K26" s="1828"/>
    </row>
    <row r="27" spans="1:33" s="1841" customFormat="1" ht="13.5" customHeight="1">
      <c r="A27" s="1819" t="s">
        <v>1936</v>
      </c>
      <c r="B27" s="1840" t="s">
        <v>2622</v>
      </c>
      <c r="C27" s="2697">
        <f ca="1">ROUND(IF('数据-取费表'!B22&lt;=1,(C21+C22+C23)*F25*'数据-取费表'!B24/2,(C21+C22+C23)*(POWER((1+F25),'数据-取费表'!B24/2)-1)),0)</f>
        <v>26</v>
      </c>
      <c r="D27" s="659"/>
      <c r="E27" s="660"/>
      <c r="F27" s="661"/>
      <c r="G27" s="2701" t="str">
        <f>IF('数据-取费表'!B22&lt;=1,"（1）-（3）项×年利率×建设期÷2","（1）-（3）项×((1+年利率)^(建设期÷2)-1)")</f>
        <v>（1）-（3）项×((1+年利率)^(建设期÷2)-1)</v>
      </c>
      <c r="H27" s="1827"/>
      <c r="I27" s="1827"/>
      <c r="J27" s="1827"/>
      <c r="K27" s="1828"/>
    </row>
    <row r="28" spans="1:33" s="664" customFormat="1" ht="13.5" customHeight="1">
      <c r="A28" s="1813" t="s">
        <v>1919</v>
      </c>
      <c r="B28" s="3234" t="s">
        <v>2963</v>
      </c>
      <c r="C28" s="662">
        <f ca="1">C30</f>
        <v>367</v>
      </c>
      <c r="D28" s="655">
        <f ca="1">C29</f>
        <v>2.06E-2</v>
      </c>
      <c r="E28" s="657" t="s">
        <v>50</v>
      </c>
      <c r="F28" s="663">
        <f ca="1">IF(C1="",'数据-取费表'!Q16,INDIRECT("'数据-取费表'!q"&amp;$K$1))</f>
        <v>0.1</v>
      </c>
      <c r="G28" s="1837"/>
      <c r="H28" s="1838"/>
      <c r="I28" s="1838"/>
      <c r="J28" s="1838"/>
      <c r="K28" s="1839"/>
    </row>
    <row r="29" spans="1:33" s="666" customFormat="1" ht="13.5" customHeight="1">
      <c r="A29" s="1819" t="s">
        <v>1935</v>
      </c>
      <c r="B29" s="1842" t="s">
        <v>904</v>
      </c>
      <c r="C29" s="659">
        <f ca="1">ROUND((1+C24)*F28*'数据-取费表'!B24/'数据-取费表'!B20,4)</f>
        <v>2.06E-2</v>
      </c>
      <c r="D29" s="659"/>
      <c r="E29" s="660"/>
      <c r="F29" s="665"/>
      <c r="G29" s="470" t="s">
        <v>905</v>
      </c>
      <c r="H29" s="1827"/>
      <c r="I29" s="1827"/>
      <c r="J29" s="1827"/>
      <c r="K29" s="1828"/>
    </row>
    <row r="30" spans="1:33" s="666" customFormat="1" ht="13.5" customHeight="1">
      <c r="A30" s="1819" t="s">
        <v>1936</v>
      </c>
      <c r="B30" s="2702" t="s">
        <v>2623</v>
      </c>
      <c r="C30" s="667">
        <f ca="1">ROUND((C21+C22+C23)*F28,0)</f>
        <v>367</v>
      </c>
      <c r="D30" s="659"/>
      <c r="E30" s="660"/>
      <c r="F30" s="665"/>
      <c r="G30" s="470"/>
      <c r="H30" s="1827"/>
      <c r="I30" s="1827"/>
      <c r="J30" s="1827"/>
      <c r="K30" s="1828"/>
    </row>
    <row r="31" spans="1:33" s="1823" customFormat="1" ht="13.5" customHeight="1" thickBot="1">
      <c r="A31" s="1854" t="s">
        <v>1920</v>
      </c>
      <c r="B31" s="1855" t="s">
        <v>906</v>
      </c>
      <c r="C31" s="1856">
        <f ca="1">ROUND(C4*F31/(1+'数据-取费表'!C42),0)</f>
        <v>1183</v>
      </c>
      <c r="D31" s="1857"/>
      <c r="E31" s="1858"/>
      <c r="F31" s="1859">
        <f>'数据-取费表'!B41</f>
        <v>5.6000000000000001E-2</v>
      </c>
      <c r="G31" s="1860" t="s">
        <v>907</v>
      </c>
      <c r="H31" s="1861"/>
      <c r="I31" s="1861"/>
      <c r="J31" s="1861"/>
      <c r="K31" s="1862"/>
    </row>
    <row r="32" spans="1:33" s="1818" customFormat="1" ht="13.5" customHeight="1" thickBot="1">
      <c r="A32" s="1849" t="s">
        <v>2955</v>
      </c>
      <c r="B32" s="1850"/>
      <c r="C32" s="1851">
        <f ca="1">ROUND((C4-C21-C22-C23-C25-C28-C31)/(1+C24+D25+D28),0)</f>
        <v>15912</v>
      </c>
      <c r="D32" s="1850"/>
      <c r="E32" s="1850"/>
      <c r="F32" s="1850"/>
      <c r="G32" s="1852" t="s">
        <v>908</v>
      </c>
      <c r="H32" s="1850"/>
      <c r="I32" s="1850"/>
      <c r="J32" s="1850"/>
      <c r="K32" s="1853"/>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25" zoomScale="80" zoomScaleNormal="80" workbookViewId="0">
      <selection activeCell="E66" sqref="E66"/>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479</v>
      </c>
      <c r="B1" s="737"/>
      <c r="C1" s="738"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343</v>
      </c>
      <c r="B2" s="1079">
        <f>F66</f>
        <v>38312</v>
      </c>
      <c r="C2" s="2335"/>
      <c r="D2" s="2335"/>
      <c r="E2" s="2336"/>
      <c r="F2" s="2337"/>
      <c r="G2" s="2336"/>
      <c r="H2" s="2336"/>
      <c r="I2" s="2336"/>
      <c r="J2" s="2336"/>
      <c r="K2" s="2338"/>
      <c r="L2" s="2339"/>
      <c r="M2" s="2340"/>
      <c r="N2" s="2340"/>
      <c r="O2" s="2340"/>
      <c r="P2" s="1315"/>
      <c r="Q2" s="1315"/>
      <c r="R2" s="1315"/>
      <c r="S2" s="1315"/>
      <c r="T2" s="1315"/>
      <c r="U2" s="1315"/>
      <c r="V2" s="1315"/>
      <c r="W2" s="1315"/>
      <c r="X2" s="1315"/>
      <c r="Y2" s="1315"/>
      <c r="Z2" s="1315"/>
      <c r="AA2" s="1315"/>
      <c r="AB2" s="1315"/>
      <c r="AC2" s="1316"/>
      <c r="AD2" s="739"/>
    </row>
    <row r="3" spans="1:30" s="740" customFormat="1" ht="28.5" customHeight="1" thickBot="1">
      <c r="A3" s="578" t="s">
        <v>344</v>
      </c>
      <c r="B3" s="951">
        <f>ROUND(IF(D3="",B2*10000/'数据-汇总表'!E3,B2*10000/D3),0)</f>
        <v>4353</v>
      </c>
      <c r="C3" s="578" t="s">
        <v>2894</v>
      </c>
      <c r="D3" s="3050"/>
      <c r="E3" s="2336"/>
      <c r="F3" s="2337"/>
      <c r="G3" s="2336"/>
      <c r="H3" s="2336"/>
      <c r="I3" s="2336"/>
      <c r="J3" s="2336"/>
      <c r="K3" s="2338"/>
      <c r="L3" s="2339"/>
      <c r="M3" s="2340"/>
      <c r="N3" s="2340"/>
      <c r="O3" s="2340"/>
      <c r="P3" s="1315"/>
      <c r="Q3" s="1315"/>
      <c r="R3" s="1315"/>
      <c r="S3" s="1315"/>
      <c r="T3" s="1315"/>
      <c r="U3" s="1315"/>
      <c r="V3" s="1315"/>
      <c r="W3" s="1315"/>
      <c r="X3" s="1315"/>
      <c r="Y3" s="1315"/>
      <c r="Z3" s="1315"/>
      <c r="AA3" s="1315"/>
      <c r="AB3" s="1408"/>
      <c r="AC3" s="1398"/>
    </row>
    <row r="4" spans="1:30" ht="15">
      <c r="A4" s="743" t="s">
        <v>388</v>
      </c>
      <c r="B4" s="744"/>
      <c r="C4" s="3630" t="s">
        <v>389</v>
      </c>
      <c r="D4" s="3631"/>
      <c r="E4" s="3632" t="s">
        <v>390</v>
      </c>
      <c r="F4" s="3633"/>
      <c r="G4" s="3630" t="s">
        <v>391</v>
      </c>
      <c r="H4" s="3631"/>
      <c r="I4" s="3630" t="s">
        <v>392</v>
      </c>
      <c r="J4" s="3631"/>
      <c r="K4" s="952" t="s">
        <v>393</v>
      </c>
      <c r="L4" s="2341"/>
      <c r="M4" s="2342"/>
      <c r="N4" s="2342"/>
      <c r="O4" s="2342"/>
      <c r="P4" s="3634" t="s">
        <v>394</v>
      </c>
      <c r="Q4" s="3635"/>
      <c r="R4" s="3608" t="s">
        <v>390</v>
      </c>
      <c r="S4" s="3609"/>
      <c r="T4" s="3608" t="s">
        <v>391</v>
      </c>
      <c r="U4" s="3609"/>
      <c r="V4" s="3623" t="s">
        <v>392</v>
      </c>
      <c r="W4" s="3623"/>
      <c r="X4" s="1317"/>
      <c r="Y4" s="3608" t="s">
        <v>394</v>
      </c>
      <c r="Z4" s="3609"/>
      <c r="AA4" s="3627" t="s">
        <v>390</v>
      </c>
      <c r="AB4" s="3628" t="s">
        <v>391</v>
      </c>
      <c r="AC4" s="3627" t="s">
        <v>392</v>
      </c>
    </row>
    <row r="5" spans="1:30" ht="36" customHeight="1">
      <c r="A5" s="746"/>
      <c r="B5" s="747"/>
      <c r="C5" s="3612"/>
      <c r="D5" s="3613"/>
      <c r="E5" s="3640" t="s">
        <v>3229</v>
      </c>
      <c r="F5" s="3641"/>
      <c r="G5" s="3612" t="s">
        <v>3230</v>
      </c>
      <c r="H5" s="3613"/>
      <c r="I5" s="3612" t="s">
        <v>3231</v>
      </c>
      <c r="J5" s="3613"/>
      <c r="K5" s="952"/>
      <c r="L5" s="2341"/>
      <c r="M5" s="2342"/>
      <c r="N5" s="2342"/>
      <c r="O5" s="2342"/>
      <c r="P5" s="3636"/>
      <c r="Q5" s="3637"/>
      <c r="R5" s="3610"/>
      <c r="S5" s="3611"/>
      <c r="T5" s="3610"/>
      <c r="U5" s="3611"/>
      <c r="V5" s="3623"/>
      <c r="W5" s="3623"/>
      <c r="X5" s="1317"/>
      <c r="Y5" s="3610"/>
      <c r="Z5" s="3611"/>
      <c r="AA5" s="3628"/>
      <c r="AB5" s="3628"/>
      <c r="AC5" s="3628"/>
    </row>
    <row r="6" spans="1:30" ht="33" customHeight="1" thickBot="1">
      <c r="A6" s="748"/>
      <c r="B6" s="749"/>
      <c r="C6" s="3619"/>
      <c r="D6" s="3620"/>
      <c r="E6" s="3617" t="str">
        <f>E5</f>
        <v>祥福镇高楼村集体、2组、6组</v>
      </c>
      <c r="F6" s="3618"/>
      <c r="G6" s="3619" t="str">
        <f>G5</f>
        <v>香岛大道以南、鸿泰大道以北</v>
      </c>
      <c r="H6" s="3620"/>
      <c r="I6" s="3619" t="str">
        <f>I5</f>
        <v>货运大道以北、散货东路以东</v>
      </c>
      <c r="J6" s="3620"/>
      <c r="K6" s="952" t="s">
        <v>395</v>
      </c>
      <c r="L6" s="2341"/>
      <c r="M6" s="2342"/>
      <c r="N6" s="2342"/>
      <c r="O6" s="2342"/>
      <c r="P6" s="3638"/>
      <c r="Q6" s="3639"/>
      <c r="R6" s="3610"/>
      <c r="S6" s="3611"/>
      <c r="T6" s="3621"/>
      <c r="U6" s="3622"/>
      <c r="V6" s="3623"/>
      <c r="W6" s="3623"/>
      <c r="X6" s="1317"/>
      <c r="Y6" s="3621"/>
      <c r="Z6" s="3622"/>
      <c r="AA6" s="3629"/>
      <c r="AB6" s="3629"/>
      <c r="AC6" s="3629"/>
    </row>
    <row r="7" spans="1:30" s="406" customFormat="1" ht="15.75" thickBot="1">
      <c r="A7" s="750" t="s">
        <v>396</v>
      </c>
      <c r="B7" s="751"/>
      <c r="C7" s="752">
        <f>'数据-取费表'!B2</f>
        <v>42941</v>
      </c>
      <c r="D7" s="753">
        <v>100</v>
      </c>
      <c r="E7" s="1016">
        <v>42845</v>
      </c>
      <c r="F7" s="3333">
        <f>SUMIF(70:70,YEAR(E7)&amp;"-"&amp;INT((MONTH(E7)+2)/3),71:71)</f>
        <v>99.85</v>
      </c>
      <c r="G7" s="1017">
        <v>42845</v>
      </c>
      <c r="H7" s="3334">
        <f>SUMIF(70:70,YEAR(G7)&amp;"-"&amp;INT((MONTH(G7)+2)/3),71:71)</f>
        <v>99.85</v>
      </c>
      <c r="I7" s="1017">
        <v>42341</v>
      </c>
      <c r="J7" s="3334">
        <f>SUMIF(70:70,YEAR(I7)&amp;"-"&amp;INT((MONTH(I7)+2)/3),71:71)</f>
        <v>98.95</v>
      </c>
      <c r="K7" s="953"/>
      <c r="L7" s="2343"/>
      <c r="M7" s="2344"/>
      <c r="N7" s="2344"/>
      <c r="O7" s="2344"/>
      <c r="P7" s="3606" t="s">
        <v>397</v>
      </c>
      <c r="Q7" s="3616"/>
      <c r="R7" s="1318" t="s">
        <v>65</v>
      </c>
      <c r="S7" s="1319">
        <f t="shared" ref="S7:S15" si="0">F7</f>
        <v>99.85</v>
      </c>
      <c r="T7" s="1318" t="s">
        <v>65</v>
      </c>
      <c r="U7" s="1319">
        <f t="shared" ref="U7:U15" si="1">H7</f>
        <v>99.85</v>
      </c>
      <c r="V7" s="1318" t="s">
        <v>65</v>
      </c>
      <c r="W7" s="1319">
        <f t="shared" ref="W7:W15" si="2">J7</f>
        <v>98.95</v>
      </c>
      <c r="X7" s="1320"/>
      <c r="Y7" s="3606" t="s">
        <v>397</v>
      </c>
      <c r="Z7" s="3607"/>
      <c r="AA7" s="1321">
        <f>D7/F7</f>
        <v>1.0015022533800702</v>
      </c>
      <c r="AB7" s="1321">
        <f>D7/H7</f>
        <v>1.0015022533800702</v>
      </c>
      <c r="AC7" s="1321">
        <f>D7/J7</f>
        <v>1.010611419909045</v>
      </c>
    </row>
    <row r="8" spans="1:30" s="406" customFormat="1" ht="15.75" thickBot="1">
      <c r="A8" s="750" t="s">
        <v>398</v>
      </c>
      <c r="B8" s="751"/>
      <c r="C8" s="1019" t="s">
        <v>155</v>
      </c>
      <c r="D8" s="753">
        <v>100</v>
      </c>
      <c r="E8" s="1019" t="s">
        <v>155</v>
      </c>
      <c r="F8" s="755">
        <f>SUMIF(73:73,E8,74:74)-SUMIF(73:73,C8,74:74)+100</f>
        <v>100</v>
      </c>
      <c r="G8" s="1019" t="s">
        <v>155</v>
      </c>
      <c r="H8" s="753">
        <f>SUMIF(73:73,G8,74:74)-SUMIF(73:73,C8,74:74)+100</f>
        <v>100</v>
      </c>
      <c r="I8" s="1019" t="s">
        <v>155</v>
      </c>
      <c r="J8" s="753">
        <f>SUMIF(73:73,I8,74:74)-SUMIF(73:73,C8,74:74)+100</f>
        <v>100</v>
      </c>
      <c r="K8" s="953"/>
      <c r="L8" s="2343"/>
      <c r="M8" s="2344"/>
      <c r="N8" s="2344"/>
      <c r="O8" s="2344"/>
      <c r="P8" s="3606" t="s">
        <v>433</v>
      </c>
      <c r="Q8" s="3607"/>
      <c r="R8" s="1318" t="s">
        <v>65</v>
      </c>
      <c r="S8" s="1319">
        <f t="shared" si="0"/>
        <v>100</v>
      </c>
      <c r="T8" s="1318" t="s">
        <v>65</v>
      </c>
      <c r="U8" s="1319">
        <f t="shared" si="1"/>
        <v>100</v>
      </c>
      <c r="V8" s="1318" t="s">
        <v>65</v>
      </c>
      <c r="W8" s="1319">
        <f t="shared" si="2"/>
        <v>100</v>
      </c>
      <c r="X8" s="1320"/>
      <c r="Y8" s="3606" t="s">
        <v>433</v>
      </c>
      <c r="Z8" s="3607"/>
      <c r="AA8" s="1321">
        <f t="shared" ref="AA8:AA45" si="3">D8/F8</f>
        <v>1</v>
      </c>
      <c r="AB8" s="1321">
        <f t="shared" ref="AB8:AB45" si="4">D8/H8</f>
        <v>1</v>
      </c>
      <c r="AC8" s="1321">
        <f t="shared" ref="AC8:AC45" si="5">D8/J8</f>
        <v>1</v>
      </c>
    </row>
    <row r="9" spans="1:30" s="406" customFormat="1">
      <c r="A9" s="757" t="s">
        <v>399</v>
      </c>
      <c r="B9" s="361" t="s">
        <v>417</v>
      </c>
      <c r="C9" s="1021" t="s">
        <v>3232</v>
      </c>
      <c r="D9" s="424">
        <v>100</v>
      </c>
      <c r="E9" s="1021" t="s">
        <v>3232</v>
      </c>
      <c r="F9" s="424">
        <f>SUMIF(75:75,E9,76:76)-SUMIF(75:75,C9,76:76)+100</f>
        <v>100</v>
      </c>
      <c r="G9" s="1021" t="s">
        <v>3232</v>
      </c>
      <c r="H9" s="424">
        <f>SUMIF(75:75,G9,76:76)-SUMIF(75:75,C9,76:76)+100</f>
        <v>100</v>
      </c>
      <c r="I9" s="1021" t="s">
        <v>3232</v>
      </c>
      <c r="J9" s="424">
        <f>SUMIF(75:75,I9,76:76)-SUMIF(75:75,C9,76:76)+100</f>
        <v>100</v>
      </c>
      <c r="K9" s="953"/>
      <c r="L9" s="2343"/>
      <c r="M9" s="2344"/>
      <c r="N9" s="2344"/>
      <c r="O9" s="2345"/>
      <c r="P9" s="3642" t="s">
        <v>400</v>
      </c>
      <c r="Q9" s="296" t="str">
        <f t="shared" ref="Q9:Q15" si="6">B9</f>
        <v>用途</v>
      </c>
      <c r="R9" s="1318" t="s">
        <v>65</v>
      </c>
      <c r="S9" s="1319">
        <f t="shared" si="0"/>
        <v>100</v>
      </c>
      <c r="T9" s="1318" t="s">
        <v>65</v>
      </c>
      <c r="U9" s="1319">
        <f t="shared" si="1"/>
        <v>100</v>
      </c>
      <c r="V9" s="1318" t="s">
        <v>65</v>
      </c>
      <c r="W9" s="1319">
        <f t="shared" si="2"/>
        <v>100</v>
      </c>
      <c r="X9" s="1320"/>
      <c r="Y9" s="3495" t="s">
        <v>401</v>
      </c>
      <c r="Z9" s="344" t="str">
        <f t="shared" ref="Z9:Z15" si="7">Q9</f>
        <v>用途</v>
      </c>
      <c r="AA9" s="1321">
        <f t="shared" si="3"/>
        <v>1</v>
      </c>
      <c r="AB9" s="1321">
        <f t="shared" si="4"/>
        <v>1</v>
      </c>
      <c r="AC9" s="1321">
        <f t="shared" si="5"/>
        <v>1</v>
      </c>
    </row>
    <row r="10" spans="1:30" s="769" customFormat="1" ht="27">
      <c r="A10" s="763"/>
      <c r="B10" s="764" t="s">
        <v>402</v>
      </c>
      <c r="C10" s="774">
        <v>48.49</v>
      </c>
      <c r="D10" s="425">
        <v>100</v>
      </c>
      <c r="E10" s="807" t="s">
        <v>3170</v>
      </c>
      <c r="F10" s="425">
        <f>ROUND(100/'数据-取费表'!G16,0)</f>
        <v>101</v>
      </c>
      <c r="G10" s="805" t="s">
        <v>3170</v>
      </c>
      <c r="H10" s="425">
        <f>ROUND(100/'数据-取费表'!G16,0)</f>
        <v>101</v>
      </c>
      <c r="I10" s="805" t="s">
        <v>3170</v>
      </c>
      <c r="J10" s="425">
        <f>ROUND(100/'数据-取费表'!G16,0)</f>
        <v>101</v>
      </c>
      <c r="K10" s="1080"/>
      <c r="L10" s="2346"/>
      <c r="M10" s="2347"/>
      <c r="N10" s="2347"/>
      <c r="O10" s="2348"/>
      <c r="P10" s="3642"/>
      <c r="Q10" s="296" t="str">
        <f t="shared" si="6"/>
        <v>土地使用年限（年）</v>
      </c>
      <c r="R10" s="1318" t="s">
        <v>65</v>
      </c>
      <c r="S10" s="1319">
        <f t="shared" si="0"/>
        <v>101</v>
      </c>
      <c r="T10" s="1318" t="s">
        <v>65</v>
      </c>
      <c r="U10" s="1319">
        <f t="shared" si="1"/>
        <v>101</v>
      </c>
      <c r="V10" s="1318" t="s">
        <v>65</v>
      </c>
      <c r="W10" s="1319">
        <f t="shared" si="2"/>
        <v>101</v>
      </c>
      <c r="X10" s="1320"/>
      <c r="Y10" s="3495"/>
      <c r="Z10" s="344" t="str">
        <f t="shared" si="7"/>
        <v>土地使用年限（年）</v>
      </c>
      <c r="AA10" s="1321">
        <f t="shared" si="3"/>
        <v>0.99009900990099009</v>
      </c>
      <c r="AB10" s="1321">
        <f t="shared" si="4"/>
        <v>0.99009900990099009</v>
      </c>
      <c r="AC10" s="1321">
        <f t="shared" si="5"/>
        <v>0.99009900990099009</v>
      </c>
    </row>
    <row r="11" spans="1:30" ht="15">
      <c r="A11" s="770"/>
      <c r="B11" s="764" t="s">
        <v>403</v>
      </c>
      <c r="C11" s="3336">
        <v>0.7</v>
      </c>
      <c r="D11" s="425">
        <v>100</v>
      </c>
      <c r="E11" s="771">
        <v>1</v>
      </c>
      <c r="F11" s="3337">
        <f>LOOKUP(E11,80:80,81:81)-LOOKUP(C11,80:80,81:81)+100</f>
        <v>101</v>
      </c>
      <c r="G11" s="772">
        <v>1</v>
      </c>
      <c r="H11" s="3337">
        <f>LOOKUP(G11,80:80,81:81)-LOOKUP(C11,80:80,81:81)+100</f>
        <v>101</v>
      </c>
      <c r="I11" s="771">
        <v>1</v>
      </c>
      <c r="J11" s="3337">
        <f>LOOKUP(I11,80:80,81:81)-LOOKUP(C11,80:80,81:81)+100</f>
        <v>101</v>
      </c>
      <c r="K11" s="1081">
        <v>1</v>
      </c>
      <c r="L11" s="2349"/>
      <c r="M11" s="2342"/>
      <c r="N11" s="2342"/>
      <c r="O11" s="2350"/>
      <c r="P11" s="3642"/>
      <c r="Q11" s="296" t="str">
        <f t="shared" si="6"/>
        <v>容积率</v>
      </c>
      <c r="R11" s="1318" t="s">
        <v>65</v>
      </c>
      <c r="S11" s="1319">
        <f t="shared" si="0"/>
        <v>101</v>
      </c>
      <c r="T11" s="1318" t="s">
        <v>65</v>
      </c>
      <c r="U11" s="1319">
        <f t="shared" si="1"/>
        <v>101</v>
      </c>
      <c r="V11" s="1318" t="s">
        <v>65</v>
      </c>
      <c r="W11" s="1319">
        <f t="shared" si="2"/>
        <v>101</v>
      </c>
      <c r="X11" s="1320"/>
      <c r="Y11" s="3495"/>
      <c r="Z11" s="344" t="str">
        <f t="shared" si="7"/>
        <v>容积率</v>
      </c>
      <c r="AA11" s="1321">
        <f t="shared" si="3"/>
        <v>0.99009900990099009</v>
      </c>
      <c r="AB11" s="1321">
        <f t="shared" si="4"/>
        <v>0.99009900990099009</v>
      </c>
      <c r="AC11" s="1321">
        <f t="shared" si="5"/>
        <v>0.99009900990099009</v>
      </c>
    </row>
    <row r="12" spans="1:30" s="406" customFormat="1" ht="15">
      <c r="A12" s="773"/>
      <c r="B12" s="1030" t="s">
        <v>159</v>
      </c>
      <c r="C12" s="1023"/>
      <c r="D12" s="775">
        <v>100</v>
      </c>
      <c r="E12" s="1025"/>
      <c r="F12" s="425">
        <f>SUMIF(82:82,E12,83:83)-SUMIF(82:82,C12,83:83)+100</f>
        <v>100</v>
      </c>
      <c r="G12" s="1026"/>
      <c r="H12" s="425">
        <f>SUMIF(82:82,G12,83:83)-SUMIF(82:82,C12,83:83)+100</f>
        <v>100</v>
      </c>
      <c r="I12" s="1025"/>
      <c r="J12" s="425">
        <f>SUMIF(82:82,I12,83:83)-SUMIF(82:82,C12,83:83)+100</f>
        <v>100</v>
      </c>
      <c r="K12" s="1080"/>
      <c r="L12" s="2343"/>
      <c r="M12" s="2344"/>
      <c r="N12" s="2344"/>
      <c r="O12" s="2345"/>
      <c r="P12" s="3642"/>
      <c r="Q12" s="296" t="str">
        <f t="shared" si="6"/>
        <v>配建</v>
      </c>
      <c r="R12" s="1318" t="s">
        <v>65</v>
      </c>
      <c r="S12" s="1319">
        <f t="shared" si="0"/>
        <v>100</v>
      </c>
      <c r="T12" s="1318" t="s">
        <v>65</v>
      </c>
      <c r="U12" s="1319">
        <f t="shared" si="1"/>
        <v>100</v>
      </c>
      <c r="V12" s="1318" t="s">
        <v>65</v>
      </c>
      <c r="W12" s="1319">
        <f t="shared" si="2"/>
        <v>100</v>
      </c>
      <c r="X12" s="1320"/>
      <c r="Y12" s="3495"/>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1"/>
      <c r="M13" s="2342"/>
      <c r="N13" s="2342"/>
      <c r="O13" s="2350"/>
      <c r="P13" s="3642"/>
      <c r="Q13" s="296">
        <f t="shared" si="6"/>
        <v>111</v>
      </c>
      <c r="R13" s="1318" t="s">
        <v>65</v>
      </c>
      <c r="S13" s="1319">
        <f t="shared" si="0"/>
        <v>100</v>
      </c>
      <c r="T13" s="1318" t="s">
        <v>65</v>
      </c>
      <c r="U13" s="1319">
        <f t="shared" si="1"/>
        <v>100</v>
      </c>
      <c r="V13" s="1318" t="s">
        <v>65</v>
      </c>
      <c r="W13" s="1319">
        <f t="shared" si="2"/>
        <v>100</v>
      </c>
      <c r="X13" s="1320"/>
      <c r="Y13" s="3495"/>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1"/>
      <c r="M14" s="2342"/>
      <c r="N14" s="2342"/>
      <c r="O14" s="2350"/>
      <c r="P14" s="3642"/>
      <c r="Q14" s="296">
        <f t="shared" si="6"/>
        <v>111</v>
      </c>
      <c r="R14" s="1318" t="s">
        <v>65</v>
      </c>
      <c r="S14" s="1319">
        <f t="shared" si="0"/>
        <v>100</v>
      </c>
      <c r="T14" s="1318" t="s">
        <v>65</v>
      </c>
      <c r="U14" s="1319">
        <f t="shared" si="1"/>
        <v>100</v>
      </c>
      <c r="V14" s="1318" t="s">
        <v>65</v>
      </c>
      <c r="W14" s="1319">
        <f t="shared" si="2"/>
        <v>100</v>
      </c>
      <c r="X14" s="1320"/>
      <c r="Y14" s="3495"/>
      <c r="Z14" s="344">
        <f t="shared" si="7"/>
        <v>111</v>
      </c>
      <c r="AA14" s="1321">
        <f>D14/F14</f>
        <v>1</v>
      </c>
      <c r="AB14" s="1321">
        <f>D14/H14</f>
        <v>1</v>
      </c>
      <c r="AC14" s="1321">
        <f>D14/J14</f>
        <v>1</v>
      </c>
    </row>
    <row r="15" spans="1:30" ht="94.5">
      <c r="A15" s="782" t="s">
        <v>404</v>
      </c>
      <c r="B15" s="359" t="s">
        <v>283</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v>0</v>
      </c>
      <c r="L15" s="2351"/>
      <c r="M15" s="2342"/>
      <c r="N15" s="2342"/>
      <c r="O15" s="2350"/>
      <c r="P15" s="3624" t="s">
        <v>405</v>
      </c>
      <c r="Q15" s="1322" t="str">
        <f t="shared" si="6"/>
        <v>居住社区成熟度</v>
      </c>
      <c r="R15" s="1323" t="s">
        <v>65</v>
      </c>
      <c r="S15" s="1324">
        <f t="shared" si="0"/>
        <v>100</v>
      </c>
      <c r="T15" s="1323" t="s">
        <v>65</v>
      </c>
      <c r="U15" s="1324">
        <f t="shared" si="1"/>
        <v>100</v>
      </c>
      <c r="V15" s="1323" t="s">
        <v>65</v>
      </c>
      <c r="W15" s="1324">
        <f t="shared" si="2"/>
        <v>100</v>
      </c>
      <c r="X15" s="1317"/>
      <c r="Y15" s="3624" t="s">
        <v>405</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1"/>
      <c r="M16" s="2342"/>
      <c r="N16" s="2342"/>
      <c r="O16" s="2350"/>
      <c r="P16" s="3625"/>
      <c r="Q16" s="1322"/>
      <c r="R16" s="1323"/>
      <c r="S16" s="1324"/>
      <c r="T16" s="1323"/>
      <c r="U16" s="1324"/>
      <c r="V16" s="1323"/>
      <c r="W16" s="1324"/>
      <c r="X16" s="1317"/>
      <c r="Y16" s="3625"/>
      <c r="Z16" s="1325"/>
      <c r="AA16" s="1326">
        <v>1</v>
      </c>
      <c r="AB16" s="1326">
        <v>1</v>
      </c>
      <c r="AC16" s="1326">
        <v>1</v>
      </c>
    </row>
    <row r="17" spans="1:29" ht="81">
      <c r="A17" s="770"/>
      <c r="B17" s="793" t="s">
        <v>434</v>
      </c>
      <c r="C17" s="190" t="str">
        <f>估价对象房地状况!C16</f>
        <v>估价对象位于XX商圈，周边商业氛围成熟，人流量大，商业繁华度好</v>
      </c>
      <c r="D17" s="792">
        <v>100</v>
      </c>
      <c r="E17" s="794"/>
      <c r="F17" s="792">
        <f>SUMIF(90:90,E18,91:91)-SUMIF(90:90,C18,91:91)+100</f>
        <v>97</v>
      </c>
      <c r="G17" s="794"/>
      <c r="H17" s="797">
        <f>SUMIF(90:90,G18,91:91)-SUMIF(90:90,C18,91:91)+100</f>
        <v>97</v>
      </c>
      <c r="I17" s="796"/>
      <c r="J17" s="797">
        <f>SUMIF(90:90,I18,91:91)-SUMIF(90:90,C18,91:91)+100</f>
        <v>97</v>
      </c>
      <c r="K17" s="1081">
        <v>3</v>
      </c>
      <c r="L17" s="2351"/>
      <c r="M17" s="2342"/>
      <c r="N17" s="2342"/>
      <c r="O17" s="2350"/>
      <c r="P17" s="3625"/>
      <c r="Q17" s="1322" t="str">
        <f>B17</f>
        <v>商业繁华度</v>
      </c>
      <c r="R17" s="1323" t="s">
        <v>65</v>
      </c>
      <c r="S17" s="1324">
        <f>F17</f>
        <v>97</v>
      </c>
      <c r="T17" s="1323" t="s">
        <v>65</v>
      </c>
      <c r="U17" s="1324">
        <f>H17</f>
        <v>97</v>
      </c>
      <c r="V17" s="1323" t="s">
        <v>65</v>
      </c>
      <c r="W17" s="1324">
        <f>J17</f>
        <v>97</v>
      </c>
      <c r="X17" s="1317"/>
      <c r="Y17" s="3625"/>
      <c r="Z17" s="1325" t="str">
        <f>Q17</f>
        <v>商业繁华度</v>
      </c>
      <c r="AA17" s="1326">
        <f t="shared" si="3"/>
        <v>1.0309278350515463</v>
      </c>
      <c r="AB17" s="1326">
        <f t="shared" si="4"/>
        <v>1.0309278350515463</v>
      </c>
      <c r="AC17" s="1326">
        <f t="shared" si="5"/>
        <v>1.0309278350515463</v>
      </c>
    </row>
    <row r="18" spans="1:29" ht="15">
      <c r="A18" s="770"/>
      <c r="B18" s="798"/>
      <c r="C18" s="102" t="s">
        <v>3175</v>
      </c>
      <c r="D18" s="792"/>
      <c r="E18" s="103" t="s">
        <v>3171</v>
      </c>
      <c r="F18" s="792"/>
      <c r="G18" s="103" t="s">
        <v>3171</v>
      </c>
      <c r="H18" s="790"/>
      <c r="I18" s="104" t="s">
        <v>3171</v>
      </c>
      <c r="J18" s="790"/>
      <c r="K18" s="1080"/>
      <c r="L18" s="2351"/>
      <c r="M18" s="2342"/>
      <c r="N18" s="2342"/>
      <c r="O18" s="2350"/>
      <c r="P18" s="3625"/>
      <c r="Q18" s="1322"/>
      <c r="R18" s="1323"/>
      <c r="S18" s="1324"/>
      <c r="T18" s="1323"/>
      <c r="U18" s="1324"/>
      <c r="V18" s="1323"/>
      <c r="W18" s="1324"/>
      <c r="X18" s="1317"/>
      <c r="Y18" s="3625"/>
      <c r="Z18" s="1325"/>
      <c r="AA18" s="1326">
        <v>1</v>
      </c>
      <c r="AB18" s="1326">
        <v>1</v>
      </c>
      <c r="AC18" s="1326">
        <v>1</v>
      </c>
    </row>
    <row r="19" spans="1:29" ht="81">
      <c r="A19" s="770"/>
      <c r="B19" s="793" t="s">
        <v>439</v>
      </c>
      <c r="C19" s="190" t="str">
        <f>估价对象房地状况!C17</f>
        <v>估价对象位于XX商圈，周边办公楼项目较多，入驻率高，办公集聚程度较好</v>
      </c>
      <c r="D19" s="797">
        <v>100</v>
      </c>
      <c r="E19" s="799"/>
      <c r="F19" s="797">
        <f>SUMIF(92:92,E20,93:93)-SUMIF(92:92,C20,93:93)+100</f>
        <v>97</v>
      </c>
      <c r="G19" s="799"/>
      <c r="H19" s="792">
        <f>SUMIF(92:92,G20,93:93)-SUMIF(92:92,C20,93:93)+100</f>
        <v>97</v>
      </c>
      <c r="I19" s="801"/>
      <c r="J19" s="792">
        <f>SUMIF(92:92,I20,93:93)-SUMIF(92:92,C20,93:93)+100</f>
        <v>97</v>
      </c>
      <c r="K19" s="1081">
        <v>3</v>
      </c>
      <c r="L19" s="2351"/>
      <c r="M19" s="2342"/>
      <c r="N19" s="2342"/>
      <c r="O19" s="2350"/>
      <c r="P19" s="3625"/>
      <c r="Q19" s="1322" t="str">
        <f>B19</f>
        <v>办公集聚程度</v>
      </c>
      <c r="R19" s="1323" t="s">
        <v>65</v>
      </c>
      <c r="S19" s="1324">
        <f>F19</f>
        <v>97</v>
      </c>
      <c r="T19" s="1323" t="s">
        <v>65</v>
      </c>
      <c r="U19" s="1324">
        <f>H19</f>
        <v>97</v>
      </c>
      <c r="V19" s="1323" t="s">
        <v>65</v>
      </c>
      <c r="W19" s="1324">
        <f>J19</f>
        <v>97</v>
      </c>
      <c r="X19" s="1317"/>
      <c r="Y19" s="3625"/>
      <c r="Z19" s="1325" t="str">
        <f>Q19</f>
        <v>办公集聚程度</v>
      </c>
      <c r="AA19" s="1326">
        <f t="shared" si="3"/>
        <v>1.0309278350515463</v>
      </c>
      <c r="AB19" s="1326">
        <f t="shared" si="4"/>
        <v>1.0309278350515463</v>
      </c>
      <c r="AC19" s="1326">
        <f t="shared" si="5"/>
        <v>1.0309278350515463</v>
      </c>
    </row>
    <row r="20" spans="1:29" ht="15">
      <c r="A20" s="770"/>
      <c r="B20" s="798"/>
      <c r="C20" s="97" t="s">
        <v>3175</v>
      </c>
      <c r="D20" s="790"/>
      <c r="E20" s="98" t="s">
        <v>3171</v>
      </c>
      <c r="F20" s="790"/>
      <c r="G20" s="98" t="s">
        <v>3171</v>
      </c>
      <c r="H20" s="790"/>
      <c r="I20" s="99" t="s">
        <v>3171</v>
      </c>
      <c r="J20" s="790"/>
      <c r="K20" s="1080"/>
      <c r="L20" s="2351"/>
      <c r="M20" s="2342"/>
      <c r="N20" s="2342"/>
      <c r="O20" s="2350"/>
      <c r="P20" s="3625"/>
      <c r="Q20" s="1322"/>
      <c r="R20" s="1323"/>
      <c r="S20" s="1324"/>
      <c r="T20" s="1323"/>
      <c r="U20" s="1324"/>
      <c r="V20" s="1323"/>
      <c r="W20" s="1324"/>
      <c r="X20" s="1317"/>
      <c r="Y20" s="3625"/>
      <c r="Z20" s="1325"/>
      <c r="AA20" s="1326">
        <v>1</v>
      </c>
      <c r="AB20" s="1326">
        <v>1</v>
      </c>
      <c r="AC20" s="1326">
        <v>1</v>
      </c>
    </row>
    <row r="21" spans="1:29" ht="94.5">
      <c r="A21" s="770"/>
      <c r="B21" s="793" t="s">
        <v>454</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v>3</v>
      </c>
      <c r="L21" s="2351"/>
      <c r="M21" s="2342"/>
      <c r="N21" s="2342"/>
      <c r="O21" s="2350"/>
      <c r="P21" s="3625"/>
      <c r="Q21" s="1322" t="str">
        <f>B21</f>
        <v>交通便捷度</v>
      </c>
      <c r="R21" s="1323" t="s">
        <v>65</v>
      </c>
      <c r="S21" s="1324">
        <f>F21</f>
        <v>100</v>
      </c>
      <c r="T21" s="1323" t="s">
        <v>65</v>
      </c>
      <c r="U21" s="1324">
        <f>H21</f>
        <v>100</v>
      </c>
      <c r="V21" s="1323" t="s">
        <v>65</v>
      </c>
      <c r="W21" s="1324">
        <f>J21</f>
        <v>100</v>
      </c>
      <c r="X21" s="1317"/>
      <c r="Y21" s="3625"/>
      <c r="Z21" s="1325" t="str">
        <f>Q21</f>
        <v>交通便捷度</v>
      </c>
      <c r="AA21" s="1326">
        <f t="shared" si="3"/>
        <v>1</v>
      </c>
      <c r="AB21" s="1326">
        <f t="shared" si="4"/>
        <v>1</v>
      </c>
      <c r="AC21" s="1326">
        <f t="shared" si="5"/>
        <v>1</v>
      </c>
    </row>
    <row r="22" spans="1:29" ht="15">
      <c r="A22" s="770"/>
      <c r="B22" s="2762"/>
      <c r="C22" s="97" t="s">
        <v>3175</v>
      </c>
      <c r="D22" s="792"/>
      <c r="E22" s="98" t="s">
        <v>3175</v>
      </c>
      <c r="F22" s="790"/>
      <c r="G22" s="98" t="s">
        <v>3175</v>
      </c>
      <c r="H22" s="790"/>
      <c r="I22" s="99" t="s">
        <v>3175</v>
      </c>
      <c r="J22" s="790"/>
      <c r="K22" s="1080"/>
      <c r="L22" s="2351"/>
      <c r="M22" s="2342"/>
      <c r="N22" s="2342"/>
      <c r="O22" s="2350"/>
      <c r="P22" s="3625"/>
      <c r="Q22" s="1322"/>
      <c r="R22" s="1323"/>
      <c r="S22" s="1324"/>
      <c r="T22" s="1323"/>
      <c r="U22" s="1324"/>
      <c r="V22" s="1323"/>
      <c r="W22" s="1324"/>
      <c r="X22" s="1317"/>
      <c r="Y22" s="3625"/>
      <c r="Z22" s="1325"/>
      <c r="AA22" s="1326">
        <v>1</v>
      </c>
      <c r="AB22" s="1326">
        <v>1</v>
      </c>
      <c r="AC22" s="1326">
        <v>1</v>
      </c>
    </row>
    <row r="23" spans="1:29" ht="27">
      <c r="A23" s="746"/>
      <c r="B23" s="793" t="s">
        <v>481</v>
      </c>
      <c r="C23" s="2767">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v>5</v>
      </c>
      <c r="L23" s="2351"/>
      <c r="M23" s="2342"/>
      <c r="N23" s="2342"/>
      <c r="O23" s="2350"/>
      <c r="P23" s="3625"/>
      <c r="Q23" s="1322" t="str">
        <f t="shared" ref="Q23:Q37" si="8">B23</f>
        <v>区域土地利用方向</v>
      </c>
      <c r="R23" s="1323" t="s">
        <v>65</v>
      </c>
      <c r="S23" s="1324">
        <f>F23</f>
        <v>100</v>
      </c>
      <c r="T23" s="1323" t="s">
        <v>65</v>
      </c>
      <c r="U23" s="1324">
        <f>H23</f>
        <v>100</v>
      </c>
      <c r="V23" s="1323" t="s">
        <v>65</v>
      </c>
      <c r="W23" s="1324">
        <f>J23</f>
        <v>100</v>
      </c>
      <c r="X23" s="1317"/>
      <c r="Y23" s="3625"/>
      <c r="Z23" s="1325" t="str">
        <f>Q23</f>
        <v>区域土地利用方向</v>
      </c>
      <c r="AA23" s="1326">
        <f t="shared" si="3"/>
        <v>1</v>
      </c>
      <c r="AB23" s="1326">
        <f t="shared" si="4"/>
        <v>1</v>
      </c>
      <c r="AC23" s="1326">
        <f t="shared" si="5"/>
        <v>1</v>
      </c>
    </row>
    <row r="24" spans="1:29" ht="15">
      <c r="A24" s="746"/>
      <c r="B24" s="798"/>
      <c r="C24" s="182" t="s">
        <v>3175</v>
      </c>
      <c r="D24" s="790"/>
      <c r="E24" s="98" t="s">
        <v>3175</v>
      </c>
      <c r="F24" s="790"/>
      <c r="G24" s="99" t="s">
        <v>3175</v>
      </c>
      <c r="H24" s="790"/>
      <c r="I24" s="99" t="s">
        <v>3175</v>
      </c>
      <c r="J24" s="790"/>
      <c r="K24" s="1477"/>
      <c r="L24" s="2351"/>
      <c r="M24" s="2342"/>
      <c r="N24" s="2342"/>
      <c r="O24" s="2350"/>
      <c r="P24" s="3625"/>
      <c r="Q24" s="1469"/>
      <c r="R24" s="1323"/>
      <c r="S24" s="1324"/>
      <c r="T24" s="1323"/>
      <c r="U24" s="1324"/>
      <c r="V24" s="1323"/>
      <c r="W24" s="1324"/>
      <c r="X24" s="1468"/>
      <c r="Y24" s="3625"/>
      <c r="Z24" s="1470"/>
      <c r="AA24" s="1326"/>
      <c r="AB24" s="1326"/>
      <c r="AC24" s="1326"/>
    </row>
    <row r="25" spans="1:29" ht="54">
      <c r="A25" s="746"/>
      <c r="B25" s="2762" t="s">
        <v>482</v>
      </c>
      <c r="C25" s="190" t="str">
        <f>估价对象房地状况!C20</f>
        <v>区域自然环境：；人文环境；综合评价环境状况一般</v>
      </c>
      <c r="D25" s="792">
        <v>100</v>
      </c>
      <c r="E25" s="794"/>
      <c r="F25" s="792">
        <f>SUMIF(98:98,E26,99:99)-SUMIF(98:98,C26,99:99)+100</f>
        <v>97</v>
      </c>
      <c r="G25" s="794"/>
      <c r="H25" s="792">
        <f>SUMIF(98:98,G26,99:99)-SUMIF(98:98,C26,99:99)+100</f>
        <v>97</v>
      </c>
      <c r="I25" s="796"/>
      <c r="J25" s="792">
        <f>SUMIF(98:98,I26,99:99)-SUMIF(98:98,C26,99:99)+100</f>
        <v>97</v>
      </c>
      <c r="K25" s="1081">
        <v>3</v>
      </c>
      <c r="L25" s="2351"/>
      <c r="M25" s="2342"/>
      <c r="N25" s="2342"/>
      <c r="O25" s="2350"/>
      <c r="P25" s="3625"/>
      <c r="Q25" s="1322" t="str">
        <f t="shared" si="8"/>
        <v>自然及人文环境状况</v>
      </c>
      <c r="R25" s="1323" t="s">
        <v>65</v>
      </c>
      <c r="S25" s="1324">
        <f>F25</f>
        <v>97</v>
      </c>
      <c r="T25" s="1323" t="s">
        <v>65</v>
      </c>
      <c r="U25" s="1324">
        <f>H25</f>
        <v>97</v>
      </c>
      <c r="V25" s="1323" t="s">
        <v>65</v>
      </c>
      <c r="W25" s="1324">
        <f>J25</f>
        <v>97</v>
      </c>
      <c r="X25" s="1317"/>
      <c r="Y25" s="3625"/>
      <c r="Z25" s="1325" t="str">
        <f>Q25</f>
        <v>自然及人文环境状况</v>
      </c>
      <c r="AA25" s="1326">
        <f t="shared" si="3"/>
        <v>1.0309278350515463</v>
      </c>
      <c r="AB25" s="1326">
        <f t="shared" si="4"/>
        <v>1.0309278350515463</v>
      </c>
      <c r="AC25" s="1326">
        <f t="shared" si="5"/>
        <v>1.0309278350515463</v>
      </c>
    </row>
    <row r="26" spans="1:29" ht="15">
      <c r="A26" s="746"/>
      <c r="B26" s="798"/>
      <c r="C26" s="97" t="s">
        <v>3175</v>
      </c>
      <c r="D26" s="790"/>
      <c r="E26" s="192" t="s">
        <v>3171</v>
      </c>
      <c r="F26" s="790"/>
      <c r="G26" s="192" t="s">
        <v>3171</v>
      </c>
      <c r="H26" s="790"/>
      <c r="I26" s="97" t="s">
        <v>3171</v>
      </c>
      <c r="J26" s="790"/>
      <c r="K26" s="1080"/>
      <c r="L26" s="2351"/>
      <c r="M26" s="2342"/>
      <c r="N26" s="2342"/>
      <c r="O26" s="2350"/>
      <c r="P26" s="3625"/>
      <c r="Q26" s="1322"/>
      <c r="R26" s="1323"/>
      <c r="S26" s="1324"/>
      <c r="T26" s="1323"/>
      <c r="U26" s="1324"/>
      <c r="V26" s="1323"/>
      <c r="W26" s="1324"/>
      <c r="X26" s="1317"/>
      <c r="Y26" s="3625"/>
      <c r="Z26" s="1325"/>
      <c r="AA26" s="1326">
        <v>1</v>
      </c>
      <c r="AB26" s="1326">
        <v>1</v>
      </c>
      <c r="AC26" s="1326">
        <v>1</v>
      </c>
    </row>
    <row r="27" spans="1:29" s="406" customFormat="1" ht="40.5">
      <c r="A27" s="991"/>
      <c r="B27" s="1411" t="s">
        <v>2674</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v>3</v>
      </c>
      <c r="L27" s="2343"/>
      <c r="M27" s="2344"/>
      <c r="N27" s="2344"/>
      <c r="O27" s="2345"/>
      <c r="P27" s="3625"/>
      <c r="Q27" s="296" t="str">
        <f t="shared" si="8"/>
        <v>公共配套设施</v>
      </c>
      <c r="R27" s="1318" t="s">
        <v>65</v>
      </c>
      <c r="S27" s="1319">
        <f>F27</f>
        <v>100</v>
      </c>
      <c r="T27" s="1318" t="s">
        <v>65</v>
      </c>
      <c r="U27" s="1319">
        <f>H27</f>
        <v>100</v>
      </c>
      <c r="V27" s="1318" t="s">
        <v>65</v>
      </c>
      <c r="W27" s="1319">
        <f>J27</f>
        <v>100</v>
      </c>
      <c r="X27" s="1320"/>
      <c r="Y27" s="3625"/>
      <c r="Z27" s="344" t="str">
        <f>Q27</f>
        <v>公共配套设施</v>
      </c>
      <c r="AA27" s="1326">
        <f>D27/F27</f>
        <v>1</v>
      </c>
      <c r="AB27" s="1326">
        <f>D27/H27</f>
        <v>1</v>
      </c>
      <c r="AC27" s="1326">
        <f>D27/J27</f>
        <v>1</v>
      </c>
    </row>
    <row r="28" spans="1:29" s="406" customFormat="1" ht="15">
      <c r="A28" s="991"/>
      <c r="B28" s="798"/>
      <c r="C28" s="2768" t="s">
        <v>3175</v>
      </c>
      <c r="D28" s="790"/>
      <c r="E28" s="192" t="s">
        <v>3175</v>
      </c>
      <c r="F28" s="790"/>
      <c r="G28" s="192" t="s">
        <v>3175</v>
      </c>
      <c r="H28" s="790"/>
      <c r="I28" s="97" t="s">
        <v>3175</v>
      </c>
      <c r="J28" s="790"/>
      <c r="K28" s="1080"/>
      <c r="L28" s="2343"/>
      <c r="M28" s="2344"/>
      <c r="N28" s="2344"/>
      <c r="O28" s="2345"/>
      <c r="P28" s="3625"/>
      <c r="Q28" s="296"/>
      <c r="R28" s="1318"/>
      <c r="S28" s="1319"/>
      <c r="T28" s="1318"/>
      <c r="U28" s="1319"/>
      <c r="V28" s="1318"/>
      <c r="W28" s="1319"/>
      <c r="X28" s="1320"/>
      <c r="Y28" s="3625"/>
      <c r="Z28" s="344"/>
      <c r="AA28" s="1326">
        <v>1</v>
      </c>
      <c r="AB28" s="1326">
        <v>1</v>
      </c>
      <c r="AC28" s="1326">
        <v>1</v>
      </c>
    </row>
    <row r="29" spans="1:29" s="406" customFormat="1" ht="40.5">
      <c r="A29" s="991"/>
      <c r="B29" s="1411" t="s">
        <v>2675</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v>1</v>
      </c>
      <c r="L29" s="2343"/>
      <c r="M29" s="2344"/>
      <c r="N29" s="2344"/>
      <c r="O29" s="2345"/>
      <c r="P29" s="3625"/>
      <c r="Q29" s="2737" t="str">
        <f t="shared" ref="Q29" si="9">B29</f>
        <v>基础设施水平</v>
      </c>
      <c r="R29" s="1318" t="s">
        <v>65</v>
      </c>
      <c r="S29" s="1319">
        <f>F29</f>
        <v>100</v>
      </c>
      <c r="T29" s="1318" t="s">
        <v>65</v>
      </c>
      <c r="U29" s="1319">
        <f>H29</f>
        <v>100</v>
      </c>
      <c r="V29" s="1318" t="s">
        <v>65</v>
      </c>
      <c r="W29" s="1319">
        <f>J29</f>
        <v>100</v>
      </c>
      <c r="X29" s="1320"/>
      <c r="Y29" s="3625"/>
      <c r="Z29" s="344" t="str">
        <f>Q29</f>
        <v>基础设施水平</v>
      </c>
      <c r="AA29" s="1326">
        <f>D29/F29</f>
        <v>1</v>
      </c>
      <c r="AB29" s="1326">
        <f>D29/H29</f>
        <v>1</v>
      </c>
      <c r="AC29" s="1326">
        <f>D29/J29</f>
        <v>1</v>
      </c>
    </row>
    <row r="30" spans="1:29" s="406" customFormat="1" ht="15">
      <c r="A30" s="991"/>
      <c r="B30" s="798"/>
      <c r="C30" s="2768" t="s">
        <v>3176</v>
      </c>
      <c r="D30" s="790"/>
      <c r="E30" s="1036" t="s">
        <v>3176</v>
      </c>
      <c r="F30" s="790"/>
      <c r="G30" s="1036" t="s">
        <v>3176</v>
      </c>
      <c r="H30" s="790"/>
      <c r="I30" s="1036" t="s">
        <v>3176</v>
      </c>
      <c r="J30" s="790"/>
      <c r="K30" s="1080"/>
      <c r="L30" s="2343"/>
      <c r="M30" s="2344"/>
      <c r="N30" s="2344"/>
      <c r="O30" s="2345"/>
      <c r="P30" s="3625"/>
      <c r="Q30" s="2737"/>
      <c r="R30" s="1318"/>
      <c r="S30" s="1319"/>
      <c r="T30" s="1318"/>
      <c r="U30" s="1319"/>
      <c r="V30" s="1318"/>
      <c r="W30" s="1319"/>
      <c r="X30" s="1320"/>
      <c r="Y30" s="3625"/>
      <c r="Z30" s="344"/>
      <c r="AA30" s="1326">
        <v>1</v>
      </c>
      <c r="AB30" s="1326">
        <v>1</v>
      </c>
      <c r="AC30" s="1326">
        <v>1</v>
      </c>
    </row>
    <row r="31" spans="1:29" ht="15">
      <c r="A31" s="770"/>
      <c r="B31" s="798" t="s">
        <v>435</v>
      </c>
      <c r="C31" s="182" t="s">
        <v>3177</v>
      </c>
      <c r="D31" s="777">
        <v>100</v>
      </c>
      <c r="E31" s="195" t="s">
        <v>3205</v>
      </c>
      <c r="F31" s="777">
        <f>SUMIF(104:104,E31,105:105)-SUMIF(104:104,C31,105:105)+100</f>
        <v>98</v>
      </c>
      <c r="G31" s="195" t="s">
        <v>3205</v>
      </c>
      <c r="H31" s="777">
        <f>SUMIF(104:104,G31,105:105)-SUMIF(104:104,C31,105:105)+100</f>
        <v>98</v>
      </c>
      <c r="I31" s="195" t="s">
        <v>3205</v>
      </c>
      <c r="J31" s="777">
        <f>SUMIF(104:104,I31,105:105)-SUMIF(104:104,C31,105:105)+100</f>
        <v>98</v>
      </c>
      <c r="K31" s="1081">
        <v>2</v>
      </c>
      <c r="L31" s="2351"/>
      <c r="M31" s="2342"/>
      <c r="N31" s="2342"/>
      <c r="O31" s="2350"/>
      <c r="P31" s="3625"/>
      <c r="Q31" s="1322" t="str">
        <f t="shared" si="8"/>
        <v>临街状况</v>
      </c>
      <c r="R31" s="1323" t="s">
        <v>65</v>
      </c>
      <c r="S31" s="1324">
        <f t="shared" ref="S31:S45" si="10">F31</f>
        <v>98</v>
      </c>
      <c r="T31" s="1323" t="s">
        <v>65</v>
      </c>
      <c r="U31" s="1324">
        <f t="shared" ref="U31:U45" si="11">H31</f>
        <v>98</v>
      </c>
      <c r="V31" s="1323" t="s">
        <v>65</v>
      </c>
      <c r="W31" s="1324">
        <f t="shared" ref="W31:W45" si="12">J31</f>
        <v>98</v>
      </c>
      <c r="X31" s="1317"/>
      <c r="Y31" s="3625"/>
      <c r="Z31" s="1325" t="str">
        <f t="shared" ref="Z31:Z45" si="13">Q31</f>
        <v>临街状况</v>
      </c>
      <c r="AA31" s="1326">
        <f t="shared" si="3"/>
        <v>1.0204081632653061</v>
      </c>
      <c r="AB31" s="1326">
        <f t="shared" si="4"/>
        <v>1.0204081632653061</v>
      </c>
      <c r="AC31" s="1326">
        <f t="shared" si="5"/>
        <v>1.0204081632653061</v>
      </c>
    </row>
    <row r="32" spans="1:29" ht="27">
      <c r="A32" s="770"/>
      <c r="B32" s="2762" t="s">
        <v>440</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v>2</v>
      </c>
      <c r="L32" s="2351"/>
      <c r="M32" s="2342"/>
      <c r="N32" s="2342"/>
      <c r="O32" s="2350"/>
      <c r="P32" s="3625"/>
      <c r="Q32" s="1322" t="str">
        <f t="shared" si="8"/>
        <v>毗邻道路的类型与等级</v>
      </c>
      <c r="R32" s="1323" t="s">
        <v>65</v>
      </c>
      <c r="S32" s="1324">
        <f t="shared" si="10"/>
        <v>100</v>
      </c>
      <c r="T32" s="1323" t="s">
        <v>65</v>
      </c>
      <c r="U32" s="1324">
        <f t="shared" si="11"/>
        <v>100</v>
      </c>
      <c r="V32" s="1323" t="s">
        <v>65</v>
      </c>
      <c r="W32" s="1324">
        <f t="shared" si="12"/>
        <v>100</v>
      </c>
      <c r="X32" s="1317"/>
      <c r="Y32" s="3625"/>
      <c r="Z32" s="1325" t="str">
        <f t="shared" si="13"/>
        <v>毗邻道路的类型与等级</v>
      </c>
      <c r="AA32" s="1326">
        <f t="shared" si="3"/>
        <v>1</v>
      </c>
      <c r="AB32" s="1326">
        <f t="shared" si="4"/>
        <v>1</v>
      </c>
      <c r="AC32" s="1326">
        <f t="shared" si="5"/>
        <v>1</v>
      </c>
    </row>
    <row r="33" spans="1:29" ht="15">
      <c r="A33" s="770"/>
      <c r="B33" s="798"/>
      <c r="C33" s="97" t="s">
        <v>3200</v>
      </c>
      <c r="D33" s="790"/>
      <c r="E33" s="192" t="s">
        <v>3200</v>
      </c>
      <c r="F33" s="790"/>
      <c r="G33" s="192" t="s">
        <v>3200</v>
      </c>
      <c r="H33" s="790"/>
      <c r="I33" s="97" t="s">
        <v>3200</v>
      </c>
      <c r="J33" s="790"/>
      <c r="K33" s="955"/>
      <c r="L33" s="2351"/>
      <c r="M33" s="2342"/>
      <c r="N33" s="2342"/>
      <c r="O33" s="2350"/>
      <c r="P33" s="3625"/>
      <c r="Q33" s="1322"/>
      <c r="R33" s="1323"/>
      <c r="S33" s="1324"/>
      <c r="T33" s="1323"/>
      <c r="U33" s="1324"/>
      <c r="V33" s="1323"/>
      <c r="W33" s="1324"/>
      <c r="X33" s="1317"/>
      <c r="Y33" s="3625"/>
      <c r="Z33" s="1325"/>
      <c r="AA33" s="1326">
        <v>1</v>
      </c>
      <c r="AB33" s="1326">
        <v>1</v>
      </c>
      <c r="AC33" s="1326">
        <v>1</v>
      </c>
    </row>
    <row r="34" spans="1:29" ht="15">
      <c r="A34" s="770"/>
      <c r="B34" s="764" t="s">
        <v>483</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1"/>
      <c r="M34" s="2342"/>
      <c r="N34" s="2342"/>
      <c r="O34" s="2350"/>
      <c r="P34" s="3625"/>
      <c r="Q34" s="1322" t="str">
        <f t="shared" si="8"/>
        <v>土地级别</v>
      </c>
      <c r="R34" s="1323" t="s">
        <v>65</v>
      </c>
      <c r="S34" s="1324">
        <f t="shared" si="10"/>
        <v>100</v>
      </c>
      <c r="T34" s="1323" t="s">
        <v>65</v>
      </c>
      <c r="U34" s="1324">
        <f t="shared" si="11"/>
        <v>100</v>
      </c>
      <c r="V34" s="1323" t="s">
        <v>65</v>
      </c>
      <c r="W34" s="1324">
        <f t="shared" si="12"/>
        <v>100</v>
      </c>
      <c r="X34" s="1317"/>
      <c r="Y34" s="3625"/>
      <c r="Z34" s="1325" t="str">
        <f t="shared" si="13"/>
        <v>土地级别</v>
      </c>
      <c r="AA34" s="1326">
        <f t="shared" si="3"/>
        <v>1</v>
      </c>
      <c r="AB34" s="1326">
        <f t="shared" si="4"/>
        <v>1</v>
      </c>
      <c r="AC34" s="1326">
        <f t="shared" si="5"/>
        <v>1</v>
      </c>
    </row>
    <row r="35" spans="1:29" ht="15">
      <c r="A35" s="746"/>
      <c r="B35" s="2764">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1"/>
      <c r="M35" s="2342"/>
      <c r="N35" s="2342"/>
      <c r="O35" s="2350"/>
      <c r="P35" s="3625"/>
      <c r="Q35" s="1322">
        <f t="shared" si="8"/>
        <v>111</v>
      </c>
      <c r="R35" s="1323" t="s">
        <v>65</v>
      </c>
      <c r="S35" s="1324">
        <f t="shared" si="10"/>
        <v>100</v>
      </c>
      <c r="T35" s="1323" t="s">
        <v>65</v>
      </c>
      <c r="U35" s="1324">
        <f t="shared" si="11"/>
        <v>100</v>
      </c>
      <c r="V35" s="1323" t="s">
        <v>65</v>
      </c>
      <c r="W35" s="1324">
        <f t="shared" si="12"/>
        <v>100</v>
      </c>
      <c r="X35" s="1317"/>
      <c r="Y35" s="3625"/>
      <c r="Z35" s="1325">
        <f t="shared" si="13"/>
        <v>111</v>
      </c>
      <c r="AA35" s="1326">
        <f t="shared" si="3"/>
        <v>1</v>
      </c>
      <c r="AB35" s="1326">
        <f t="shared" si="4"/>
        <v>1</v>
      </c>
      <c r="AC35" s="1326">
        <f t="shared" si="5"/>
        <v>1</v>
      </c>
    </row>
    <row r="36" spans="1:29" ht="15">
      <c r="A36" s="1083"/>
      <c r="B36" s="2765">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1"/>
      <c r="M36" s="2342"/>
      <c r="N36" s="2342"/>
      <c r="O36" s="2350"/>
      <c r="P36" s="3643" t="s">
        <v>407</v>
      </c>
      <c r="Q36" s="1322">
        <f t="shared" si="8"/>
        <v>111</v>
      </c>
      <c r="R36" s="1323" t="s">
        <v>65</v>
      </c>
      <c r="S36" s="1324">
        <f t="shared" si="10"/>
        <v>100</v>
      </c>
      <c r="T36" s="1323" t="s">
        <v>65</v>
      </c>
      <c r="U36" s="1324">
        <f t="shared" si="11"/>
        <v>100</v>
      </c>
      <c r="V36" s="1323" t="s">
        <v>65</v>
      </c>
      <c r="W36" s="1324">
        <f t="shared" si="12"/>
        <v>100</v>
      </c>
      <c r="X36" s="1317"/>
      <c r="Y36" s="3626" t="s">
        <v>407</v>
      </c>
      <c r="Z36" s="1325">
        <f t="shared" si="13"/>
        <v>111</v>
      </c>
      <c r="AA36" s="1326">
        <f t="shared" si="3"/>
        <v>1</v>
      </c>
      <c r="AB36" s="1326">
        <f t="shared" si="4"/>
        <v>1</v>
      </c>
      <c r="AC36" s="1326">
        <f t="shared" si="5"/>
        <v>1</v>
      </c>
    </row>
    <row r="37" spans="1:29" s="813" customFormat="1" ht="15.75" thickBot="1">
      <c r="A37" s="1084"/>
      <c r="B37" s="2766">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49"/>
      <c r="M37" s="2352"/>
      <c r="N37" s="2352"/>
      <c r="O37" s="2353"/>
      <c r="P37" s="3626"/>
      <c r="Q37" s="1322">
        <f t="shared" si="8"/>
        <v>111</v>
      </c>
      <c r="R37" s="1328" t="s">
        <v>65</v>
      </c>
      <c r="S37" s="1329">
        <f t="shared" si="10"/>
        <v>100</v>
      </c>
      <c r="T37" s="1328" t="s">
        <v>65</v>
      </c>
      <c r="U37" s="1329">
        <f t="shared" si="11"/>
        <v>100</v>
      </c>
      <c r="V37" s="1328" t="s">
        <v>65</v>
      </c>
      <c r="W37" s="1329">
        <f t="shared" si="12"/>
        <v>100</v>
      </c>
      <c r="X37" s="1330"/>
      <c r="Y37" s="3626"/>
      <c r="Z37" s="1331">
        <f t="shared" si="13"/>
        <v>111</v>
      </c>
      <c r="AA37" s="1326">
        <f t="shared" si="3"/>
        <v>1</v>
      </c>
      <c r="AB37" s="1326">
        <f t="shared" si="4"/>
        <v>1</v>
      </c>
      <c r="AC37" s="1326">
        <f t="shared" si="5"/>
        <v>1</v>
      </c>
    </row>
    <row r="38" spans="1:29" ht="15">
      <c r="A38" s="814" t="s">
        <v>406</v>
      </c>
      <c r="B38" s="798" t="s">
        <v>484</v>
      </c>
      <c r="C38" s="1087">
        <v>49463.05</v>
      </c>
      <c r="D38" s="809">
        <v>100</v>
      </c>
      <c r="E38" s="1087">
        <f>Sheet1!E11</f>
        <v>28263.96</v>
      </c>
      <c r="F38" s="809">
        <f>LOOKUP(E38,117:117,118:118)-LOOKUP(C38,117:117,118:118)+100</f>
        <v>99.5</v>
      </c>
      <c r="G38" s="1087">
        <f>Sheet1!E12</f>
        <v>7835.19</v>
      </c>
      <c r="H38" s="809">
        <f>LOOKUP(G38,117:117,118:118)-LOOKUP(C38,117:117,118:118)+100</f>
        <v>99</v>
      </c>
      <c r="I38" s="872">
        <f>Sheet1!E13</f>
        <v>18706.259999999998</v>
      </c>
      <c r="J38" s="809">
        <f>LOOKUP(I38,117:117,118:118)-LOOKUP(C38,117:117,118:118)+100</f>
        <v>99</v>
      </c>
      <c r="K38" s="955"/>
      <c r="L38" s="2351"/>
      <c r="M38" s="2342"/>
      <c r="N38" s="2342"/>
      <c r="O38" s="2350"/>
      <c r="P38" s="3626"/>
      <c r="Q38" s="1322" t="str">
        <f>B38</f>
        <v>宗地面积</v>
      </c>
      <c r="R38" s="1323" t="s">
        <v>65</v>
      </c>
      <c r="S38" s="1324">
        <f t="shared" si="10"/>
        <v>99.5</v>
      </c>
      <c r="T38" s="1323" t="s">
        <v>65</v>
      </c>
      <c r="U38" s="1324">
        <f t="shared" si="11"/>
        <v>99</v>
      </c>
      <c r="V38" s="1323" t="s">
        <v>65</v>
      </c>
      <c r="W38" s="1324">
        <f t="shared" si="12"/>
        <v>99</v>
      </c>
      <c r="X38" s="1317"/>
      <c r="Y38" s="3626"/>
      <c r="Z38" s="1325" t="str">
        <f t="shared" si="13"/>
        <v>宗地面积</v>
      </c>
      <c r="AA38" s="1326">
        <f t="shared" si="3"/>
        <v>1.0050251256281406</v>
      </c>
      <c r="AB38" s="1326">
        <f t="shared" si="4"/>
        <v>1.0101010101010102</v>
      </c>
      <c r="AC38" s="1326">
        <f t="shared" si="5"/>
        <v>1.0101010101010102</v>
      </c>
    </row>
    <row r="39" spans="1:29" ht="15">
      <c r="A39" s="814"/>
      <c r="B39" s="764" t="s">
        <v>485</v>
      </c>
      <c r="C39" s="109" t="s">
        <v>3203</v>
      </c>
      <c r="D39" s="777">
        <v>100</v>
      </c>
      <c r="E39" s="109" t="s">
        <v>3203</v>
      </c>
      <c r="F39" s="777">
        <f>SUMIF(119:119,E39,120:120)-SUMIF(119:119,C39,120:120)+100</f>
        <v>100</v>
      </c>
      <c r="G39" s="109" t="s">
        <v>3203</v>
      </c>
      <c r="H39" s="777">
        <f>SUMIF(119:119,G39,120:120)-SUMIF(119:119,C39,120:120)+100</f>
        <v>100</v>
      </c>
      <c r="I39" s="109" t="s">
        <v>3203</v>
      </c>
      <c r="J39" s="777">
        <f>SUMIF(119:119,I39,120:120)-SUMIF(119:119,C39,120:120)+100</f>
        <v>100</v>
      </c>
      <c r="K39" s="954">
        <v>3</v>
      </c>
      <c r="L39" s="2351"/>
      <c r="M39" s="2342"/>
      <c r="N39" s="2342"/>
      <c r="O39" s="2350"/>
      <c r="P39" s="3626"/>
      <c r="Q39" s="1322" t="str">
        <f t="shared" ref="Q39:Q45" si="14">B39</f>
        <v>宗地形状</v>
      </c>
      <c r="R39" s="1323" t="s">
        <v>65</v>
      </c>
      <c r="S39" s="1324">
        <f t="shared" si="10"/>
        <v>100</v>
      </c>
      <c r="T39" s="1323" t="s">
        <v>65</v>
      </c>
      <c r="U39" s="1324">
        <f t="shared" si="11"/>
        <v>100</v>
      </c>
      <c r="V39" s="1323" t="s">
        <v>65</v>
      </c>
      <c r="W39" s="1324">
        <f t="shared" si="12"/>
        <v>100</v>
      </c>
      <c r="X39" s="1317"/>
      <c r="Y39" s="3626"/>
      <c r="Z39" s="1325" t="str">
        <f t="shared" si="13"/>
        <v>宗地形状</v>
      </c>
      <c r="AA39" s="1326">
        <f t="shared" si="3"/>
        <v>1</v>
      </c>
      <c r="AB39" s="1326">
        <f t="shared" si="4"/>
        <v>1</v>
      </c>
      <c r="AC39" s="1326">
        <f t="shared" si="5"/>
        <v>1</v>
      </c>
    </row>
    <row r="40" spans="1:29" ht="15">
      <c r="A40" s="814"/>
      <c r="B40" s="764" t="s">
        <v>486</v>
      </c>
      <c r="C40" s="109" t="s">
        <v>3201</v>
      </c>
      <c r="D40" s="777">
        <v>100</v>
      </c>
      <c r="E40" s="109" t="s">
        <v>3201</v>
      </c>
      <c r="F40" s="777">
        <f>SUMIF(121:121,E40,122:122)-SUMIF(121:121,C40,122:122)+100</f>
        <v>100</v>
      </c>
      <c r="G40" s="109" t="s">
        <v>3201</v>
      </c>
      <c r="H40" s="777">
        <f>SUMIF(121:121,G40,122:122)-SUMIF(121:121,C40,122:122)+100</f>
        <v>100</v>
      </c>
      <c r="I40" s="109" t="s">
        <v>3201</v>
      </c>
      <c r="J40" s="777">
        <f>SUMIF(121:121,I40,122:122)-SUMIF(121:121,C40,122:122)+100</f>
        <v>100</v>
      </c>
      <c r="K40" s="954">
        <v>1</v>
      </c>
      <c r="L40" s="2351"/>
      <c r="M40" s="2342"/>
      <c r="N40" s="2342"/>
      <c r="O40" s="2350"/>
      <c r="P40" s="3626"/>
      <c r="Q40" s="1322" t="str">
        <f t="shared" si="14"/>
        <v>临街宽度及深度</v>
      </c>
      <c r="R40" s="1323" t="s">
        <v>65</v>
      </c>
      <c r="S40" s="1324">
        <f t="shared" si="10"/>
        <v>100</v>
      </c>
      <c r="T40" s="1323" t="s">
        <v>65</v>
      </c>
      <c r="U40" s="1324">
        <f t="shared" si="11"/>
        <v>100</v>
      </c>
      <c r="V40" s="1323" t="s">
        <v>65</v>
      </c>
      <c r="W40" s="1324">
        <f t="shared" si="12"/>
        <v>100</v>
      </c>
      <c r="X40" s="1317"/>
      <c r="Y40" s="3626"/>
      <c r="Z40" s="1325" t="str">
        <f t="shared" si="13"/>
        <v>临街宽度及深度</v>
      </c>
      <c r="AA40" s="1326">
        <f t="shared" si="3"/>
        <v>1</v>
      </c>
      <c r="AB40" s="1326">
        <f t="shared" si="4"/>
        <v>1</v>
      </c>
      <c r="AC40" s="1326">
        <f t="shared" si="5"/>
        <v>1</v>
      </c>
    </row>
    <row r="41" spans="1:29" s="406" customFormat="1" ht="15">
      <c r="A41" s="815"/>
      <c r="B41" s="2603" t="s">
        <v>2506</v>
      </c>
      <c r="C41" s="1041" t="s">
        <v>3202</v>
      </c>
      <c r="D41" s="425">
        <v>100</v>
      </c>
      <c r="E41" s="1041" t="s">
        <v>3204</v>
      </c>
      <c r="F41" s="777">
        <f>SUMIF(123:123,E41,124:124)-SUMIF(123:123,C41,124:124)+100</f>
        <v>98</v>
      </c>
      <c r="G41" s="1041" t="s">
        <v>3204</v>
      </c>
      <c r="H41" s="777">
        <f>SUMIF(123:123,G41,124:124)-SUMIF(123:123,C41,124:124)+100</f>
        <v>98</v>
      </c>
      <c r="I41" s="1041" t="s">
        <v>3204</v>
      </c>
      <c r="J41" s="777">
        <f>SUMIF(123:123,I41,124:124)-SUMIF(123:123,C41,124:124)+100</f>
        <v>98</v>
      </c>
      <c r="K41" s="954">
        <v>2</v>
      </c>
      <c r="L41" s="2343"/>
      <c r="M41" s="2344"/>
      <c r="N41" s="2344"/>
      <c r="O41" s="2345"/>
      <c r="P41" s="3626"/>
      <c r="Q41" s="1322" t="str">
        <f t="shared" si="14"/>
        <v>宗地开发程度</v>
      </c>
      <c r="R41" s="1318" t="s">
        <v>65</v>
      </c>
      <c r="S41" s="1319">
        <f t="shared" si="10"/>
        <v>98</v>
      </c>
      <c r="T41" s="1318" t="s">
        <v>65</v>
      </c>
      <c r="U41" s="1319">
        <f t="shared" si="11"/>
        <v>98</v>
      </c>
      <c r="V41" s="1318" t="s">
        <v>65</v>
      </c>
      <c r="W41" s="1319">
        <f t="shared" si="12"/>
        <v>98</v>
      </c>
      <c r="X41" s="1320"/>
      <c r="Y41" s="3626"/>
      <c r="Z41" s="344" t="str">
        <f t="shared" si="13"/>
        <v>宗地开发程度</v>
      </c>
      <c r="AA41" s="1321">
        <f t="shared" si="3"/>
        <v>1.0204081632653061</v>
      </c>
      <c r="AB41" s="1321">
        <f t="shared" si="4"/>
        <v>1.0204081632653061</v>
      </c>
      <c r="AC41" s="1321">
        <f t="shared" si="5"/>
        <v>1.0204081632653061</v>
      </c>
    </row>
    <row r="42" spans="1:29" ht="15">
      <c r="A42" s="814"/>
      <c r="B42" s="764" t="s">
        <v>487</v>
      </c>
      <c r="C42" s="109" t="s">
        <v>3175</v>
      </c>
      <c r="D42" s="777">
        <v>100</v>
      </c>
      <c r="E42" s="109" t="s">
        <v>3175</v>
      </c>
      <c r="F42" s="777">
        <f>SUMIF(125:125,E42,126:126)-SUMIF(125:125,C42,126:126)+100</f>
        <v>100</v>
      </c>
      <c r="G42" s="109" t="s">
        <v>3175</v>
      </c>
      <c r="H42" s="777">
        <f>SUMIF(125:125,G42,126:126)-SUMIF(125:125,C42,126:126)+100</f>
        <v>100</v>
      </c>
      <c r="I42" s="109" t="s">
        <v>3175</v>
      </c>
      <c r="J42" s="777">
        <f>SUMIF(125:125,I42,126:126)-SUMIF(125:125,C42,126:126)+100</f>
        <v>100</v>
      </c>
      <c r="K42" s="954">
        <v>1</v>
      </c>
      <c r="L42" s="2351"/>
      <c r="M42" s="2342"/>
      <c r="N42" s="2342"/>
      <c r="O42" s="2350"/>
      <c r="P42" s="3626" t="s">
        <v>407</v>
      </c>
      <c r="Q42" s="1322" t="str">
        <f t="shared" si="14"/>
        <v>工程地质条件</v>
      </c>
      <c r="R42" s="1323" t="s">
        <v>65</v>
      </c>
      <c r="S42" s="1324">
        <f t="shared" si="10"/>
        <v>100</v>
      </c>
      <c r="T42" s="1323" t="s">
        <v>65</v>
      </c>
      <c r="U42" s="1324">
        <f t="shared" si="11"/>
        <v>100</v>
      </c>
      <c r="V42" s="1323" t="s">
        <v>65</v>
      </c>
      <c r="W42" s="1324">
        <f t="shared" si="12"/>
        <v>100</v>
      </c>
      <c r="X42" s="1317"/>
      <c r="Y42" s="3626" t="s">
        <v>407</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1"/>
      <c r="M43" s="2342"/>
      <c r="N43" s="2342"/>
      <c r="O43" s="2350"/>
      <c r="P43" s="3626"/>
      <c r="Q43" s="1322">
        <f t="shared" si="14"/>
        <v>111</v>
      </c>
      <c r="R43" s="1323" t="s">
        <v>65</v>
      </c>
      <c r="S43" s="1324">
        <f t="shared" si="10"/>
        <v>100</v>
      </c>
      <c r="T43" s="1323" t="s">
        <v>65</v>
      </c>
      <c r="U43" s="1324">
        <f t="shared" si="11"/>
        <v>100</v>
      </c>
      <c r="V43" s="1323" t="s">
        <v>65</v>
      </c>
      <c r="W43" s="1324">
        <f t="shared" si="12"/>
        <v>100</v>
      </c>
      <c r="X43" s="1317"/>
      <c r="Y43" s="3626"/>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1"/>
      <c r="M44" s="2342"/>
      <c r="N44" s="2342"/>
      <c r="O44" s="2350"/>
      <c r="P44" s="3626"/>
      <c r="Q44" s="1322">
        <f t="shared" si="14"/>
        <v>111</v>
      </c>
      <c r="R44" s="1323" t="s">
        <v>65</v>
      </c>
      <c r="S44" s="1324">
        <f t="shared" si="10"/>
        <v>100</v>
      </c>
      <c r="T44" s="1323" t="s">
        <v>65</v>
      </c>
      <c r="U44" s="1324">
        <f t="shared" si="11"/>
        <v>100</v>
      </c>
      <c r="V44" s="1323" t="s">
        <v>65</v>
      </c>
      <c r="W44" s="1324">
        <f t="shared" si="12"/>
        <v>100</v>
      </c>
      <c r="X44" s="1317"/>
      <c r="Y44" s="3626"/>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49"/>
      <c r="M45" s="2352"/>
      <c r="N45" s="2352"/>
      <c r="O45" s="2353"/>
      <c r="P45" s="3626"/>
      <c r="Q45" s="1322">
        <f t="shared" si="14"/>
        <v>111</v>
      </c>
      <c r="R45" s="1328" t="s">
        <v>65</v>
      </c>
      <c r="S45" s="1329">
        <f t="shared" si="10"/>
        <v>100</v>
      </c>
      <c r="T45" s="1328" t="s">
        <v>65</v>
      </c>
      <c r="U45" s="1329">
        <f t="shared" si="11"/>
        <v>100</v>
      </c>
      <c r="V45" s="1328" t="s">
        <v>65</v>
      </c>
      <c r="W45" s="1329">
        <f t="shared" si="12"/>
        <v>100</v>
      </c>
      <c r="X45" s="1330"/>
      <c r="Y45" s="3626"/>
      <c r="Z45" s="1331">
        <f t="shared" si="13"/>
        <v>111</v>
      </c>
      <c r="AA45" s="1326">
        <f t="shared" si="3"/>
        <v>1</v>
      </c>
      <c r="AB45" s="1326">
        <f t="shared" si="4"/>
        <v>1</v>
      </c>
      <c r="AC45" s="1326">
        <f t="shared" si="5"/>
        <v>1</v>
      </c>
    </row>
    <row r="46" spans="1:29" ht="15">
      <c r="A46" s="821" t="s">
        <v>488</v>
      </c>
      <c r="B46" s="207" t="s">
        <v>3234</v>
      </c>
      <c r="C46" s="1090" t="s">
        <v>23</v>
      </c>
      <c r="D46" s="823"/>
      <c r="E46" s="824">
        <v>3226</v>
      </c>
      <c r="F46" s="825"/>
      <c r="G46" s="826">
        <v>3064</v>
      </c>
      <c r="H46" s="827"/>
      <c r="I46" s="824">
        <v>3459</v>
      </c>
      <c r="J46" s="827"/>
      <c r="K46" s="1399"/>
      <c r="L46" s="2354"/>
      <c r="M46" s="2355"/>
      <c r="N46" s="2342"/>
      <c r="O46" s="2355"/>
      <c r="P46" s="3642" t="str">
        <f>A46</f>
        <v>成交单价</v>
      </c>
      <c r="Q46" s="3642"/>
      <c r="R46" s="3623">
        <f>E46</f>
        <v>3226</v>
      </c>
      <c r="S46" s="3623"/>
      <c r="T46" s="3623">
        <f>G46</f>
        <v>3064</v>
      </c>
      <c r="U46" s="3623"/>
      <c r="V46" s="3623">
        <f>I46</f>
        <v>3459</v>
      </c>
      <c r="W46" s="3623"/>
      <c r="X46" s="1306"/>
      <c r="Y46" s="1332"/>
      <c r="Z46" s="1306"/>
      <c r="AA46" s="1306"/>
      <c r="AB46" s="1306"/>
      <c r="AC46" s="1306"/>
    </row>
    <row r="47" spans="1:29" ht="15.75" thickBot="1">
      <c r="A47" s="828" t="s">
        <v>409</v>
      </c>
      <c r="B47" s="1091"/>
      <c r="C47" s="832">
        <f>R48</f>
        <v>3682</v>
      </c>
      <c r="D47" s="831"/>
      <c r="E47" s="832">
        <f>R47</f>
        <v>3631</v>
      </c>
      <c r="F47" s="833"/>
      <c r="G47" s="830">
        <f>T47</f>
        <v>3467</v>
      </c>
      <c r="H47" s="831"/>
      <c r="I47" s="832">
        <f>V47</f>
        <v>3949</v>
      </c>
      <c r="J47" s="831"/>
      <c r="K47" s="1400"/>
      <c r="L47" s="2354"/>
      <c r="M47" s="2355"/>
      <c r="N47" s="2355"/>
      <c r="O47" s="2355"/>
      <c r="P47" s="3642" t="str">
        <f>A47</f>
        <v>比较价值（元/平方米）</v>
      </c>
      <c r="Q47" s="3642"/>
      <c r="R47" s="3647">
        <f>ROUND(PRODUCT(R46,AA7:AA45),0)</f>
        <v>3631</v>
      </c>
      <c r="S47" s="3647"/>
      <c r="T47" s="3647">
        <f>ROUND(PRODUCT(T46,AB7:AB45),0)</f>
        <v>3467</v>
      </c>
      <c r="U47" s="3647"/>
      <c r="V47" s="3647">
        <f>ROUND(PRODUCT(V46,AC7:AC45),0)</f>
        <v>3949</v>
      </c>
      <c r="W47" s="3647"/>
      <c r="X47" s="1306"/>
      <c r="Y47" s="1306"/>
      <c r="Z47" s="1306"/>
      <c r="AA47" s="1306"/>
      <c r="AB47" s="1306"/>
      <c r="AC47" s="1306"/>
    </row>
    <row r="48" spans="1:29" ht="15.75" thickBot="1">
      <c r="A48" s="115" t="s">
        <v>514</v>
      </c>
      <c r="B48" s="835"/>
      <c r="C48" s="836">
        <f>R48</f>
        <v>3682</v>
      </c>
      <c r="D48" s="836"/>
      <c r="E48" s="836"/>
      <c r="F48" s="836"/>
      <c r="G48" s="836"/>
      <c r="H48" s="836"/>
      <c r="I48" s="836"/>
      <c r="J48" s="836"/>
      <c r="K48" s="1401"/>
      <c r="L48" s="2354"/>
      <c r="M48" s="2355"/>
      <c r="N48" s="2355"/>
      <c r="O48" s="2355"/>
      <c r="P48" s="3644" t="str">
        <f>A48</f>
        <v>估价对象XX用房的比较价值（楼面单价，元/平方米）</v>
      </c>
      <c r="Q48" s="3645"/>
      <c r="R48" s="3646">
        <f>ROUND(AVERAGE(R47:V47),0)</f>
        <v>3682</v>
      </c>
      <c r="S48" s="3646"/>
      <c r="T48" s="3646"/>
      <c r="U48" s="3646"/>
      <c r="V48" s="3646"/>
      <c r="W48" s="3646"/>
      <c r="X48" s="1306"/>
      <c r="Y48" s="1306"/>
      <c r="Z48" s="1306"/>
      <c r="AA48" s="1306"/>
      <c r="AB48" s="1306"/>
      <c r="AC48" s="1306"/>
    </row>
    <row r="49" spans="1:15">
      <c r="A49" s="2355"/>
      <c r="B49" s="2355"/>
      <c r="C49" s="2355"/>
      <c r="D49" s="2355"/>
      <c r="E49" s="2355"/>
      <c r="F49" s="2355"/>
      <c r="G49" s="2358"/>
      <c r="H49" s="2355"/>
      <c r="I49" s="2355"/>
      <c r="J49" s="2355"/>
      <c r="K49" s="2181"/>
      <c r="L49" s="2182"/>
      <c r="M49" s="2355"/>
      <c r="N49" s="2355"/>
      <c r="O49" s="2355"/>
    </row>
    <row r="50" spans="1:15">
      <c r="A50" s="2355"/>
      <c r="B50" s="2355"/>
      <c r="C50" s="2355"/>
      <c r="D50" s="2355"/>
      <c r="E50" s="2355"/>
      <c r="F50" s="2355"/>
      <c r="G50" s="2355"/>
      <c r="H50" s="2355"/>
      <c r="I50" s="2355"/>
      <c r="J50" s="2355"/>
      <c r="K50" s="2181"/>
      <c r="L50" s="2182"/>
      <c r="M50" s="2355"/>
      <c r="N50" s="2355"/>
      <c r="O50" s="2355"/>
    </row>
    <row r="51" spans="1:15" ht="13.5" customHeight="1">
      <c r="A51" s="2355"/>
      <c r="B51" s="2355"/>
      <c r="C51" s="839" t="s">
        <v>410</v>
      </c>
      <c r="D51" s="840"/>
      <c r="E51" s="841">
        <f>IF(E46&lt;E47,E47/E46-1,E46/E47-1)</f>
        <v>0.12554246745195297</v>
      </c>
      <c r="F51" s="842" t="str">
        <f>IF(OR(E51&gt;=0.3,E51&lt;=-0.3),"超过30%","")</f>
        <v/>
      </c>
      <c r="G51" s="841">
        <f>IF(G46&lt;G47,G47/G46-1,G46/G47-1)</f>
        <v>0.13152741514360322</v>
      </c>
      <c r="H51" s="842" t="str">
        <f>IF(OR(G51&gt;=0.3,G51&lt;=-0.3),"超过30%","")</f>
        <v/>
      </c>
      <c r="I51" s="841">
        <f>IF(I46&lt;I47,I47/I46-1,I46/I47-1)</f>
        <v>0.14165943914426138</v>
      </c>
      <c r="J51" s="842" t="str">
        <f>IF(OR(I51&gt;=0.3,I51&lt;=-0.3),"超过30%","")</f>
        <v/>
      </c>
      <c r="K51" s="2181"/>
      <c r="L51" s="2182"/>
      <c r="M51" s="2355"/>
      <c r="N51" s="2355"/>
      <c r="O51" s="2355"/>
    </row>
    <row r="52" spans="1:15" ht="13.5" customHeight="1">
      <c r="A52" s="2355"/>
      <c r="B52" s="2355"/>
      <c r="C52" s="839" t="s">
        <v>411</v>
      </c>
      <c r="D52" s="843"/>
      <c r="E52" s="841">
        <f>IF(E47&lt;G47,G47/E47-1,E47/G47-1)</f>
        <v>4.730314392846835E-2</v>
      </c>
      <c r="F52" s="842" t="str">
        <f>IF(OR(E52&gt;=0.2,E52&lt;=-0.2),"超过20%","")</f>
        <v/>
      </c>
      <c r="G52" s="841">
        <f>IF(G47&lt;I47,I47/G47-1,G47/I47-1)</f>
        <v>0.13902509374098648</v>
      </c>
      <c r="H52" s="842" t="str">
        <f>IF(OR(G52&gt;=0.2,G52&lt;=-0.2),"超过20%","")</f>
        <v/>
      </c>
      <c r="I52" s="841">
        <f>IF(I47&lt;E47,E47/I47-1,I47/E47-1)</f>
        <v>8.7579179289452025E-2</v>
      </c>
      <c r="J52" s="842" t="str">
        <f>IF(OR(I52&gt;=0.2,I52&lt;=-0.2),"超过20%","")</f>
        <v/>
      </c>
      <c r="K52" s="2181"/>
      <c r="L52" s="2182"/>
      <c r="M52" s="2355"/>
      <c r="N52" s="2355"/>
      <c r="O52" s="2355"/>
    </row>
    <row r="53" spans="1:15" s="844" customFormat="1" ht="13.5" customHeight="1">
      <c r="A53" s="2356"/>
      <c r="B53" s="2356"/>
      <c r="C53" s="839" t="s">
        <v>412</v>
      </c>
      <c r="D53" s="843"/>
      <c r="E53" s="841">
        <f>IF(E46&lt;G46,G46/E46-1,E46/G46-1)</f>
        <v>5.2872062663185337E-2</v>
      </c>
      <c r="F53" s="842" t="str">
        <f>IF(OR(E53&gt;=0.3,E53&lt;=-0.3),"超过30%","")</f>
        <v/>
      </c>
      <c r="G53" s="841">
        <f>IF(G46&lt;I46,I46/G46-1,G46/I46-1)</f>
        <v>0.12891644908616184</v>
      </c>
      <c r="H53" s="842" t="str">
        <f>IF(OR(G53&gt;=0.3,G53&lt;=-0.3),"超过30%","")</f>
        <v/>
      </c>
      <c r="I53" s="841">
        <f>IF(I46&lt;E46,E46/I46-1,I46/E46-1)</f>
        <v>7.2225666460012494E-2</v>
      </c>
      <c r="J53" s="842" t="str">
        <f>IF(OR(I53&gt;=0.3,I53&lt;=-0.3),"超过30%","")</f>
        <v/>
      </c>
      <c r="K53" s="2359"/>
      <c r="L53" s="2360"/>
      <c r="M53" s="2356"/>
      <c r="N53" s="2356"/>
      <c r="O53" s="2356"/>
    </row>
    <row r="54" spans="1:15" s="844" customFormat="1" ht="15" thickBot="1">
      <c r="A54" s="2356"/>
      <c r="B54" s="2357"/>
      <c r="C54" s="1309"/>
      <c r="D54" s="1307"/>
      <c r="E54" s="1307"/>
      <c r="F54" s="1307"/>
      <c r="G54" s="1307"/>
      <c r="H54" s="1307"/>
      <c r="I54" s="1307"/>
      <c r="J54" s="1307"/>
      <c r="K54" s="2359"/>
      <c r="L54" s="2360"/>
      <c r="M54" s="2356"/>
      <c r="N54" s="2356"/>
      <c r="O54" s="2356"/>
    </row>
    <row r="55" spans="1:15" ht="27" customHeight="1">
      <c r="A55" s="1092" t="s">
        <v>489</v>
      </c>
      <c r="B55" s="1093" t="s">
        <v>490</v>
      </c>
      <c r="C55" s="1769" t="s">
        <v>1890</v>
      </c>
      <c r="D55" s="2386" t="s">
        <v>2330</v>
      </c>
      <c r="E55" s="1094" t="s">
        <v>491</v>
      </c>
      <c r="F55" s="2183" t="s">
        <v>492</v>
      </c>
      <c r="G55" s="3601" t="s">
        <v>2323</v>
      </c>
      <c r="H55" s="3602"/>
      <c r="I55" s="2184" t="s">
        <v>1889</v>
      </c>
      <c r="J55" s="2188">
        <f>项目基本情况!F35</f>
        <v>0</v>
      </c>
      <c r="K55" s="2369" t="s">
        <v>1891</v>
      </c>
      <c r="L55" s="2182"/>
      <c r="M55" s="2355"/>
      <c r="N55" s="2355"/>
      <c r="O55" s="2355"/>
    </row>
    <row r="56" spans="1:15" s="1100" customFormat="1">
      <c r="A56" s="1096" t="s">
        <v>493</v>
      </c>
      <c r="B56" s="1097">
        <f>C48</f>
        <v>3682</v>
      </c>
      <c r="C56" s="1098">
        <v>1</v>
      </c>
      <c r="D56" s="2387">
        <v>1</v>
      </c>
      <c r="E56" s="1098">
        <f>'数据-汇总表'!E8+'数据-汇总表'!E9</f>
        <v>62053.11</v>
      </c>
      <c r="F56" s="2179">
        <f t="shared" ref="F56:F65" si="15">ROUND(B56*E56/10000,0)</f>
        <v>22848</v>
      </c>
      <c r="G56" s="3603"/>
      <c r="H56" s="3604"/>
      <c r="I56" s="2185">
        <v>1</v>
      </c>
      <c r="J56" s="2189">
        <v>1</v>
      </c>
      <c r="K56" s="2356"/>
      <c r="L56" s="1766"/>
      <c r="M56" s="1766"/>
      <c r="N56" s="1766"/>
      <c r="O56" s="1766"/>
    </row>
    <row r="57" spans="1:15" s="1100" customFormat="1">
      <c r="A57" s="1101" t="s">
        <v>494</v>
      </c>
      <c r="B57" s="593">
        <f>ROUND($C$48*C57*D57,0)</f>
        <v>0</v>
      </c>
      <c r="C57" s="531">
        <f t="shared" ref="C57:C65" si="16">IF($C$55="北京市系数",I57,J57)</f>
        <v>0</v>
      </c>
      <c r="D57" s="2388">
        <v>0.25</v>
      </c>
      <c r="E57" s="1102"/>
      <c r="F57" s="2179">
        <f t="shared" si="15"/>
        <v>0</v>
      </c>
      <c r="G57" s="3605" t="s">
        <v>2324</v>
      </c>
      <c r="H57" s="2180">
        <f>项目基本情况!B37</f>
        <v>0</v>
      </c>
      <c r="I57" s="2185">
        <f>SUMIF(修正!A45:A56,H57,修正!B45:B56)</f>
        <v>0</v>
      </c>
      <c r="J57" s="2190"/>
      <c r="K57" s="2355"/>
      <c r="L57" s="1766"/>
      <c r="M57" s="1766"/>
      <c r="N57" s="1766"/>
      <c r="O57" s="1766"/>
    </row>
    <row r="58" spans="1:15" s="1100" customFormat="1">
      <c r="A58" s="1101" t="s">
        <v>495</v>
      </c>
      <c r="B58" s="593">
        <f t="shared" ref="B58:B65" si="17">ROUND($C$48*C58*D58,0)</f>
        <v>0</v>
      </c>
      <c r="C58" s="531">
        <f t="shared" si="16"/>
        <v>0</v>
      </c>
      <c r="D58" s="2388">
        <v>0.25</v>
      </c>
      <c r="E58" s="1102"/>
      <c r="F58" s="2179">
        <f t="shared" si="15"/>
        <v>0</v>
      </c>
      <c r="G58" s="3605"/>
      <c r="H58" s="2180">
        <f>项目基本情况!B37</f>
        <v>0</v>
      </c>
      <c r="I58" s="2185">
        <f>SUMIF(修正!A45:A56,H58,修正!C45:C56)</f>
        <v>0</v>
      </c>
      <c r="J58" s="2190"/>
      <c r="K58" s="2356"/>
      <c r="L58" s="1766"/>
      <c r="M58" s="1766"/>
      <c r="N58" s="1766"/>
      <c r="O58" s="1766"/>
    </row>
    <row r="59" spans="1:15" s="1100" customFormat="1">
      <c r="A59" s="1101" t="s">
        <v>496</v>
      </c>
      <c r="B59" s="593">
        <f t="shared" si="17"/>
        <v>0</v>
      </c>
      <c r="C59" s="531">
        <f t="shared" si="16"/>
        <v>0</v>
      </c>
      <c r="D59" s="2388">
        <v>0.25</v>
      </c>
      <c r="E59" s="1102"/>
      <c r="F59" s="2179">
        <f t="shared" si="15"/>
        <v>0</v>
      </c>
      <c r="G59" s="3605"/>
      <c r="H59" s="2180">
        <f>项目基本情况!B37</f>
        <v>0</v>
      </c>
      <c r="I59" s="2185">
        <f>SUMIF(修正!A45:A56,H59,修正!D45:D56)</f>
        <v>0</v>
      </c>
      <c r="J59" s="2190"/>
      <c r="K59" s="2355"/>
      <c r="L59" s="1766"/>
      <c r="M59" s="1766"/>
      <c r="N59" s="1766"/>
      <c r="O59" s="1766"/>
    </row>
    <row r="60" spans="1:15" s="1100" customFormat="1">
      <c r="A60" s="1101" t="s">
        <v>497</v>
      </c>
      <c r="B60" s="593">
        <f t="shared" si="17"/>
        <v>0</v>
      </c>
      <c r="C60" s="531">
        <f t="shared" si="16"/>
        <v>0</v>
      </c>
      <c r="D60" s="2388">
        <v>0.25</v>
      </c>
      <c r="E60" s="1102"/>
      <c r="F60" s="2179">
        <f t="shared" si="15"/>
        <v>0</v>
      </c>
      <c r="G60" s="3605"/>
      <c r="H60" s="2180">
        <f>项目基本情况!B37</f>
        <v>0</v>
      </c>
      <c r="I60" s="2185">
        <f>SUMIF(修正!A45:A56,H60,修正!E45:E56)</f>
        <v>0</v>
      </c>
      <c r="J60" s="2190"/>
      <c r="K60" s="2356"/>
      <c r="L60" s="1766"/>
      <c r="M60" s="1766"/>
      <c r="N60" s="1766"/>
      <c r="O60" s="1766"/>
    </row>
    <row r="61" spans="1:15" s="1100" customFormat="1">
      <c r="A61" s="2508" t="s">
        <v>2406</v>
      </c>
      <c r="B61" s="593">
        <f t="shared" si="17"/>
        <v>0</v>
      </c>
      <c r="C61" s="531">
        <f t="shared" si="16"/>
        <v>0</v>
      </c>
      <c r="D61" s="2388">
        <v>0.25</v>
      </c>
      <c r="E61" s="592">
        <f>'数据-汇总表'!E11</f>
        <v>0</v>
      </c>
      <c r="F61" s="2179">
        <f t="shared" si="15"/>
        <v>0</v>
      </c>
      <c r="G61" s="2192" t="s">
        <v>2325</v>
      </c>
      <c r="H61" s="2180">
        <f>项目基本情况!C37</f>
        <v>0</v>
      </c>
      <c r="I61" s="2185">
        <f>SUMIF(修正!A45:A56,H61,修正!F45:F56)</f>
        <v>0</v>
      </c>
      <c r="J61" s="2190"/>
      <c r="K61" s="2355"/>
      <c r="L61" s="1766"/>
      <c r="M61" s="1766"/>
      <c r="N61" s="1766"/>
      <c r="O61" s="1766"/>
    </row>
    <row r="62" spans="1:15" s="1100" customFormat="1">
      <c r="A62" s="1101" t="s">
        <v>498</v>
      </c>
      <c r="B62" s="593">
        <f t="shared" si="17"/>
        <v>0</v>
      </c>
      <c r="C62" s="531">
        <f t="shared" si="16"/>
        <v>0</v>
      </c>
      <c r="D62" s="2388">
        <v>0.25</v>
      </c>
      <c r="E62" s="592">
        <f>'数据-汇总表'!E12</f>
        <v>0</v>
      </c>
      <c r="F62" s="2179">
        <f t="shared" si="15"/>
        <v>0</v>
      </c>
      <c r="G62" s="2186" t="s">
        <v>141</v>
      </c>
      <c r="H62" s="2180">
        <f>IF(G62="商业",项目基本情况!B37,IF(G62="办公",项目基本情况!C37,IF(G62="住宅",项目基本情况!D37,项目基本情况!E37)))</f>
        <v>0</v>
      </c>
      <c r="I62" s="2185">
        <f>SUMIF(修正!A45:A56,H62,修正!G45:G56)</f>
        <v>0</v>
      </c>
      <c r="J62" s="2190"/>
      <c r="K62" s="2356"/>
      <c r="L62" s="1766"/>
      <c r="M62" s="1766"/>
      <c r="N62" s="1766"/>
      <c r="O62" s="1766"/>
    </row>
    <row r="63" spans="1:15" s="1100" customFormat="1">
      <c r="A63" s="1101" t="s">
        <v>499</v>
      </c>
      <c r="B63" s="593">
        <f t="shared" si="17"/>
        <v>0</v>
      </c>
      <c r="C63" s="531">
        <f t="shared" si="16"/>
        <v>0</v>
      </c>
      <c r="D63" s="2388">
        <v>0.25</v>
      </c>
      <c r="E63" s="592">
        <f>'数据-汇总表'!E13</f>
        <v>0</v>
      </c>
      <c r="F63" s="2179">
        <f t="shared" si="15"/>
        <v>0</v>
      </c>
      <c r="G63" s="2186" t="s">
        <v>40</v>
      </c>
      <c r="H63" s="2180">
        <f>IF(G63="商业",项目基本情况!B37,IF(G63="办公",项目基本情况!C37,IF(G63="住宅",项目基本情况!D37,项目基本情况!E37)))</f>
        <v>0</v>
      </c>
      <c r="I63" s="2185">
        <f>SUMIF(修正!A45:A56,H63,修正!H45:H56)</f>
        <v>0</v>
      </c>
      <c r="J63" s="2190"/>
      <c r="K63" s="2355"/>
      <c r="L63" s="1766"/>
      <c r="M63" s="1766"/>
      <c r="N63" s="1766"/>
      <c r="O63" s="1766"/>
    </row>
    <row r="64" spans="1:15" s="1100" customFormat="1">
      <c r="A64" s="1101" t="s">
        <v>500</v>
      </c>
      <c r="B64" s="593">
        <f t="shared" si="17"/>
        <v>0</v>
      </c>
      <c r="C64" s="531">
        <f t="shared" si="16"/>
        <v>0</v>
      </c>
      <c r="D64" s="2388">
        <v>0.25</v>
      </c>
      <c r="E64" s="592">
        <f>'数据-汇总表'!E14</f>
        <v>0</v>
      </c>
      <c r="F64" s="2179">
        <f t="shared" si="15"/>
        <v>0</v>
      </c>
      <c r="G64" s="2192" t="s">
        <v>2326</v>
      </c>
      <c r="H64" s="2180">
        <f>项目基本情况!B37</f>
        <v>0</v>
      </c>
      <c r="I64" s="2185">
        <f>SUMIF(修正!A45:A56,H64,修正!H45:H56)</f>
        <v>0</v>
      </c>
      <c r="J64" s="2190"/>
      <c r="K64" s="2356"/>
      <c r="L64" s="1766"/>
      <c r="M64" s="1766"/>
      <c r="N64" s="1766"/>
      <c r="O64" s="1766"/>
    </row>
    <row r="65" spans="1:17" s="1100" customFormat="1" ht="15" thickBot="1">
      <c r="A65" s="1101" t="s">
        <v>501</v>
      </c>
      <c r="B65" s="593">
        <f t="shared" si="17"/>
        <v>0</v>
      </c>
      <c r="C65" s="531">
        <f t="shared" si="16"/>
        <v>0</v>
      </c>
      <c r="D65" s="2388">
        <v>0.25</v>
      </c>
      <c r="E65" s="592">
        <f>'数据-汇总表'!E15</f>
        <v>0</v>
      </c>
      <c r="F65" s="2179">
        <f t="shared" si="15"/>
        <v>0</v>
      </c>
      <c r="G65" s="2193" t="s">
        <v>2325</v>
      </c>
      <c r="H65" s="2194">
        <f>项目基本情况!C37</f>
        <v>0</v>
      </c>
      <c r="I65" s="2187">
        <f>SUMIF(修正!A45:A56,H65,修正!H45:H56)</f>
        <v>0</v>
      </c>
      <c r="J65" s="2191"/>
      <c r="K65" s="2355"/>
      <c r="L65" s="1766"/>
      <c r="M65" s="1766"/>
      <c r="N65" s="1766"/>
      <c r="O65" s="1766"/>
    </row>
    <row r="66" spans="1:17" s="1100" customFormat="1" ht="13.5" thickBot="1">
      <c r="A66" s="1103" t="s">
        <v>502</v>
      </c>
      <c r="B66" s="1104" t="s">
        <v>156</v>
      </c>
      <c r="C66" s="1104" t="s">
        <v>157</v>
      </c>
      <c r="D66" s="1104" t="s">
        <v>2331</v>
      </c>
      <c r="E66" s="1104">
        <f>IF(B46="楼面地价",SUM(E56:E65),'数据-汇总表'!D3)</f>
        <v>104051.87</v>
      </c>
      <c r="F66" s="1105">
        <f>IF(B46="楼面地价",SUM(F56:F65),ROUND(C48*E66/10000,0))</f>
        <v>38312</v>
      </c>
      <c r="G66" s="1414"/>
      <c r="H66" s="1414"/>
      <c r="I66" s="1414"/>
      <c r="J66" s="1414"/>
      <c r="K66" s="2370"/>
      <c r="L66" s="1766"/>
      <c r="M66" s="1766"/>
      <c r="N66" s="1766"/>
      <c r="O66" s="1766"/>
    </row>
    <row r="67" spans="1:17">
      <c r="A67" s="1306"/>
      <c r="B67" s="1308"/>
      <c r="C67" s="1309"/>
      <c r="D67" s="1306"/>
      <c r="E67" s="1306"/>
      <c r="F67" s="1306"/>
      <c r="G67" s="1306"/>
      <c r="H67" s="1306"/>
      <c r="I67" s="1306"/>
      <c r="J67" s="2355"/>
      <c r="K67" s="2181"/>
      <c r="L67" s="2182"/>
      <c r="M67" s="2355"/>
      <c r="N67" s="2355"/>
      <c r="O67" s="2355"/>
    </row>
    <row r="68" spans="1:17">
      <c r="A68" s="1306"/>
      <c r="B68" s="1308"/>
      <c r="C68" s="1308" t="str">
        <f>YEAR(C7)&amp;"-"&amp;MONTH(C7)&amp;"-1"</f>
        <v>2017-7-1</v>
      </c>
      <c r="D68" s="1308">
        <f>EDATE(C68,-3)</f>
        <v>42826</v>
      </c>
      <c r="E68" s="1308">
        <f>EDATE(D68,-3)</f>
        <v>42736</v>
      </c>
      <c r="F68" s="1308">
        <f t="shared" ref="F68:O68" si="18">EDATE(E68,-3)</f>
        <v>42644</v>
      </c>
      <c r="G68" s="1308">
        <f t="shared" si="18"/>
        <v>42552</v>
      </c>
      <c r="H68" s="1308">
        <f t="shared" si="18"/>
        <v>42461</v>
      </c>
      <c r="I68" s="1308">
        <f t="shared" si="18"/>
        <v>42370</v>
      </c>
      <c r="J68" s="1308">
        <f t="shared" si="18"/>
        <v>42278</v>
      </c>
      <c r="K68" s="1308">
        <f t="shared" si="18"/>
        <v>42186</v>
      </c>
      <c r="L68" s="1308">
        <f t="shared" si="18"/>
        <v>42095</v>
      </c>
      <c r="M68" s="1308">
        <f t="shared" si="18"/>
        <v>42005</v>
      </c>
      <c r="N68" s="1308">
        <f t="shared" si="18"/>
        <v>41913</v>
      </c>
      <c r="O68" s="1308">
        <f t="shared" si="18"/>
        <v>41821</v>
      </c>
    </row>
    <row r="69" spans="1:17" ht="21.75" thickBot="1">
      <c r="A69" s="1310" t="s">
        <v>413</v>
      </c>
      <c r="B69" s="1306"/>
      <c r="C69" s="1311"/>
      <c r="D69" s="1311"/>
      <c r="E69" s="1311"/>
      <c r="F69" s="1312"/>
      <c r="G69" s="1312"/>
      <c r="H69" s="1311"/>
      <c r="I69" s="1311"/>
      <c r="J69" s="2371"/>
      <c r="K69" s="2372"/>
      <c r="L69" s="2373"/>
      <c r="M69" s="2371"/>
      <c r="N69" s="2371"/>
      <c r="O69" s="2371"/>
      <c r="P69" s="845"/>
      <c r="Q69" s="846"/>
    </row>
    <row r="70" spans="1:17" s="850" customFormat="1" ht="15">
      <c r="A70" s="2699" t="s">
        <v>2798</v>
      </c>
      <c r="B70" s="2700"/>
      <c r="C70" s="3034" t="str">
        <f>YEAR(C68)&amp;"-"&amp;ROUNDUP(MONTH(C68)/3,0)</f>
        <v>2017-3</v>
      </c>
      <c r="D70" s="3034" t="str">
        <f>YEAR(D68)&amp;"-"&amp;ROUNDUP(MONTH(D68)/3,0)</f>
        <v>2017-2</v>
      </c>
      <c r="E70" s="3034" t="str">
        <f t="shared" ref="E70:O70" si="19">YEAR(E68)&amp;"-"&amp;ROUNDUP(MONTH(E68)/3,0)</f>
        <v>2017-1</v>
      </c>
      <c r="F70" s="3034" t="str">
        <f t="shared" si="19"/>
        <v>2016-4</v>
      </c>
      <c r="G70" s="3034" t="str">
        <f t="shared" si="19"/>
        <v>2016-3</v>
      </c>
      <c r="H70" s="3034" t="str">
        <f t="shared" si="19"/>
        <v>2016-2</v>
      </c>
      <c r="I70" s="3034" t="str">
        <f t="shared" si="19"/>
        <v>2016-1</v>
      </c>
      <c r="J70" s="3034" t="str">
        <f t="shared" si="19"/>
        <v>2015-4</v>
      </c>
      <c r="K70" s="3034" t="str">
        <f t="shared" si="19"/>
        <v>2015-3</v>
      </c>
      <c r="L70" s="3034" t="str">
        <f t="shared" si="19"/>
        <v>2015-2</v>
      </c>
      <c r="M70" s="3034" t="str">
        <f t="shared" si="19"/>
        <v>2015-1</v>
      </c>
      <c r="N70" s="3034" t="str">
        <f t="shared" si="19"/>
        <v>2014-4</v>
      </c>
      <c r="O70" s="3034" t="str">
        <f t="shared" si="19"/>
        <v>2014-3</v>
      </c>
      <c r="P70" s="849"/>
    </row>
    <row r="71" spans="1:17" s="406" customFormat="1" ht="30" customHeight="1">
      <c r="A71" s="3037" t="s">
        <v>3048</v>
      </c>
      <c r="B71" s="663" t="str">
        <f>"北京市平均增长率"&amp;TEXT(SUMIF(基准地价修正!N21:N25,A71,基准地价修正!P21:P25),"0.00%")</f>
        <v>北京市平均增长率1.57%</v>
      </c>
      <c r="C71" s="945">
        <v>100</v>
      </c>
      <c r="D71" s="937">
        <v>99.85</v>
      </c>
      <c r="E71" s="937">
        <v>99.7</v>
      </c>
      <c r="F71" s="937">
        <v>99.55</v>
      </c>
      <c r="G71" s="937">
        <v>99.4</v>
      </c>
      <c r="H71" s="937">
        <v>99.25</v>
      </c>
      <c r="I71" s="937">
        <v>99.1</v>
      </c>
      <c r="J71" s="937">
        <v>98.95</v>
      </c>
      <c r="K71" s="937"/>
      <c r="L71" s="937"/>
      <c r="M71" s="3028"/>
      <c r="N71" s="937"/>
      <c r="O71" s="3029"/>
      <c r="P71" s="846"/>
    </row>
    <row r="72" spans="1:17" s="406" customFormat="1" ht="15.75" thickBot="1">
      <c r="A72" s="857" t="s">
        <v>414</v>
      </c>
      <c r="B72" s="858"/>
      <c r="C72" s="859"/>
      <c r="D72" s="860"/>
      <c r="E72" s="860"/>
      <c r="F72" s="860"/>
      <c r="G72" s="860"/>
      <c r="H72" s="860"/>
      <c r="I72" s="860"/>
      <c r="J72" s="860"/>
      <c r="K72" s="860"/>
      <c r="L72" s="860"/>
      <c r="M72" s="861"/>
      <c r="N72" s="860"/>
      <c r="O72" s="2374"/>
      <c r="P72" s="846"/>
      <c r="Q72" s="846"/>
    </row>
    <row r="73" spans="1:17" s="406" customFormat="1" ht="15">
      <c r="A73" s="863" t="s">
        <v>398</v>
      </c>
      <c r="B73" s="852"/>
      <c r="C73" s="864" t="s">
        <v>415</v>
      </c>
      <c r="D73" s="3325"/>
      <c r="E73" s="3326" t="s">
        <v>3168</v>
      </c>
      <c r="F73" s="140"/>
      <c r="G73" s="140"/>
      <c r="H73" s="140"/>
      <c r="I73" s="140"/>
      <c r="J73" s="140"/>
      <c r="K73" s="140"/>
      <c r="L73" s="141"/>
      <c r="M73" s="1050"/>
      <c r="N73" s="2362"/>
      <c r="O73" s="2362"/>
      <c r="P73" s="868"/>
      <c r="Q73" s="846"/>
    </row>
    <row r="74" spans="1:17" s="406" customFormat="1" ht="15.75" thickBot="1">
      <c r="A74" s="863"/>
      <c r="B74" s="852"/>
      <c r="C74" s="981">
        <v>100</v>
      </c>
      <c r="D74" s="3027"/>
      <c r="E74" s="854">
        <v>98</v>
      </c>
      <c r="F74" s="854"/>
      <c r="G74" s="854"/>
      <c r="H74" s="854"/>
      <c r="I74" s="854"/>
      <c r="J74" s="854"/>
      <c r="K74" s="854"/>
      <c r="L74" s="854"/>
      <c r="M74" s="856"/>
      <c r="N74" s="2362"/>
      <c r="O74" s="2362"/>
      <c r="P74" s="846"/>
      <c r="Q74" s="846"/>
    </row>
    <row r="75" spans="1:17" ht="27">
      <c r="A75" s="869" t="s">
        <v>416</v>
      </c>
      <c r="B75" s="870" t="s">
        <v>417</v>
      </c>
      <c r="C75" s="3327" t="s">
        <v>3233</v>
      </c>
      <c r="D75" s="3326" t="s">
        <v>3169</v>
      </c>
      <c r="E75" s="3326"/>
      <c r="F75" s="122"/>
      <c r="G75" s="122"/>
      <c r="H75" s="122"/>
      <c r="I75" s="122"/>
      <c r="J75" s="122"/>
      <c r="K75" s="123"/>
      <c r="L75" s="124"/>
      <c r="M75" s="125"/>
      <c r="N75" s="2363"/>
      <c r="O75" s="2363"/>
      <c r="P75" s="334"/>
      <c r="Q75" s="846"/>
    </row>
    <row r="76" spans="1:17" ht="15.75" thickBot="1">
      <c r="A76" s="876"/>
      <c r="B76" s="877"/>
      <c r="C76" s="878">
        <v>100</v>
      </c>
      <c r="D76" s="878">
        <v>100</v>
      </c>
      <c r="E76" s="878"/>
      <c r="F76" s="878"/>
      <c r="G76" s="878"/>
      <c r="H76" s="878"/>
      <c r="I76" s="878"/>
      <c r="J76" s="878"/>
      <c r="K76" s="878"/>
      <c r="L76" s="878"/>
      <c r="M76" s="879"/>
      <c r="N76" s="2364"/>
      <c r="O76" s="2364"/>
      <c r="P76" s="334"/>
      <c r="Q76" s="846"/>
    </row>
    <row r="77" spans="1:17" ht="27.75" thickTop="1">
      <c r="A77" s="876"/>
      <c r="B77" s="880" t="s">
        <v>402</v>
      </c>
      <c r="C77" s="881"/>
      <c r="D77" s="881"/>
      <c r="E77" s="881"/>
      <c r="F77" s="881"/>
      <c r="G77" s="881"/>
      <c r="H77" s="881"/>
      <c r="I77" s="881"/>
      <c r="J77" s="881"/>
      <c r="K77" s="882"/>
      <c r="L77" s="883"/>
      <c r="M77" s="884"/>
      <c r="N77" s="2363"/>
      <c r="O77" s="2363"/>
      <c r="P77" s="334"/>
      <c r="Q77" s="846"/>
    </row>
    <row r="78" spans="1:17" ht="15.75" thickBot="1">
      <c r="A78" s="876"/>
      <c r="B78" s="885"/>
      <c r="C78" s="886"/>
      <c r="D78" s="886"/>
      <c r="E78" s="886"/>
      <c r="F78" s="886"/>
      <c r="G78" s="886"/>
      <c r="H78" s="886"/>
      <c r="I78" s="886"/>
      <c r="J78" s="886"/>
      <c r="K78" s="886"/>
      <c r="L78" s="886"/>
      <c r="M78" s="887"/>
      <c r="N78" s="2364"/>
      <c r="O78" s="2364"/>
      <c r="P78" s="334"/>
      <c r="Q78" s="846"/>
    </row>
    <row r="79" spans="1:17" ht="15.75" thickTop="1">
      <c r="A79" s="876"/>
      <c r="B79" s="888" t="s">
        <v>403</v>
      </c>
      <c r="C79" s="889" t="str">
        <f>C80&amp;"（含）"&amp;"-"&amp;D80</f>
        <v>0（含）-1</v>
      </c>
      <c r="D79" s="889" t="str">
        <f t="shared" ref="D79:L79" si="20">D80&amp;"（含）"&amp;"-"&amp;E80</f>
        <v>1（含）-2</v>
      </c>
      <c r="E79" s="889" t="str">
        <f t="shared" si="20"/>
        <v>2（含）-3</v>
      </c>
      <c r="F79" s="889" t="str">
        <f t="shared" si="20"/>
        <v>3（含）-4</v>
      </c>
      <c r="G79" s="889" t="str">
        <f t="shared" si="20"/>
        <v>4（含）-5</v>
      </c>
      <c r="H79" s="889" t="str">
        <f t="shared" si="20"/>
        <v>5（含）-6</v>
      </c>
      <c r="I79" s="889" t="str">
        <f t="shared" si="20"/>
        <v>6（含）-7</v>
      </c>
      <c r="J79" s="889" t="str">
        <f t="shared" si="20"/>
        <v>7（含）-8</v>
      </c>
      <c r="K79" s="889" t="str">
        <f t="shared" si="20"/>
        <v>8（含）-9</v>
      </c>
      <c r="L79" s="889" t="str">
        <f t="shared" si="20"/>
        <v>9（含）-</v>
      </c>
      <c r="M79" s="790" t="str">
        <f>M80&amp;"（含）"&amp;"-"&amp;P80</f>
        <v>（含）-</v>
      </c>
      <c r="N79" s="2364"/>
      <c r="O79" s="2364"/>
      <c r="P79" s="334"/>
      <c r="Q79" s="846"/>
    </row>
    <row r="80" spans="1:17" ht="15">
      <c r="A80" s="876"/>
      <c r="B80" s="890"/>
      <c r="C80" s="891">
        <v>0</v>
      </c>
      <c r="D80" s="891">
        <v>1</v>
      </c>
      <c r="E80" s="891">
        <v>2</v>
      </c>
      <c r="F80" s="891">
        <v>3</v>
      </c>
      <c r="G80" s="891">
        <v>4</v>
      </c>
      <c r="H80" s="891">
        <v>5</v>
      </c>
      <c r="I80" s="891">
        <v>6</v>
      </c>
      <c r="J80" s="891">
        <v>7</v>
      </c>
      <c r="K80" s="892">
        <v>8</v>
      </c>
      <c r="L80" s="893">
        <v>9</v>
      </c>
      <c r="M80" s="894"/>
      <c r="N80" s="2363"/>
      <c r="O80" s="2363"/>
      <c r="P80" s="334"/>
      <c r="Q80" s="846"/>
    </row>
    <row r="81" spans="1:17" ht="15.75" thickBot="1">
      <c r="A81" s="876"/>
      <c r="B81" s="877"/>
      <c r="C81" s="886">
        <v>100</v>
      </c>
      <c r="D81" s="886">
        <f t="shared" ref="D81:M81" si="21">IF($B$46="单位面积地价",C81+$K11,C81-$K11)</f>
        <v>101</v>
      </c>
      <c r="E81" s="886">
        <f t="shared" si="21"/>
        <v>102</v>
      </c>
      <c r="F81" s="886">
        <f t="shared" si="21"/>
        <v>103</v>
      </c>
      <c r="G81" s="886">
        <f t="shared" si="21"/>
        <v>104</v>
      </c>
      <c r="H81" s="886">
        <f t="shared" si="21"/>
        <v>105</v>
      </c>
      <c r="I81" s="886">
        <f t="shared" si="21"/>
        <v>106</v>
      </c>
      <c r="J81" s="886">
        <f t="shared" si="21"/>
        <v>107</v>
      </c>
      <c r="K81" s="886">
        <f t="shared" si="21"/>
        <v>108</v>
      </c>
      <c r="L81" s="886">
        <f t="shared" si="21"/>
        <v>109</v>
      </c>
      <c r="M81" s="886">
        <f t="shared" si="21"/>
        <v>110</v>
      </c>
      <c r="N81" s="2364"/>
      <c r="O81" s="2364"/>
      <c r="P81" s="334"/>
      <c r="Q81" s="846"/>
    </row>
    <row r="82" spans="1:17" s="813" customFormat="1" ht="15.75" thickTop="1">
      <c r="A82" s="895"/>
      <c r="B82" s="880" t="str">
        <f>B12</f>
        <v>配建</v>
      </c>
      <c r="C82" s="139"/>
      <c r="D82" s="139"/>
      <c r="E82" s="139"/>
      <c r="F82" s="139"/>
      <c r="G82" s="139"/>
      <c r="H82" s="1058"/>
      <c r="I82" s="1058"/>
      <c r="J82" s="1058"/>
      <c r="K82" s="1058"/>
      <c r="L82" s="1059"/>
      <c r="M82" s="1060"/>
      <c r="N82" s="2365"/>
      <c r="O82" s="2365"/>
      <c r="P82" s="900"/>
      <c r="Q82" s="901"/>
    </row>
    <row r="83" spans="1:17" s="813" customFormat="1" ht="15.75" thickBot="1">
      <c r="A83" s="895"/>
      <c r="B83" s="885"/>
      <c r="C83" s="902"/>
      <c r="D83" s="878"/>
      <c r="E83" s="878"/>
      <c r="F83" s="878"/>
      <c r="G83" s="878"/>
      <c r="H83" s="878"/>
      <c r="I83" s="878"/>
      <c r="J83" s="878"/>
      <c r="K83" s="878"/>
      <c r="L83" s="878"/>
      <c r="M83" s="879"/>
      <c r="N83" s="2364"/>
      <c r="O83" s="2364"/>
      <c r="P83" s="900"/>
      <c r="Q83" s="901"/>
    </row>
    <row r="84" spans="1:17" s="813" customFormat="1" ht="15.75" thickTop="1">
      <c r="A84" s="895"/>
      <c r="B84" s="880">
        <f>B13</f>
        <v>111</v>
      </c>
      <c r="C84" s="139"/>
      <c r="D84" s="139"/>
      <c r="E84" s="139"/>
      <c r="F84" s="139"/>
      <c r="G84" s="139"/>
      <c r="H84" s="1058"/>
      <c r="I84" s="1058"/>
      <c r="J84" s="1058"/>
      <c r="K84" s="1058"/>
      <c r="L84" s="1059"/>
      <c r="M84" s="1060"/>
      <c r="N84" s="2365"/>
      <c r="O84" s="2365"/>
      <c r="P84" s="812"/>
      <c r="Q84" s="903"/>
    </row>
    <row r="85" spans="1:17" s="813" customFormat="1" ht="15.75" thickBot="1">
      <c r="A85" s="895"/>
      <c r="B85" s="885"/>
      <c r="C85" s="902"/>
      <c r="D85" s="902"/>
      <c r="E85" s="902"/>
      <c r="F85" s="902"/>
      <c r="G85" s="902"/>
      <c r="H85" s="904"/>
      <c r="I85" s="904"/>
      <c r="J85" s="904"/>
      <c r="K85" s="904"/>
      <c r="L85" s="904"/>
      <c r="M85" s="905"/>
      <c r="N85" s="2365"/>
      <c r="O85" s="2365"/>
      <c r="P85" s="900"/>
      <c r="Q85" s="901"/>
    </row>
    <row r="86" spans="1:17" s="813" customFormat="1" ht="15.75" thickTop="1">
      <c r="A86" s="895"/>
      <c r="B86" s="888">
        <f>B14</f>
        <v>111</v>
      </c>
      <c r="C86" s="140"/>
      <c r="D86" s="140"/>
      <c r="E86" s="140"/>
      <c r="F86" s="140"/>
      <c r="G86" s="140"/>
      <c r="H86" s="1065"/>
      <c r="I86" s="1065"/>
      <c r="J86" s="1065"/>
      <c r="K86" s="1065"/>
      <c r="L86" s="1066"/>
      <c r="M86" s="1067"/>
      <c r="N86" s="2365"/>
      <c r="O86" s="2365"/>
      <c r="P86" s="909"/>
      <c r="Q86" s="901"/>
    </row>
    <row r="87" spans="1:17" s="813" customFormat="1" ht="15.75" thickBot="1">
      <c r="A87" s="910"/>
      <c r="B87" s="911"/>
      <c r="C87" s="912"/>
      <c r="D87" s="912"/>
      <c r="E87" s="912"/>
      <c r="F87" s="912"/>
      <c r="G87" s="912"/>
      <c r="H87" s="913"/>
      <c r="I87" s="913"/>
      <c r="J87" s="913"/>
      <c r="K87" s="913"/>
      <c r="L87" s="913"/>
      <c r="M87" s="914"/>
      <c r="N87" s="2365"/>
      <c r="O87" s="2365"/>
      <c r="P87" s="900"/>
      <c r="Q87" s="901"/>
    </row>
    <row r="88" spans="1:17">
      <c r="A88" s="869" t="s">
        <v>404</v>
      </c>
      <c r="B88" s="870" t="s">
        <v>422</v>
      </c>
      <c r="C88" s="915" t="s">
        <v>423</v>
      </c>
      <c r="D88" s="915" t="s">
        <v>424</v>
      </c>
      <c r="E88" s="915" t="s">
        <v>425</v>
      </c>
      <c r="F88" s="915" t="s">
        <v>426</v>
      </c>
      <c r="G88" s="915" t="s">
        <v>427</v>
      </c>
      <c r="H88" s="871"/>
      <c r="I88" s="871"/>
      <c r="J88" s="871"/>
      <c r="K88" s="916"/>
      <c r="L88" s="917"/>
      <c r="M88" s="918"/>
      <c r="N88" s="2363"/>
      <c r="O88" s="2363"/>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4"/>
      <c r="O89" s="2364"/>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63"/>
      <c r="O90" s="2363"/>
      <c r="P90" s="334"/>
      <c r="Q90" s="846"/>
    </row>
    <row r="91" spans="1:17" ht="15.75" thickBot="1">
      <c r="A91" s="876"/>
      <c r="B91" s="885"/>
      <c r="C91" s="886">
        <v>100</v>
      </c>
      <c r="D91" s="886">
        <f>C91-$K17</f>
        <v>97</v>
      </c>
      <c r="E91" s="886">
        <f>D91-$K17</f>
        <v>94</v>
      </c>
      <c r="F91" s="886">
        <f>E91-$K17</f>
        <v>91</v>
      </c>
      <c r="G91" s="886">
        <f>F91-$K17</f>
        <v>88</v>
      </c>
      <c r="H91" s="886"/>
      <c r="I91" s="886"/>
      <c r="J91" s="886"/>
      <c r="K91" s="886"/>
      <c r="L91" s="886"/>
      <c r="M91" s="887"/>
      <c r="N91" s="2364"/>
      <c r="O91" s="2364"/>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63"/>
      <c r="O92" s="2363"/>
      <c r="P92" s="334"/>
      <c r="Q92" s="846"/>
    </row>
    <row r="93" spans="1:17" ht="15.75" thickBot="1">
      <c r="A93" s="876"/>
      <c r="B93" s="885"/>
      <c r="C93" s="886">
        <v>100</v>
      </c>
      <c r="D93" s="886">
        <f>C93-$K19</f>
        <v>97</v>
      </c>
      <c r="E93" s="886">
        <f>D93-$K19</f>
        <v>94</v>
      </c>
      <c r="F93" s="886">
        <f>E93-$K19</f>
        <v>91</v>
      </c>
      <c r="G93" s="886">
        <f>F93-$K19</f>
        <v>88</v>
      </c>
      <c r="H93" s="886"/>
      <c r="I93" s="886"/>
      <c r="J93" s="886"/>
      <c r="K93" s="886"/>
      <c r="L93" s="886"/>
      <c r="M93" s="887"/>
      <c r="N93" s="2364"/>
      <c r="O93" s="2364"/>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63"/>
      <c r="O94" s="2363"/>
      <c r="P94" s="334"/>
      <c r="Q94" s="846"/>
    </row>
    <row r="95" spans="1:17" ht="15.75" thickBot="1">
      <c r="A95" s="876"/>
      <c r="B95" s="885"/>
      <c r="C95" s="886">
        <v>100</v>
      </c>
      <c r="D95" s="886">
        <f>C95-$K21</f>
        <v>97</v>
      </c>
      <c r="E95" s="886">
        <f>D95-$K21</f>
        <v>94</v>
      </c>
      <c r="F95" s="886">
        <f>E95-$K21</f>
        <v>91</v>
      </c>
      <c r="G95" s="886">
        <f>F95-$K21</f>
        <v>88</v>
      </c>
      <c r="H95" s="886"/>
      <c r="I95" s="886"/>
      <c r="J95" s="886"/>
      <c r="K95" s="886"/>
      <c r="L95" s="886"/>
      <c r="M95" s="887"/>
      <c r="N95" s="2364"/>
      <c r="O95" s="2364"/>
      <c r="P95" s="334"/>
      <c r="Q95" s="846"/>
    </row>
    <row r="96" spans="1:17" s="406" customFormat="1" ht="27.75" thickTop="1">
      <c r="A96" s="921"/>
      <c r="B96" s="880" t="s">
        <v>504</v>
      </c>
      <c r="C96" s="920" t="s">
        <v>423</v>
      </c>
      <c r="D96" s="920" t="s">
        <v>424</v>
      </c>
      <c r="E96" s="920" t="s">
        <v>425</v>
      </c>
      <c r="F96" s="920" t="s">
        <v>426</v>
      </c>
      <c r="G96" s="920" t="s">
        <v>427</v>
      </c>
      <c r="H96" s="920"/>
      <c r="I96" s="920"/>
      <c r="J96" s="920"/>
      <c r="K96" s="920"/>
      <c r="L96" s="1106"/>
      <c r="M96" s="964"/>
      <c r="N96" s="2362"/>
      <c r="O96" s="2362"/>
      <c r="P96" s="334"/>
      <c r="Q96" s="846"/>
    </row>
    <row r="97" spans="1:17" s="406" customFormat="1" ht="15.75" thickBot="1">
      <c r="A97" s="921"/>
      <c r="B97" s="885"/>
      <c r="C97" s="924">
        <v>100</v>
      </c>
      <c r="D97" s="886">
        <f>C97-$K23</f>
        <v>95</v>
      </c>
      <c r="E97" s="886">
        <f>D97-$K23</f>
        <v>90</v>
      </c>
      <c r="F97" s="886">
        <f>E97-$K23</f>
        <v>85</v>
      </c>
      <c r="G97" s="886">
        <f>F97-$K23</f>
        <v>80</v>
      </c>
      <c r="H97" s="886"/>
      <c r="I97" s="886"/>
      <c r="J97" s="886"/>
      <c r="K97" s="886"/>
      <c r="L97" s="886"/>
      <c r="M97" s="887"/>
      <c r="N97" s="2364"/>
      <c r="O97" s="2364"/>
      <c r="P97" s="334"/>
      <c r="Q97" s="846"/>
    </row>
    <row r="98" spans="1:17" s="406" customFormat="1" ht="27.75" thickTop="1">
      <c r="A98" s="921"/>
      <c r="B98" s="880" t="s">
        <v>505</v>
      </c>
      <c r="C98" s="915" t="s">
        <v>423</v>
      </c>
      <c r="D98" s="915" t="s">
        <v>424</v>
      </c>
      <c r="E98" s="915" t="s">
        <v>425</v>
      </c>
      <c r="F98" s="915" t="s">
        <v>426</v>
      </c>
      <c r="G98" s="915" t="s">
        <v>427</v>
      </c>
      <c r="H98" s="920"/>
      <c r="I98" s="920"/>
      <c r="J98" s="920"/>
      <c r="K98" s="920"/>
      <c r="L98" s="920"/>
      <c r="M98" s="964"/>
      <c r="N98" s="2362"/>
      <c r="O98" s="2362"/>
      <c r="P98" s="334"/>
      <c r="Q98" s="846"/>
    </row>
    <row r="99" spans="1:17" s="406" customFormat="1" ht="15.75" thickBot="1">
      <c r="A99" s="921"/>
      <c r="B99" s="885"/>
      <c r="C99" s="886">
        <v>100</v>
      </c>
      <c r="D99" s="886">
        <f>C99-$K25</f>
        <v>97</v>
      </c>
      <c r="E99" s="886">
        <f>D99-$K25</f>
        <v>94</v>
      </c>
      <c r="F99" s="886">
        <f>E99-$K25</f>
        <v>91</v>
      </c>
      <c r="G99" s="886">
        <f>F99-$K25</f>
        <v>88</v>
      </c>
      <c r="H99" s="886"/>
      <c r="I99" s="886"/>
      <c r="J99" s="886"/>
      <c r="K99" s="886"/>
      <c r="L99" s="886"/>
      <c r="M99" s="887"/>
      <c r="N99" s="2364"/>
      <c r="O99" s="2364"/>
      <c r="P99" s="334"/>
      <c r="Q99" s="846"/>
    </row>
    <row r="100" spans="1:17" s="813" customFormat="1" ht="15.75" thickTop="1">
      <c r="A100" s="895"/>
      <c r="B100" s="1053" t="s">
        <v>2674</v>
      </c>
      <c r="C100" s="915" t="s">
        <v>423</v>
      </c>
      <c r="D100" s="915" t="s">
        <v>424</v>
      </c>
      <c r="E100" s="915" t="s">
        <v>425</v>
      </c>
      <c r="F100" s="915" t="s">
        <v>426</v>
      </c>
      <c r="G100" s="915" t="s">
        <v>427</v>
      </c>
      <c r="H100" s="942"/>
      <c r="I100" s="942"/>
      <c r="J100" s="942"/>
      <c r="K100" s="942"/>
      <c r="L100" s="943"/>
      <c r="M100" s="944"/>
      <c r="N100" s="2365"/>
      <c r="O100" s="2365"/>
      <c r="P100" s="900"/>
      <c r="Q100" s="901"/>
    </row>
    <row r="101" spans="1:17" s="813" customFormat="1" ht="15.75" thickBot="1">
      <c r="A101" s="895"/>
      <c r="B101" s="885"/>
      <c r="C101" s="886">
        <v>100</v>
      </c>
      <c r="D101" s="886">
        <f>C101-$K27</f>
        <v>97</v>
      </c>
      <c r="E101" s="886">
        <f>D101-$K27</f>
        <v>94</v>
      </c>
      <c r="F101" s="886">
        <f>E101-$K27</f>
        <v>91</v>
      </c>
      <c r="G101" s="886">
        <f>F101-$K27</f>
        <v>88</v>
      </c>
      <c r="H101" s="949"/>
      <c r="I101" s="949"/>
      <c r="J101" s="949"/>
      <c r="K101" s="949"/>
      <c r="L101" s="949"/>
      <c r="M101" s="950"/>
      <c r="N101" s="2365"/>
      <c r="O101" s="2365"/>
      <c r="P101" s="900"/>
      <c r="Q101" s="901"/>
    </row>
    <row r="102" spans="1:17" s="813" customFormat="1" ht="15.75" thickTop="1">
      <c r="A102" s="895"/>
      <c r="B102" s="1055" t="s">
        <v>2661</v>
      </c>
      <c r="C102" s="213" t="s">
        <v>2662</v>
      </c>
      <c r="D102" s="213" t="s">
        <v>2663</v>
      </c>
      <c r="E102" s="213" t="s">
        <v>2664</v>
      </c>
      <c r="F102" s="213" t="s">
        <v>2665</v>
      </c>
      <c r="G102" s="213" t="s">
        <v>2666</v>
      </c>
      <c r="H102" s="942"/>
      <c r="I102" s="942"/>
      <c r="J102" s="942"/>
      <c r="K102" s="942"/>
      <c r="L102" s="942"/>
      <c r="M102" s="2763"/>
      <c r="N102" s="2365"/>
      <c r="O102" s="2365"/>
      <c r="P102" s="900"/>
      <c r="Q102" s="901"/>
    </row>
    <row r="103" spans="1:17" s="813" customFormat="1" ht="15.75" thickBot="1">
      <c r="A103" s="895"/>
      <c r="B103" s="1055"/>
      <c r="C103" s="886">
        <v>100</v>
      </c>
      <c r="D103" s="886">
        <f>C103-$K29</f>
        <v>99</v>
      </c>
      <c r="E103" s="886">
        <f>D103-$K29</f>
        <v>98</v>
      </c>
      <c r="F103" s="886">
        <f>E103-$K29</f>
        <v>97</v>
      </c>
      <c r="G103" s="886">
        <f>F103-$K29</f>
        <v>96</v>
      </c>
      <c r="H103" s="890"/>
      <c r="I103" s="890"/>
      <c r="J103" s="890"/>
      <c r="K103" s="890"/>
      <c r="L103" s="890"/>
      <c r="M103" s="2763"/>
      <c r="N103" s="2365"/>
      <c r="O103" s="2365"/>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63"/>
      <c r="O104" s="2363"/>
      <c r="P104" s="334"/>
      <c r="Q104" s="846"/>
    </row>
    <row r="105" spans="1:17" ht="15.75" thickBot="1">
      <c r="A105" s="876"/>
      <c r="B105" s="885"/>
      <c r="C105" s="886">
        <v>100</v>
      </c>
      <c r="D105" s="886">
        <f>C105-$K31</f>
        <v>98</v>
      </c>
      <c r="E105" s="886">
        <f t="shared" ref="E105:M105" si="22">D105-$K31</f>
        <v>96</v>
      </c>
      <c r="F105" s="886">
        <f t="shared" si="22"/>
        <v>94</v>
      </c>
      <c r="G105" s="886">
        <f t="shared" si="22"/>
        <v>92</v>
      </c>
      <c r="H105" s="886">
        <f t="shared" si="22"/>
        <v>90</v>
      </c>
      <c r="I105" s="886">
        <f t="shared" si="22"/>
        <v>88</v>
      </c>
      <c r="J105" s="886">
        <f t="shared" si="22"/>
        <v>86</v>
      </c>
      <c r="K105" s="886">
        <f t="shared" si="22"/>
        <v>84</v>
      </c>
      <c r="L105" s="886">
        <f t="shared" si="22"/>
        <v>82</v>
      </c>
      <c r="M105" s="886">
        <f t="shared" si="22"/>
        <v>80</v>
      </c>
      <c r="N105" s="2364"/>
      <c r="O105" s="2364"/>
      <c r="P105" s="334"/>
      <c r="Q105" s="846"/>
    </row>
    <row r="106" spans="1:17" ht="27.75" thickTop="1">
      <c r="A106" s="876"/>
      <c r="B106" s="880" t="s">
        <v>440</v>
      </c>
      <c r="C106" s="896" t="s">
        <v>3178</v>
      </c>
      <c r="D106" s="896" t="s">
        <v>3179</v>
      </c>
      <c r="E106" s="896" t="s">
        <v>3180</v>
      </c>
      <c r="F106" s="896" t="s">
        <v>3181</v>
      </c>
      <c r="G106" s="896" t="s">
        <v>3182</v>
      </c>
      <c r="H106" s="131"/>
      <c r="I106" s="131"/>
      <c r="J106" s="131"/>
      <c r="K106" s="132"/>
      <c r="L106" s="133"/>
      <c r="M106" s="134"/>
      <c r="N106" s="2363"/>
      <c r="O106" s="2363"/>
      <c r="P106" s="334"/>
      <c r="Q106" s="846"/>
    </row>
    <row r="107" spans="1:17" ht="15.75" thickBot="1">
      <c r="A107" s="876"/>
      <c r="B107" s="885"/>
      <c r="C107" s="886">
        <v>100</v>
      </c>
      <c r="D107" s="886">
        <f>C107-$K32</f>
        <v>98</v>
      </c>
      <c r="E107" s="886">
        <f t="shared" ref="E107:M107" si="23">D107-$K32</f>
        <v>96</v>
      </c>
      <c r="F107" s="886">
        <f t="shared" si="23"/>
        <v>94</v>
      </c>
      <c r="G107" s="886">
        <f t="shared" si="23"/>
        <v>92</v>
      </c>
      <c r="H107" s="886">
        <f t="shared" si="23"/>
        <v>90</v>
      </c>
      <c r="I107" s="886">
        <f t="shared" si="23"/>
        <v>88</v>
      </c>
      <c r="J107" s="886">
        <f t="shared" si="23"/>
        <v>86</v>
      </c>
      <c r="K107" s="886">
        <f t="shared" si="23"/>
        <v>84</v>
      </c>
      <c r="L107" s="886">
        <f t="shared" si="23"/>
        <v>82</v>
      </c>
      <c r="M107" s="886">
        <f t="shared" si="23"/>
        <v>80</v>
      </c>
      <c r="N107" s="2364"/>
      <c r="O107" s="2364"/>
      <c r="P107" s="334"/>
      <c r="Q107" s="846"/>
    </row>
    <row r="108" spans="1:17" ht="15.75" thickTop="1">
      <c r="A108" s="876"/>
      <c r="B108" s="880" t="s">
        <v>483</v>
      </c>
      <c r="C108" s="131"/>
      <c r="D108" s="131"/>
      <c r="E108" s="131"/>
      <c r="F108" s="131"/>
      <c r="G108" s="131"/>
      <c r="H108" s="131"/>
      <c r="I108" s="131"/>
      <c r="J108" s="131"/>
      <c r="K108" s="132"/>
      <c r="L108" s="133"/>
      <c r="M108" s="134"/>
      <c r="N108" s="2363"/>
      <c r="O108" s="2363"/>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4"/>
      <c r="O109" s="2364"/>
      <c r="P109" s="334"/>
      <c r="Q109" s="846"/>
    </row>
    <row r="110" spans="1:17" ht="15.75" thickTop="1">
      <c r="A110" s="876"/>
      <c r="B110" s="888">
        <f>B35</f>
        <v>111</v>
      </c>
      <c r="C110" s="139"/>
      <c r="D110" s="139"/>
      <c r="E110" s="139"/>
      <c r="F110" s="139"/>
      <c r="G110" s="135"/>
      <c r="H110" s="135"/>
      <c r="I110" s="135"/>
      <c r="J110" s="135"/>
      <c r="K110" s="136"/>
      <c r="L110" s="137"/>
      <c r="M110" s="138"/>
      <c r="N110" s="2363"/>
      <c r="O110" s="2363"/>
      <c r="P110" s="334"/>
      <c r="Q110" s="846"/>
    </row>
    <row r="111" spans="1:17" ht="15.75" thickBot="1">
      <c r="A111" s="876"/>
      <c r="B111" s="911"/>
      <c r="C111" s="902"/>
      <c r="D111" s="902"/>
      <c r="E111" s="902"/>
      <c r="F111" s="902"/>
      <c r="G111" s="933"/>
      <c r="H111" s="933"/>
      <c r="I111" s="933"/>
      <c r="J111" s="933"/>
      <c r="K111" s="933"/>
      <c r="L111" s="933"/>
      <c r="M111" s="934"/>
      <c r="N111" s="2364"/>
      <c r="O111" s="2364"/>
      <c r="P111" s="334"/>
      <c r="Q111" s="846"/>
    </row>
    <row r="112" spans="1:17" ht="15" thickTop="1">
      <c r="A112" s="1083"/>
      <c r="B112" s="880">
        <f>B36</f>
        <v>111</v>
      </c>
      <c r="C112" s="140"/>
      <c r="D112" s="140"/>
      <c r="E112" s="140"/>
      <c r="F112" s="140"/>
      <c r="G112" s="131"/>
      <c r="H112" s="131"/>
      <c r="I112" s="131"/>
      <c r="J112" s="131"/>
      <c r="K112" s="132"/>
      <c r="L112" s="133"/>
      <c r="M112" s="134"/>
      <c r="N112" s="2363"/>
      <c r="O112" s="2363"/>
      <c r="P112" s="334"/>
      <c r="Q112" s="846"/>
    </row>
    <row r="113" spans="1:17" ht="15.75" thickBot="1">
      <c r="A113" s="876"/>
      <c r="B113" s="885"/>
      <c r="C113" s="912"/>
      <c r="D113" s="912"/>
      <c r="E113" s="912"/>
      <c r="F113" s="912"/>
      <c r="G113" s="878"/>
      <c r="H113" s="878"/>
      <c r="I113" s="878"/>
      <c r="J113" s="878"/>
      <c r="K113" s="878"/>
      <c r="L113" s="878"/>
      <c r="M113" s="879"/>
      <c r="N113" s="2364"/>
      <c r="O113" s="2364"/>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65"/>
      <c r="O114" s="2365"/>
      <c r="P114" s="900"/>
      <c r="Q114" s="901"/>
    </row>
    <row r="115" spans="1:17" s="813" customFormat="1" ht="15.75" thickBot="1">
      <c r="A115" s="895"/>
      <c r="B115" s="888"/>
      <c r="C115" s="854"/>
      <c r="D115" s="1085"/>
      <c r="E115" s="1085"/>
      <c r="F115" s="1085"/>
      <c r="G115" s="1085"/>
      <c r="H115" s="1085"/>
      <c r="I115" s="1085"/>
      <c r="J115" s="1085"/>
      <c r="K115" s="1085"/>
      <c r="L115" s="1085"/>
      <c r="M115" s="1107"/>
      <c r="N115" s="2364"/>
      <c r="O115" s="2364"/>
      <c r="P115" s="900"/>
      <c r="Q115" s="901"/>
    </row>
    <row r="116" spans="1:17" ht="28.5">
      <c r="A116" s="869" t="s">
        <v>406</v>
      </c>
      <c r="B116" s="870" t="s">
        <v>510</v>
      </c>
      <c r="C116" s="3322" t="str">
        <f t="shared" ref="C116" si="25">C117&amp;"(含)"&amp;"-"&amp;D117</f>
        <v>0(含)-20000</v>
      </c>
      <c r="D116" s="3322" t="str">
        <f t="shared" ref="D116" si="26">D117&amp;"(含)"&amp;"-"&amp;E117</f>
        <v>20000(含)-40000</v>
      </c>
      <c r="E116" s="3322" t="str">
        <f t="shared" ref="E116" si="27">E117&amp;"(含)"&amp;"-"&amp;F117</f>
        <v>40000(含)-60000</v>
      </c>
      <c r="F116" s="3322" t="str">
        <f t="shared" ref="F116" si="28">F117&amp;"(含)"&amp;"-"&amp;G117</f>
        <v>60000(含)-</v>
      </c>
      <c r="G116" s="3322" t="str">
        <f t="shared" ref="G116" si="29">G117&amp;"(含)"&amp;"-"&amp;H117</f>
        <v>(含)-</v>
      </c>
      <c r="H116" s="3322" t="str">
        <f t="shared" ref="H116" si="30">H117&amp;"(含)"&amp;"-"&amp;I117</f>
        <v>(含)-</v>
      </c>
      <c r="I116" s="3322" t="str">
        <f t="shared" ref="I116" si="31">I117&amp;"(含)"&amp;"-"&amp;J117</f>
        <v>(含)-</v>
      </c>
      <c r="J116" s="3322" t="str">
        <f t="shared" ref="J116" si="32">J117&amp;"(含)"&amp;"-"&amp;K117</f>
        <v>(含)-</v>
      </c>
      <c r="K116" s="3322" t="str">
        <f t="shared" ref="K116" si="33">K117&amp;"(含)"&amp;"-"&amp;L117</f>
        <v>(含)-</v>
      </c>
      <c r="L116" s="3322" t="str">
        <f t="shared" ref="L116" si="34">L117&amp;"(含)"&amp;"-"&amp;M117</f>
        <v>(含)-</v>
      </c>
      <c r="M116" s="3322" t="str">
        <f t="shared" ref="M116" si="35">M117&amp;"(含)"&amp;"-"&amp;N117</f>
        <v>(含)-</v>
      </c>
      <c r="N116" s="2363"/>
      <c r="O116" s="2363"/>
      <c r="P116" s="334"/>
      <c r="Q116" s="846"/>
    </row>
    <row r="117" spans="1:17" ht="15">
      <c r="A117" s="876"/>
      <c r="B117" s="888"/>
      <c r="C117" s="937">
        <v>0</v>
      </c>
      <c r="D117" s="937">
        <v>20000</v>
      </c>
      <c r="E117" s="937">
        <v>40000</v>
      </c>
      <c r="F117" s="937">
        <v>60000</v>
      </c>
      <c r="G117" s="937"/>
      <c r="H117" s="937"/>
      <c r="I117" s="937"/>
      <c r="J117" s="3328"/>
      <c r="K117" s="3328"/>
      <c r="L117" s="3329"/>
      <c r="M117" s="3330"/>
      <c r="N117" s="2363"/>
      <c r="O117" s="2363"/>
      <c r="P117" s="334"/>
      <c r="Q117" s="846"/>
    </row>
    <row r="118" spans="1:17" ht="15.75" thickBot="1">
      <c r="A118" s="876"/>
      <c r="B118" s="885"/>
      <c r="C118" s="912">
        <v>100</v>
      </c>
      <c r="D118" s="933">
        <v>100.5</v>
      </c>
      <c r="E118" s="933">
        <v>101</v>
      </c>
      <c r="F118" s="933">
        <v>101.5</v>
      </c>
      <c r="G118" s="933"/>
      <c r="H118" s="933"/>
      <c r="I118" s="933"/>
      <c r="J118" s="933"/>
      <c r="K118" s="933"/>
      <c r="L118" s="933"/>
      <c r="M118" s="934"/>
      <c r="N118" s="2364"/>
      <c r="O118" s="2364"/>
      <c r="P118" s="334"/>
      <c r="Q118" s="846"/>
    </row>
    <row r="119" spans="1:17" ht="15" thickTop="1">
      <c r="A119" s="941"/>
      <c r="B119" s="880" t="s">
        <v>511</v>
      </c>
      <c r="C119" s="925" t="s">
        <v>3183</v>
      </c>
      <c r="D119" s="3331" t="s">
        <v>3184</v>
      </c>
      <c r="E119" s="925" t="s">
        <v>3185</v>
      </c>
      <c r="F119" s="925" t="s">
        <v>3186</v>
      </c>
      <c r="G119" s="131"/>
      <c r="H119" s="131"/>
      <c r="I119" s="131"/>
      <c r="J119" s="131"/>
      <c r="K119" s="132"/>
      <c r="L119" s="133"/>
      <c r="M119" s="134"/>
      <c r="N119" s="2363"/>
      <c r="O119" s="2363"/>
      <c r="P119" s="334"/>
      <c r="Q119" s="846"/>
    </row>
    <row r="120" spans="1:17" ht="15.75" thickBot="1">
      <c r="A120" s="876"/>
      <c r="B120" s="885"/>
      <c r="C120" s="886">
        <v>100</v>
      </c>
      <c r="D120" s="886">
        <f t="shared" ref="D120:M120" si="36">C120-$K39</f>
        <v>97</v>
      </c>
      <c r="E120" s="886">
        <f t="shared" si="36"/>
        <v>94</v>
      </c>
      <c r="F120" s="886">
        <f t="shared" si="36"/>
        <v>91</v>
      </c>
      <c r="G120" s="886">
        <f t="shared" si="36"/>
        <v>88</v>
      </c>
      <c r="H120" s="886">
        <f t="shared" si="36"/>
        <v>85</v>
      </c>
      <c r="I120" s="886">
        <f t="shared" si="36"/>
        <v>82</v>
      </c>
      <c r="J120" s="886">
        <f t="shared" si="36"/>
        <v>79</v>
      </c>
      <c r="K120" s="886">
        <f t="shared" si="36"/>
        <v>76</v>
      </c>
      <c r="L120" s="886">
        <f t="shared" si="36"/>
        <v>73</v>
      </c>
      <c r="M120" s="887">
        <f t="shared" si="36"/>
        <v>70</v>
      </c>
      <c r="N120" s="2364"/>
      <c r="O120" s="2364"/>
      <c r="P120" s="334"/>
      <c r="Q120" s="846"/>
    </row>
    <row r="121" spans="1:17" ht="15" thickTop="1">
      <c r="A121" s="941"/>
      <c r="B121" s="880" t="s">
        <v>512</v>
      </c>
      <c r="C121" s="896" t="s">
        <v>3187</v>
      </c>
      <c r="D121" s="896" t="s">
        <v>3188</v>
      </c>
      <c r="E121" s="896" t="s">
        <v>3189</v>
      </c>
      <c r="F121" s="131"/>
      <c r="G121" s="131"/>
      <c r="H121" s="131"/>
      <c r="I121" s="131"/>
      <c r="J121" s="131"/>
      <c r="K121" s="132"/>
      <c r="L121" s="133"/>
      <c r="M121" s="134"/>
      <c r="N121" s="2363"/>
      <c r="O121" s="2363"/>
      <c r="P121" s="334"/>
      <c r="Q121" s="846"/>
    </row>
    <row r="122" spans="1:17" ht="15.75" thickBot="1">
      <c r="A122" s="876"/>
      <c r="B122" s="885"/>
      <c r="C122" s="886">
        <v>100</v>
      </c>
      <c r="D122" s="886">
        <f t="shared" ref="D122:M122" si="37">C122-$K40</f>
        <v>99</v>
      </c>
      <c r="E122" s="886">
        <f t="shared" si="37"/>
        <v>98</v>
      </c>
      <c r="F122" s="886">
        <f t="shared" si="37"/>
        <v>97</v>
      </c>
      <c r="G122" s="886">
        <f t="shared" si="37"/>
        <v>96</v>
      </c>
      <c r="H122" s="886">
        <f t="shared" si="37"/>
        <v>95</v>
      </c>
      <c r="I122" s="886">
        <f t="shared" si="37"/>
        <v>94</v>
      </c>
      <c r="J122" s="886">
        <f t="shared" si="37"/>
        <v>93</v>
      </c>
      <c r="K122" s="886">
        <f t="shared" si="37"/>
        <v>92</v>
      </c>
      <c r="L122" s="886">
        <f t="shared" si="37"/>
        <v>91</v>
      </c>
      <c r="M122" s="887">
        <f t="shared" si="37"/>
        <v>90</v>
      </c>
      <c r="N122" s="2364"/>
      <c r="O122" s="2364"/>
      <c r="P122" s="334"/>
      <c r="Q122" s="846"/>
    </row>
    <row r="123" spans="1:17" s="813" customFormat="1" ht="15" thickTop="1">
      <c r="A123" s="935"/>
      <c r="B123" s="1053" t="s">
        <v>2505</v>
      </c>
      <c r="C123" s="3332" t="s">
        <v>3190</v>
      </c>
      <c r="D123" s="3332" t="s">
        <v>3191</v>
      </c>
      <c r="E123" s="3332" t="s">
        <v>3192</v>
      </c>
      <c r="F123" s="3332" t="s">
        <v>3193</v>
      </c>
      <c r="G123" s="3332" t="s">
        <v>3194</v>
      </c>
      <c r="H123" s="131"/>
      <c r="I123" s="131"/>
      <c r="J123" s="131"/>
      <c r="K123" s="132"/>
      <c r="L123" s="133"/>
      <c r="M123" s="134"/>
      <c r="N123" s="2365"/>
      <c r="O123" s="2365"/>
      <c r="P123" s="900"/>
      <c r="Q123" s="901"/>
    </row>
    <row r="124" spans="1:17" s="813" customFormat="1" ht="15.75" thickBot="1">
      <c r="A124" s="895"/>
      <c r="B124" s="885"/>
      <c r="C124" s="886">
        <v>100</v>
      </c>
      <c r="D124" s="886">
        <f>C124-$K41</f>
        <v>98</v>
      </c>
      <c r="E124" s="886">
        <f t="shared" ref="E124:M124" si="38">D124-$K41</f>
        <v>96</v>
      </c>
      <c r="F124" s="886">
        <f t="shared" si="38"/>
        <v>94</v>
      </c>
      <c r="G124" s="886">
        <f t="shared" si="38"/>
        <v>92</v>
      </c>
      <c r="H124" s="886">
        <f t="shared" si="38"/>
        <v>90</v>
      </c>
      <c r="I124" s="886">
        <f t="shared" si="38"/>
        <v>88</v>
      </c>
      <c r="J124" s="886">
        <f t="shared" si="38"/>
        <v>86</v>
      </c>
      <c r="K124" s="886">
        <f t="shared" si="38"/>
        <v>84</v>
      </c>
      <c r="L124" s="886">
        <f t="shared" si="38"/>
        <v>82</v>
      </c>
      <c r="M124" s="887">
        <f t="shared" si="38"/>
        <v>80</v>
      </c>
      <c r="N124" s="2365"/>
      <c r="O124" s="2365"/>
      <c r="P124" s="900"/>
      <c r="Q124" s="901"/>
    </row>
    <row r="125" spans="1:17" ht="15" thickTop="1">
      <c r="A125" s="941"/>
      <c r="B125" s="880" t="s">
        <v>513</v>
      </c>
      <c r="C125" s="896" t="s">
        <v>3195</v>
      </c>
      <c r="D125" s="896" t="s">
        <v>3196</v>
      </c>
      <c r="E125" s="925" t="s">
        <v>3197</v>
      </c>
      <c r="F125" s="925" t="s">
        <v>3198</v>
      </c>
      <c r="G125" s="925" t="s">
        <v>3199</v>
      </c>
      <c r="H125" s="131"/>
      <c r="I125" s="131"/>
      <c r="J125" s="131"/>
      <c r="K125" s="132"/>
      <c r="L125" s="133"/>
      <c r="M125" s="134"/>
      <c r="N125" s="2363"/>
      <c r="O125" s="2363"/>
      <c r="P125" s="334"/>
      <c r="Q125" s="846"/>
    </row>
    <row r="126" spans="1:17" ht="15.75" thickBot="1">
      <c r="A126" s="876"/>
      <c r="B126" s="885"/>
      <c r="C126" s="886">
        <v>100</v>
      </c>
      <c r="D126" s="886">
        <f t="shared" ref="D126:M126" si="39">C126-$K42</f>
        <v>99</v>
      </c>
      <c r="E126" s="886">
        <f t="shared" si="39"/>
        <v>98</v>
      </c>
      <c r="F126" s="886">
        <f t="shared" si="39"/>
        <v>97</v>
      </c>
      <c r="G126" s="886">
        <f t="shared" si="39"/>
        <v>96</v>
      </c>
      <c r="H126" s="886">
        <f t="shared" si="39"/>
        <v>95</v>
      </c>
      <c r="I126" s="886">
        <f t="shared" si="39"/>
        <v>94</v>
      </c>
      <c r="J126" s="886">
        <f t="shared" si="39"/>
        <v>93</v>
      </c>
      <c r="K126" s="886">
        <f t="shared" si="39"/>
        <v>92</v>
      </c>
      <c r="L126" s="886">
        <f t="shared" si="39"/>
        <v>91</v>
      </c>
      <c r="M126" s="887">
        <f t="shared" si="39"/>
        <v>90</v>
      </c>
      <c r="N126" s="2364"/>
      <c r="O126" s="2364"/>
      <c r="P126" s="334"/>
      <c r="Q126" s="846"/>
    </row>
    <row r="127" spans="1:17" ht="15" thickTop="1">
      <c r="A127" s="941"/>
      <c r="B127" s="880">
        <f>B43</f>
        <v>111</v>
      </c>
      <c r="C127" s="139"/>
      <c r="D127" s="139"/>
      <c r="E127" s="139"/>
      <c r="F127" s="139"/>
      <c r="G127" s="139"/>
      <c r="H127" s="131"/>
      <c r="I127" s="131"/>
      <c r="J127" s="131"/>
      <c r="K127" s="132"/>
      <c r="L127" s="133"/>
      <c r="M127" s="134"/>
      <c r="N127" s="2363"/>
      <c r="O127" s="2363"/>
      <c r="P127" s="334"/>
      <c r="Q127" s="846"/>
    </row>
    <row r="128" spans="1:17" ht="15.75" thickBot="1">
      <c r="A128" s="876"/>
      <c r="B128" s="885"/>
      <c r="C128" s="902"/>
      <c r="D128" s="902"/>
      <c r="E128" s="902"/>
      <c r="F128" s="902"/>
      <c r="G128" s="878"/>
      <c r="H128" s="878"/>
      <c r="I128" s="878"/>
      <c r="J128" s="878"/>
      <c r="K128" s="878"/>
      <c r="L128" s="878"/>
      <c r="M128" s="879"/>
      <c r="N128" s="2364"/>
      <c r="O128" s="2364"/>
      <c r="P128" s="334"/>
      <c r="Q128" s="846"/>
    </row>
    <row r="129" spans="1:17" ht="15" thickTop="1">
      <c r="A129" s="941"/>
      <c r="B129" s="880">
        <f>B44</f>
        <v>111</v>
      </c>
      <c r="C129" s="140"/>
      <c r="D129" s="140"/>
      <c r="E129" s="140"/>
      <c r="F129" s="140"/>
      <c r="G129" s="131"/>
      <c r="H129" s="131"/>
      <c r="I129" s="131"/>
      <c r="J129" s="131"/>
      <c r="K129" s="132"/>
      <c r="L129" s="133"/>
      <c r="M129" s="134"/>
      <c r="N129" s="2363"/>
      <c r="O129" s="2363"/>
      <c r="P129" s="334"/>
      <c r="Q129" s="846"/>
    </row>
    <row r="130" spans="1:17" ht="15.75" thickBot="1">
      <c r="A130" s="876"/>
      <c r="B130" s="885"/>
      <c r="C130" s="912"/>
      <c r="D130" s="912"/>
      <c r="E130" s="912"/>
      <c r="F130" s="912"/>
      <c r="G130" s="878"/>
      <c r="H130" s="878"/>
      <c r="I130" s="878"/>
      <c r="J130" s="878"/>
      <c r="K130" s="878"/>
      <c r="L130" s="878"/>
      <c r="M130" s="879"/>
      <c r="N130" s="2364"/>
      <c r="O130" s="2364"/>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65"/>
      <c r="O131" s="2365"/>
      <c r="P131" s="900"/>
      <c r="Q131" s="901"/>
    </row>
    <row r="132" spans="1:17" s="813" customFormat="1" ht="15.75" thickBot="1">
      <c r="A132" s="910"/>
      <c r="B132" s="1108"/>
      <c r="C132" s="912"/>
      <c r="D132" s="912"/>
      <c r="E132" s="912"/>
      <c r="F132" s="912"/>
      <c r="G132" s="933"/>
      <c r="H132" s="933"/>
      <c r="I132" s="933"/>
      <c r="J132" s="933"/>
      <c r="K132" s="933"/>
      <c r="L132" s="933"/>
      <c r="M132" s="934"/>
      <c r="N132" s="2365"/>
      <c r="O132" s="2365"/>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6" type="noConversion"/>
  <conditionalFormatting sqref="F51 H51 J51">
    <cfRule type="containsText" dxfId="133" priority="14" stopIfTrue="1" operator="containsText" text="超过">
      <formula>NOT(ISERROR(SEARCH("超过",F51)))</formula>
    </cfRule>
  </conditionalFormatting>
  <conditionalFormatting sqref="J53">
    <cfRule type="containsText" dxfId="132" priority="13" stopIfTrue="1" operator="containsText" text="超过">
      <formula>NOT(ISERROR(SEARCH("超过",J53)))</formula>
    </cfRule>
  </conditionalFormatting>
  <conditionalFormatting sqref="H53">
    <cfRule type="containsText" dxfId="131" priority="12" stopIfTrue="1" operator="containsText" text="超过">
      <formula>NOT(ISERROR(SEARCH("超过",H53)))</formula>
    </cfRule>
  </conditionalFormatting>
  <conditionalFormatting sqref="F53">
    <cfRule type="containsText" dxfId="130" priority="11" stopIfTrue="1" operator="containsText" text="超过">
      <formula>NOT(ISERROR(SEARCH("超过",F53)))</formula>
    </cfRule>
  </conditionalFormatting>
  <conditionalFormatting sqref="F52 H52 J52">
    <cfRule type="containsText" dxfId="129" priority="10" stopIfTrue="1" operator="containsText" text="超过">
      <formula>NOT(ISERROR(SEARCH("超过",F52)))</formula>
    </cfRule>
  </conditionalFormatting>
  <conditionalFormatting sqref="E51">
    <cfRule type="expression" dxfId="128" priority="9" stopIfTrue="1">
      <formula>$F$51="超过30%"</formula>
    </cfRule>
  </conditionalFormatting>
  <conditionalFormatting sqref="G53">
    <cfRule type="expression" dxfId="127" priority="8" stopIfTrue="1">
      <formula>$H$53="超过30%"</formula>
    </cfRule>
  </conditionalFormatting>
  <conditionalFormatting sqref="E52">
    <cfRule type="expression" dxfId="126" priority="7" stopIfTrue="1">
      <formula>$F$52="超过20%"</formula>
    </cfRule>
  </conditionalFormatting>
  <conditionalFormatting sqref="E53">
    <cfRule type="expression" dxfId="125" priority="6" stopIfTrue="1">
      <formula>$F$53="超过30%"</formula>
    </cfRule>
  </conditionalFormatting>
  <conditionalFormatting sqref="G51">
    <cfRule type="expression" dxfId="124" priority="5" stopIfTrue="1">
      <formula>$H$53+$H$51="超过30%"</formula>
    </cfRule>
  </conditionalFormatting>
  <conditionalFormatting sqref="G52">
    <cfRule type="expression" dxfId="123" priority="4" stopIfTrue="1">
      <formula>$H$52="超过20%"</formula>
    </cfRule>
  </conditionalFormatting>
  <conditionalFormatting sqref="I51">
    <cfRule type="expression" dxfId="122" priority="3" stopIfTrue="1">
      <formula>$J$51="超过30%"</formula>
    </cfRule>
  </conditionalFormatting>
  <conditionalFormatting sqref="I52">
    <cfRule type="expression" dxfId="121" priority="2" stopIfTrue="1">
      <formula>$J$52="超过20%"</formula>
    </cfRule>
  </conditionalFormatting>
  <conditionalFormatting sqref="I53">
    <cfRule type="expression" dxfId="1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909</v>
      </c>
      <c r="B1" s="669"/>
      <c r="C1" s="2385"/>
      <c r="D1" s="1273"/>
      <c r="E1" s="2578" t="s">
        <v>537</v>
      </c>
      <c r="F1" s="2579">
        <f ca="1">J53</f>
        <v>0</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t="e">
        <f ca="1">ROUND(D2/10000,0)</f>
        <v>#DIV/0!</v>
      </c>
      <c r="C2" s="1299" t="s">
        <v>1103</v>
      </c>
      <c r="D2" s="2717" t="e">
        <f ca="1">C40+J29+L46</f>
        <v>#DIV/0!</v>
      </c>
      <c r="E2" s="2568" t="s">
        <v>2628</v>
      </c>
      <c r="F2" s="1276"/>
      <c r="G2" s="2280"/>
      <c r="H2" s="1274"/>
      <c r="I2" s="1274"/>
      <c r="J2" s="1274"/>
      <c r="K2" s="1298"/>
      <c r="L2" s="1274"/>
      <c r="M2" s="1274"/>
    </row>
    <row r="3" spans="1:37" ht="18" customHeight="1" thickBot="1">
      <c r="A3" s="674" t="s">
        <v>344</v>
      </c>
      <c r="B3" s="1407">
        <f ca="1">IF(ISERROR(D2/F43),0,ROUND(D2/F43,0))</f>
        <v>0</v>
      </c>
      <c r="C3" s="1299" t="s">
        <v>1104</v>
      </c>
      <c r="D3" s="1275"/>
      <c r="E3" s="2568"/>
      <c r="F3" s="1276"/>
      <c r="G3" s="2280"/>
      <c r="H3" s="675" t="s">
        <v>910</v>
      </c>
      <c r="I3" s="1274"/>
      <c r="J3" s="1274"/>
      <c r="K3" s="1298"/>
      <c r="L3" s="1274"/>
      <c r="M3" s="1274"/>
    </row>
    <row r="4" spans="1:37" ht="18" customHeight="1">
      <c r="A4" s="676" t="s">
        <v>911</v>
      </c>
      <c r="B4" s="677" t="s">
        <v>912</v>
      </c>
      <c r="C4" s="677" t="s">
        <v>913</v>
      </c>
      <c r="D4" s="677" t="s">
        <v>914</v>
      </c>
      <c r="E4" s="678" t="s">
        <v>915</v>
      </c>
      <c r="F4" s="679"/>
      <c r="G4" s="2281"/>
      <c r="H4" s="676" t="s">
        <v>911</v>
      </c>
      <c r="I4" s="677" t="s">
        <v>912</v>
      </c>
      <c r="J4" s="677" t="s">
        <v>913</v>
      </c>
      <c r="K4" s="677" t="s">
        <v>914</v>
      </c>
      <c r="L4" s="678" t="s">
        <v>915</v>
      </c>
      <c r="M4" s="679"/>
    </row>
    <row r="5" spans="1:37" ht="18" customHeight="1">
      <c r="A5" s="680">
        <v>1</v>
      </c>
      <c r="B5" s="681" t="s">
        <v>2339</v>
      </c>
      <c r="C5" s="2619">
        <f ca="1">C6+C10+C12</f>
        <v>0</v>
      </c>
      <c r="D5" s="2629" t="s">
        <v>2542</v>
      </c>
      <c r="E5" s="2620"/>
      <c r="F5" s="2621"/>
      <c r="G5" s="2281"/>
      <c r="H5" s="680">
        <v>1</v>
      </c>
      <c r="I5" s="681" t="s">
        <v>2339</v>
      </c>
      <c r="J5" s="2619">
        <f ca="1">J6+J10+J12</f>
        <v>0</v>
      </c>
      <c r="K5" s="2622" t="s">
        <v>2542</v>
      </c>
      <c r="L5" s="2620"/>
      <c r="M5" s="2621"/>
    </row>
    <row r="6" spans="1:37" ht="18" customHeight="1">
      <c r="A6" s="2615" t="s">
        <v>2380</v>
      </c>
      <c r="B6" s="3648" t="s">
        <v>2541</v>
      </c>
      <c r="C6" s="2624">
        <f ca="1">ROUND(F6*F8*F7*(1-F9),0)</f>
        <v>0</v>
      </c>
      <c r="D6" s="2618" t="s">
        <v>2543</v>
      </c>
      <c r="E6" s="683" t="s">
        <v>916</v>
      </c>
      <c r="F6" s="684">
        <f ca="1">INDIRECT("'数据-取费表'!u"&amp;$G$1)</f>
        <v>0</v>
      </c>
      <c r="G6" s="2281"/>
      <c r="H6" s="2615" t="s">
        <v>2380</v>
      </c>
      <c r="I6" s="3648" t="s">
        <v>2541</v>
      </c>
      <c r="J6" s="682">
        <f ca="1">ROUND(M6*M8*M7*(1-M9),0)</f>
        <v>0</v>
      </c>
      <c r="K6" s="2618" t="s">
        <v>2543</v>
      </c>
      <c r="L6" s="683" t="s">
        <v>916</v>
      </c>
      <c r="M6" s="684">
        <f ca="1">INDIRECT("'数据-取费表'!z"&amp;$G$1)</f>
        <v>0</v>
      </c>
    </row>
    <row r="7" spans="1:37" ht="18" customHeight="1">
      <c r="A7" s="2623"/>
      <c r="B7" s="3649"/>
      <c r="C7" s="2625"/>
      <c r="D7" s="2054"/>
      <c r="E7" s="2626" t="s">
        <v>917</v>
      </c>
      <c r="F7" s="684">
        <f ca="1">IF(INDIRECT("'数据-取费表'!ah"&amp;$G$1)="",INDIRECT("'数据-取费表'!k"&amp;$G$1),INDIRECT("'数据-取费表'!ah"&amp;$G$1))</f>
        <v>0</v>
      </c>
      <c r="G7" s="2281"/>
      <c r="H7" s="685"/>
      <c r="I7" s="3649"/>
      <c r="J7" s="687"/>
      <c r="K7" s="688"/>
      <c r="L7" s="683" t="s">
        <v>917</v>
      </c>
      <c r="M7" s="684">
        <f ca="1">F7</f>
        <v>0</v>
      </c>
    </row>
    <row r="8" spans="1:37" ht="18" customHeight="1">
      <c r="A8" s="685"/>
      <c r="B8" s="3649"/>
      <c r="C8" s="687"/>
      <c r="D8" s="688"/>
      <c r="E8" s="683" t="s">
        <v>918</v>
      </c>
      <c r="F8" s="684">
        <f ca="1">INDIRECT("'数据-取费表'!ai"&amp;$G$1)</f>
        <v>0</v>
      </c>
      <c r="G8" s="2281"/>
      <c r="H8" s="685"/>
      <c r="I8" s="3649"/>
      <c r="J8" s="687"/>
      <c r="K8" s="688"/>
      <c r="L8" s="683" t="s">
        <v>918</v>
      </c>
      <c r="M8" s="684">
        <f ca="1">INDIRECT("'数据-取费表'!ai"&amp;$G$1)</f>
        <v>0</v>
      </c>
    </row>
    <row r="9" spans="1:37" ht="18" customHeight="1">
      <c r="A9" s="685"/>
      <c r="B9" s="3650"/>
      <c r="C9" s="687"/>
      <c r="D9" s="688"/>
      <c r="E9" s="683" t="s">
        <v>919</v>
      </c>
      <c r="F9" s="693">
        <f ca="1">INDIRECT("'数据-取费表'!w"&amp;$G$1)</f>
        <v>0</v>
      </c>
      <c r="G9" s="2281"/>
      <c r="H9" s="685"/>
      <c r="I9" s="3650"/>
      <c r="J9" s="687"/>
      <c r="K9" s="688"/>
      <c r="L9" s="694" t="s">
        <v>919</v>
      </c>
      <c r="M9" s="695">
        <f ca="1">INDIRECT("'数据-取费表'!ab"&amp;$G$1)</f>
        <v>0</v>
      </c>
    </row>
    <row r="10" spans="1:37" ht="18" customHeight="1">
      <c r="A10" s="2615" t="s">
        <v>2387</v>
      </c>
      <c r="B10" s="2616" t="s">
        <v>2536</v>
      </c>
      <c r="C10" s="697">
        <f ca="1">ROUND(IF(F10="押一",F6*F8*F7/12*F11,IF(F10="押二",F6*F8*F7/12*2*F11,IF(F10="押三",F6*F8*F7/12*3*F11,C11*F11))),0)</f>
        <v>0</v>
      </c>
      <c r="D10" s="2627" t="s">
        <v>2544</v>
      </c>
      <c r="E10" s="2090" t="s">
        <v>2538</v>
      </c>
      <c r="F10" s="2824"/>
      <c r="G10" s="2281"/>
      <c r="H10" s="2615" t="s">
        <v>2387</v>
      </c>
      <c r="I10" s="2616" t="s">
        <v>2536</v>
      </c>
      <c r="J10" s="682">
        <f ca="1">ROUND(IF(M10="押一",M6*M8*M7/12*M11,IF(M10="押二",M6*M8*M7/12*2*M11,IF(M10="押三",M6*M8*M7/12*3*M11,J11*M11))),0)</f>
        <v>0</v>
      </c>
      <c r="K10" s="2627" t="s">
        <v>2544</v>
      </c>
      <c r="L10" s="2090" t="s">
        <v>2538</v>
      </c>
      <c r="M10" s="2824" t="s">
        <v>2700</v>
      </c>
    </row>
    <row r="11" spans="1:37" ht="18" customHeight="1">
      <c r="A11" s="689"/>
      <c r="B11" s="2617" t="s">
        <v>2546</v>
      </c>
      <c r="C11" s="2408"/>
      <c r="D11" s="688"/>
      <c r="E11" s="2090" t="s">
        <v>2539</v>
      </c>
      <c r="F11" s="695">
        <f ca="1">'数据-取费表'!B39</f>
        <v>1.4999999999999999E-2</v>
      </c>
      <c r="G11" s="2281"/>
      <c r="H11" s="2628"/>
      <c r="I11" s="2617" t="s">
        <v>2701</v>
      </c>
      <c r="J11" s="2408"/>
      <c r="K11" s="1280"/>
      <c r="L11" s="2090" t="s">
        <v>2539</v>
      </c>
      <c r="M11" s="2089">
        <f ca="1">'数据-取费表'!B39</f>
        <v>1.4999999999999999E-2</v>
      </c>
    </row>
    <row r="12" spans="1:37" ht="18" customHeight="1" thickBot="1">
      <c r="A12" s="2663" t="s">
        <v>2549</v>
      </c>
      <c r="B12" s="2664" t="s">
        <v>2537</v>
      </c>
      <c r="C12" s="2665"/>
      <c r="D12" s="2666"/>
      <c r="E12" s="2667"/>
      <c r="F12" s="2668"/>
      <c r="G12" s="2281"/>
      <c r="H12" s="2663" t="s">
        <v>2549</v>
      </c>
      <c r="I12" s="2664" t="s">
        <v>2537</v>
      </c>
      <c r="J12" s="2665"/>
      <c r="K12" s="2682"/>
      <c r="L12" s="2667"/>
      <c r="M12" s="2683"/>
    </row>
    <row r="13" spans="1:37" ht="18" customHeight="1" thickTop="1">
      <c r="A13" s="2659">
        <v>2</v>
      </c>
      <c r="B13" s="2660" t="s">
        <v>920</v>
      </c>
      <c r="C13" s="691">
        <f ca="1">ROUND(C29*F13,0)</f>
        <v>0</v>
      </c>
      <c r="D13" s="2661" t="s">
        <v>921</v>
      </c>
      <c r="E13" s="2661" t="s">
        <v>922</v>
      </c>
      <c r="F13" s="2662">
        <f ca="1">INDIRECT("'数据-取费表'!y"&amp;$G$1)</f>
        <v>0</v>
      </c>
      <c r="G13" s="2281"/>
      <c r="H13" s="2659">
        <v>2</v>
      </c>
      <c r="I13" s="2660" t="s">
        <v>920</v>
      </c>
      <c r="J13" s="2614">
        <f ca="1">ROUND(J14*J15,0)</f>
        <v>0</v>
      </c>
      <c r="K13" s="2669" t="s">
        <v>921</v>
      </c>
      <c r="L13" s="2680"/>
      <c r="M13" s="2681"/>
    </row>
    <row r="14" spans="1:37" ht="18" customHeight="1">
      <c r="A14" s="2431" t="s">
        <v>2377</v>
      </c>
      <c r="B14" s="683" t="s">
        <v>357</v>
      </c>
      <c r="C14" s="701">
        <f ca="1">ROUND(INDIRECT("'数据-取费表'!l"&amp;$G$1)*F43+'数据-取费表'!L14*INDIRECT("'数据-取费表'!S"&amp;$G$1),0)</f>
        <v>0</v>
      </c>
      <c r="D14" s="2712" t="s">
        <v>923</v>
      </c>
      <c r="E14" s="2711"/>
      <c r="F14" s="702"/>
      <c r="G14" s="2281"/>
      <c r="H14" s="2431" t="s">
        <v>2380</v>
      </c>
      <c r="I14" s="683" t="s">
        <v>924</v>
      </c>
      <c r="J14" s="313">
        <f ca="1">C29</f>
        <v>0</v>
      </c>
      <c r="K14" s="303"/>
      <c r="L14" s="699"/>
      <c r="M14" s="700"/>
    </row>
    <row r="15" spans="1:37" s="705" customFormat="1" ht="18" customHeight="1" thickBot="1">
      <c r="A15" s="2431" t="s">
        <v>2613</v>
      </c>
      <c r="B15" s="683" t="s">
        <v>358</v>
      </c>
      <c r="C15" s="313">
        <f ca="1">ROUND(C14*F15,0)</f>
        <v>0</v>
      </c>
      <c r="D15" s="703" t="s">
        <v>925</v>
      </c>
      <c r="E15" s="703" t="s">
        <v>363</v>
      </c>
      <c r="F15" s="704">
        <f>'数据-取费表'!B33</f>
        <v>0.03</v>
      </c>
      <c r="G15" s="2282"/>
      <c r="H15" s="2671" t="s">
        <v>2387</v>
      </c>
      <c r="I15" s="2672" t="s">
        <v>922</v>
      </c>
      <c r="J15" s="2683">
        <f ca="1">INDIRECT("'数据-取费表'!ad"&amp;$G$1)</f>
        <v>0</v>
      </c>
      <c r="K15" s="2684"/>
      <c r="L15" s="2685"/>
      <c r="M15" s="2686"/>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1" t="s">
        <v>2614</v>
      </c>
      <c r="B16" s="683" t="s">
        <v>359</v>
      </c>
      <c r="C16" s="313">
        <f ca="1">ROUND(INDIRECT("'数据-取费表'!l"&amp;$G$1)*F43*F16,0)</f>
        <v>0</v>
      </c>
      <c r="D16" s="683" t="s">
        <v>925</v>
      </c>
      <c r="E16" s="683" t="s">
        <v>363</v>
      </c>
      <c r="F16" s="706">
        <f ca="1">IF(INDIRECT("'数据-取费表'!c"&amp;$G$1)="住宅",'数据-取费表'!B34,0)</f>
        <v>0</v>
      </c>
      <c r="G16" s="2281"/>
      <c r="H16" s="2659" t="s">
        <v>2345</v>
      </c>
      <c r="I16" s="2660" t="s">
        <v>927</v>
      </c>
      <c r="J16" s="691">
        <f ca="1">ROUND(J17+J22+J23+J24,0)</f>
        <v>0</v>
      </c>
      <c r="K16" s="2669" t="s">
        <v>928</v>
      </c>
      <c r="L16" s="2670"/>
      <c r="M16" s="2621"/>
    </row>
    <row r="17" spans="1:37" s="705" customFormat="1" ht="18" customHeight="1">
      <c r="A17" s="2431" t="s">
        <v>2615</v>
      </c>
      <c r="B17" s="683" t="s">
        <v>360</v>
      </c>
      <c r="C17" s="313">
        <f ca="1">ROUND(F17*(F43+INDIRECT("'数据-取费表'!S"&amp;$G$1)),0)</f>
        <v>0</v>
      </c>
      <c r="D17" s="683" t="s">
        <v>929</v>
      </c>
      <c r="E17" s="683" t="s">
        <v>930</v>
      </c>
      <c r="F17" s="315">
        <f>'数据-取费表'!B35</f>
        <v>150</v>
      </c>
      <c r="G17" s="2282"/>
      <c r="H17" s="2431" t="s">
        <v>2380</v>
      </c>
      <c r="I17" s="683" t="s">
        <v>361</v>
      </c>
      <c r="J17" s="313">
        <f ca="1">ROUND(IF(项目基本情况!B11="自然人",J5*M17,J18+J19+J20),0)</f>
        <v>0</v>
      </c>
      <c r="K17" s="2712" t="s">
        <v>931</v>
      </c>
      <c r="L17" s="2713" t="s">
        <v>932</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1" t="s">
        <v>2616</v>
      </c>
      <c r="B18" s="683" t="s">
        <v>362</v>
      </c>
      <c r="C18" s="313">
        <f ca="1">ROUND(C14*F18,0)</f>
        <v>0</v>
      </c>
      <c r="D18" s="683" t="s">
        <v>925</v>
      </c>
      <c r="E18" s="683" t="s">
        <v>363</v>
      </c>
      <c r="F18" s="706">
        <f>'数据-取费表'!B36</f>
        <v>1.4999999999999999E-2</v>
      </c>
      <c r="G18" s="2282"/>
      <c r="H18" s="2431" t="s">
        <v>2377</v>
      </c>
      <c r="I18" s="683" t="s">
        <v>933</v>
      </c>
      <c r="J18" s="313">
        <f ca="1">ROUND(J5*M18/(1+'数据-取费表'!C42),0)</f>
        <v>0</v>
      </c>
      <c r="K18" s="2713" t="s">
        <v>934</v>
      </c>
      <c r="L18" s="683" t="s">
        <v>363</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1" t="s">
        <v>2380</v>
      </c>
      <c r="B19" s="683" t="s">
        <v>364</v>
      </c>
      <c r="C19" s="313">
        <f ca="1">SUM(C14:C18)</f>
        <v>0</v>
      </c>
      <c r="D19" s="470" t="s">
        <v>935</v>
      </c>
      <c r="E19" s="2715"/>
      <c r="F19" s="315"/>
      <c r="G19" s="2281"/>
      <c r="H19" s="2431" t="s">
        <v>2613</v>
      </c>
      <c r="I19" s="683" t="s">
        <v>936</v>
      </c>
      <c r="J19" s="313">
        <f ca="1">IF(K19="按租金收入计税",ROUND(J5*M19,0),ROUND(C29*M19*0.7,0))</f>
        <v>0</v>
      </c>
      <c r="K19" s="1300" t="s">
        <v>2420</v>
      </c>
      <c r="L19" s="683" t="s">
        <v>363</v>
      </c>
      <c r="M19" s="706">
        <f>IF(K19="按租金收入计税",'数据-取费表'!B51,'数据-取费表'!B50)</f>
        <v>1.2E-2</v>
      </c>
    </row>
    <row r="20" spans="1:37" s="705" customFormat="1" ht="18" customHeight="1">
      <c r="A20" s="2431" t="s">
        <v>2617</v>
      </c>
      <c r="B20" s="683" t="s">
        <v>365</v>
      </c>
      <c r="C20" s="313">
        <f ca="1">ROUND(C19*F20,0)</f>
        <v>0</v>
      </c>
      <c r="D20" s="708" t="s">
        <v>937</v>
      </c>
      <c r="E20" s="683" t="s">
        <v>363</v>
      </c>
      <c r="F20" s="706">
        <f>'数据-取费表'!B37</f>
        <v>1.4999999999999999E-2</v>
      </c>
      <c r="G20" s="2282"/>
      <c r="H20" s="2431" t="s">
        <v>2614</v>
      </c>
      <c r="I20" s="495" t="s">
        <v>938</v>
      </c>
      <c r="J20" s="314">
        <f ca="1">ROUND(M20*M21,0)</f>
        <v>0</v>
      </c>
      <c r="K20" s="709" t="s">
        <v>939</v>
      </c>
      <c r="L20" s="683" t="s">
        <v>940</v>
      </c>
      <c r="M20" s="710">
        <f>'数据-取费表'!B52</f>
        <v>7</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1" t="s">
        <v>2618</v>
      </c>
      <c r="B21" s="683" t="s">
        <v>941</v>
      </c>
      <c r="C21" s="313" t="s">
        <v>23</v>
      </c>
      <c r="D21" s="708" t="s">
        <v>942</v>
      </c>
      <c r="E21" s="683" t="s">
        <v>943</v>
      </c>
      <c r="F21" s="706">
        <f>'数据-取费表'!B38</f>
        <v>2.5000000000000001E-2</v>
      </c>
      <c r="G21" s="2282"/>
      <c r="H21" s="711"/>
      <c r="I21" s="692"/>
      <c r="J21" s="318"/>
      <c r="K21" s="712"/>
      <c r="L21" s="683" t="s">
        <v>944</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1" t="s">
        <v>2619</v>
      </c>
      <c r="B22" s="683" t="s">
        <v>945</v>
      </c>
      <c r="C22" s="313"/>
      <c r="D22" s="2694" t="str">
        <f>IF(F23&lt;=1,"单利计息。","复利计息。")&amp;"建造成本、管理费用、销售费用产生的利息。"</f>
        <v>复利计息。建造成本、管理费用、销售费用产生的利息。</v>
      </c>
      <c r="E22" s="2715"/>
      <c r="F22" s="315"/>
      <c r="G22" s="2281"/>
      <c r="H22" s="2431" t="s">
        <v>2387</v>
      </c>
      <c r="I22" s="683" t="s">
        <v>946</v>
      </c>
      <c r="J22" s="313">
        <f ca="1">ROUND(J14*M22,0)</f>
        <v>0</v>
      </c>
      <c r="K22" s="2713" t="s">
        <v>947</v>
      </c>
      <c r="L22" s="683" t="s">
        <v>363</v>
      </c>
      <c r="M22" s="713">
        <f ca="1">INDIRECT("'数据-取费表'!Ak"&amp;$G$1)</f>
        <v>0</v>
      </c>
    </row>
    <row r="23" spans="1:37" s="705" customFormat="1" ht="18" customHeight="1">
      <c r="A23" s="2431" t="s">
        <v>2377</v>
      </c>
      <c r="B23" s="683" t="s">
        <v>2533</v>
      </c>
      <c r="C23" s="313">
        <f ca="1">IF('数据-取费表'!B22&lt;=1,ROUND(C19*F24*F23/2,0)+ROUND(C20*F24*F23/2,0),ROUND(C19*(POWER((1+F24),F23/2)-1),0)+ROUND(C20*(POWER((1+F24),F23/2)-1),0))</f>
        <v>0</v>
      </c>
      <c r="D23" s="2698" t="str">
        <f>IF(F23&lt;=1,"(建造成本+管理费用)×利率×(建设周期÷2)","(建造成本+管理费用)×((1+利率)^(建设周期÷2)-1)")</f>
        <v>(建造成本+管理费用)×((1+利率)^(建设周期÷2)-1)</v>
      </c>
      <c r="E23" s="683" t="s">
        <v>948</v>
      </c>
      <c r="F23" s="710">
        <f>'数据-取费表'!B20</f>
        <v>1.5</v>
      </c>
      <c r="G23" s="2282"/>
      <c r="H23" s="2431" t="s">
        <v>2618</v>
      </c>
      <c r="I23" s="683" t="s">
        <v>366</v>
      </c>
      <c r="J23" s="313">
        <f ca="1">ROUND(J13*M23,0)</f>
        <v>0</v>
      </c>
      <c r="K23" s="2713" t="s">
        <v>367</v>
      </c>
      <c r="L23" s="683" t="s">
        <v>363</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1" t="s">
        <v>2383</v>
      </c>
      <c r="B24" s="683" t="s">
        <v>950</v>
      </c>
      <c r="C24" s="313">
        <f ca="1">ROUND(IF('数据-取费表'!B22&lt;=1,F21*F24*F23/2,F21*(POWER((1+F24),F23/2)-1)),4)</f>
        <v>8.9999999999999998E-4</v>
      </c>
      <c r="D24" s="2698" t="str">
        <f>IF(F23&lt;=1,"销售费用×利率×(建设周期÷2)","销售费用×((1+利率)^(建设周期÷2)-1)")</f>
        <v>销售费用×((1+利率)^(建设周期÷2)-1)</v>
      </c>
      <c r="E24" s="683" t="s">
        <v>951</v>
      </c>
      <c r="F24" s="716">
        <f ca="1">'数据-取费表'!B40</f>
        <v>4.7500000000000001E-2</v>
      </c>
      <c r="G24" s="2282"/>
      <c r="H24" s="2671" t="s">
        <v>2619</v>
      </c>
      <c r="I24" s="2672" t="s">
        <v>365</v>
      </c>
      <c r="J24" s="2673">
        <f ca="1">ROUND(J5*M24,0)</f>
        <v>0</v>
      </c>
      <c r="K24" s="2674" t="s">
        <v>369</v>
      </c>
      <c r="L24" s="2672" t="s">
        <v>363</v>
      </c>
      <c r="M24" s="2668">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1" t="s">
        <v>2384</v>
      </c>
      <c r="B25" s="683" t="s">
        <v>370</v>
      </c>
      <c r="C25" s="313"/>
      <c r="D25" s="470" t="s">
        <v>953</v>
      </c>
      <c r="E25" s="2715"/>
      <c r="F25" s="315"/>
      <c r="G25" s="2281"/>
      <c r="H25" s="2659" t="s">
        <v>2360</v>
      </c>
      <c r="I25" s="2676" t="s">
        <v>375</v>
      </c>
      <c r="J25" s="691">
        <f ca="1">J5-J16</f>
        <v>0</v>
      </c>
      <c r="K25" s="2677" t="s">
        <v>376</v>
      </c>
      <c r="L25" s="2678"/>
      <c r="M25" s="2679"/>
    </row>
    <row r="26" spans="1:37" ht="18" customHeight="1">
      <c r="A26" s="2431" t="s">
        <v>2377</v>
      </c>
      <c r="B26" s="683" t="s">
        <v>2534</v>
      </c>
      <c r="C26" s="313">
        <f ca="1">ROUND((C19+C20)*F26,0)</f>
        <v>0</v>
      </c>
      <c r="D26" s="708" t="s">
        <v>956</v>
      </c>
      <c r="E26" s="694" t="s">
        <v>957</v>
      </c>
      <c r="F26" s="693">
        <f ca="1">INDIRECT("'数据-取费表'!q"&amp;$G$1)</f>
        <v>0</v>
      </c>
      <c r="G26" s="2281"/>
      <c r="H26" s="680" t="s">
        <v>2363</v>
      </c>
      <c r="I26" s="681" t="s">
        <v>958</v>
      </c>
      <c r="J26" s="682">
        <f ca="1">IF(J5&lt;&gt;0,ROUND(J25*(1-((1+M28)/(1+M26))^M27)/(M26-M28),0),0)</f>
        <v>0</v>
      </c>
      <c r="K26" s="709" t="s">
        <v>371</v>
      </c>
      <c r="L26" s="683" t="s">
        <v>372</v>
      </c>
      <c r="M26" s="693">
        <f ca="1">INDIRECT("'数据-取费表'!I"&amp;$G$1)</f>
        <v>0</v>
      </c>
    </row>
    <row r="27" spans="1:37" ht="18" customHeight="1">
      <c r="A27" s="2431" t="s">
        <v>2383</v>
      </c>
      <c r="B27" s="683" t="s">
        <v>373</v>
      </c>
      <c r="C27" s="313">
        <f ca="1">ROUND(F21*F26,4)</f>
        <v>0</v>
      </c>
      <c r="D27" s="708" t="s">
        <v>960</v>
      </c>
      <c r="E27" s="703"/>
      <c r="F27" s="704"/>
      <c r="G27" s="2281"/>
      <c r="H27" s="685"/>
      <c r="I27" s="686"/>
      <c r="J27" s="687"/>
      <c r="K27" s="717" t="s">
        <v>961</v>
      </c>
      <c r="L27" s="683" t="s">
        <v>379</v>
      </c>
      <c r="M27" s="718">
        <f ca="1">INDIRECT("'数据-取费表'!ag"&amp;$G$1)</f>
        <v>0</v>
      </c>
    </row>
    <row r="28" spans="1:37" s="705" customFormat="1" ht="18" customHeight="1">
      <c r="A28" s="2431" t="s">
        <v>2385</v>
      </c>
      <c r="B28" s="683" t="s">
        <v>374</v>
      </c>
      <c r="C28" s="313">
        <f>ROUND(F28/(1+'数据-取费表'!C42),4)</f>
        <v>5.33E-2</v>
      </c>
      <c r="D28" s="708" t="s">
        <v>967</v>
      </c>
      <c r="E28" s="683" t="s">
        <v>363</v>
      </c>
      <c r="F28" s="706">
        <f>'数据-取费表'!B41</f>
        <v>5.6000000000000001E-2</v>
      </c>
      <c r="G28" s="2282"/>
      <c r="H28" s="689"/>
      <c r="I28" s="690"/>
      <c r="J28" s="691"/>
      <c r="K28" s="712"/>
      <c r="L28" s="683" t="s">
        <v>380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1" t="s">
        <v>2386</v>
      </c>
      <c r="B29" s="2672" t="s">
        <v>969</v>
      </c>
      <c r="C29" s="2673">
        <f ca="1">ROUND((C19+C20+C23+C26)/(1-F21-C24-C27-C28),0)</f>
        <v>0</v>
      </c>
      <c r="D29" s="2674"/>
      <c r="E29" s="2672"/>
      <c r="F29" s="2675"/>
      <c r="G29" s="2282"/>
      <c r="H29" s="719" t="s">
        <v>2370</v>
      </c>
      <c r="I29" s="720" t="s">
        <v>962</v>
      </c>
      <c r="J29" s="721">
        <f ca="1">ROUND(J26/(1+F40)^F41,0)</f>
        <v>0</v>
      </c>
      <c r="K29" s="722" t="s">
        <v>963</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59" t="s">
        <v>2345</v>
      </c>
      <c r="B30" s="2660" t="s">
        <v>927</v>
      </c>
      <c r="C30" s="691">
        <f ca="1">ROUND(C31+C36+C37+C38,0)</f>
        <v>0</v>
      </c>
      <c r="D30" s="2669" t="s">
        <v>928</v>
      </c>
      <c r="E30" s="2670"/>
      <c r="F30" s="2621"/>
      <c r="G30" s="2281"/>
      <c r="H30" s="1277"/>
      <c r="I30" s="1278"/>
      <c r="J30" s="1279"/>
      <c r="K30" s="1280"/>
      <c r="L30" s="1281"/>
      <c r="M30" s="1282"/>
    </row>
    <row r="31" spans="1:37" ht="18" customHeight="1">
      <c r="A31" s="2431" t="s">
        <v>2380</v>
      </c>
      <c r="B31" s="683" t="s">
        <v>361</v>
      </c>
      <c r="C31" s="313">
        <f ca="1">ROUND(IF(项目基本情况!B11="自然人",C5*F31,C32+C33+C34),0)</f>
        <v>0</v>
      </c>
      <c r="D31" s="2712" t="s">
        <v>931</v>
      </c>
      <c r="E31" s="2713" t="s">
        <v>970</v>
      </c>
      <c r="F31" s="707">
        <f ca="1">IF(项目基本情况!B11="企业","",IF(INDIRECT("'数据-取费表'!c"&amp;$G$1)="住宅",5%,IF(F6*F7*F8/12/(1+'数据-取费表'!C42)&gt;20000,12%,7%)))</f>
        <v>7.0000000000000007E-2</v>
      </c>
      <c r="G31" s="2281"/>
      <c r="H31" s="1277"/>
      <c r="I31" s="1278"/>
      <c r="J31" s="1279"/>
      <c r="K31" s="1280"/>
      <c r="L31" s="1281"/>
      <c r="M31" s="1282"/>
    </row>
    <row r="32" spans="1:37" ht="18" customHeight="1">
      <c r="A32" s="2431" t="s">
        <v>2377</v>
      </c>
      <c r="B32" s="683" t="s">
        <v>933</v>
      </c>
      <c r="C32" s="313">
        <f ca="1">IF(项目基本情况!B11="自然人","——",ROUND(C5*F32/(1+'数据-取费表'!C42),0))</f>
        <v>0</v>
      </c>
      <c r="D32" s="2713" t="s">
        <v>934</v>
      </c>
      <c r="E32" s="683" t="s">
        <v>363</v>
      </c>
      <c r="F32" s="716">
        <f>'数据-取费表'!B41</f>
        <v>5.6000000000000001E-2</v>
      </c>
      <c r="G32" s="2281"/>
      <c r="H32" s="1283"/>
      <c r="I32" s="1284"/>
      <c r="J32" s="1285"/>
      <c r="K32" s="1286"/>
      <c r="L32" s="1287"/>
      <c r="M32" s="1288"/>
    </row>
    <row r="33" spans="1:18" ht="18" customHeight="1">
      <c r="A33" s="2431" t="s">
        <v>2613</v>
      </c>
      <c r="B33" s="683" t="s">
        <v>936</v>
      </c>
      <c r="C33" s="313">
        <f ca="1">IF(项目基本情况!B11="自然人","——",IF(D33="按租金收入计税",ROUND(C5*F33,0),IF(D33="按房产原值计税",ROUND(C29*F33*0.7,0),INDIRECT("'数据-取费表'!Aj"&amp;$G$1))))</f>
        <v>0</v>
      </c>
      <c r="D33" s="1300" t="s">
        <v>2420</v>
      </c>
      <c r="E33" s="683" t="s">
        <v>363</v>
      </c>
      <c r="F33" s="706">
        <f>IF(D33="按票据","——",IF(D33="按租金收入计税",'数据-取费表'!B51,'数据-取费表'!B50))</f>
        <v>1.2E-2</v>
      </c>
      <c r="G33" s="2281"/>
      <c r="H33" s="1289"/>
      <c r="I33" s="2877"/>
      <c r="J33" s="2878"/>
      <c r="K33" s="1290"/>
      <c r="L33" s="1289"/>
      <c r="M33" s="1289"/>
    </row>
    <row r="34" spans="1:18" ht="18" customHeight="1">
      <c r="A34" s="2615" t="s">
        <v>2614</v>
      </c>
      <c r="B34" s="495" t="s">
        <v>938</v>
      </c>
      <c r="C34" s="314">
        <f ca="1">IF(项目基本情况!B11="自然人","——",ROUND(F34*F35,))</f>
        <v>0</v>
      </c>
      <c r="D34" s="709" t="s">
        <v>939</v>
      </c>
      <c r="E34" s="683" t="s">
        <v>940</v>
      </c>
      <c r="F34" s="710">
        <f>'数据-取费表'!B52</f>
        <v>7</v>
      </c>
      <c r="G34" s="2281"/>
      <c r="H34" s="1277"/>
      <c r="I34" s="2877"/>
      <c r="J34" s="2878"/>
      <c r="K34" s="1291"/>
      <c r="L34" s="1292"/>
      <c r="M34" s="1292"/>
    </row>
    <row r="35" spans="1:18" ht="18" customHeight="1">
      <c r="A35" s="2689"/>
      <c r="B35" s="2687"/>
      <c r="C35" s="318"/>
      <c r="D35" s="712"/>
      <c r="E35" s="683" t="s">
        <v>944</v>
      </c>
      <c r="F35" s="684">
        <f ca="1">INDIRECT("'数据-取费表'!r"&amp;$G$1)</f>
        <v>0</v>
      </c>
      <c r="G35" s="2281"/>
      <c r="H35" s="1277"/>
      <c r="I35" s="2877"/>
      <c r="J35" s="2878"/>
      <c r="K35" s="1290"/>
      <c r="L35" s="1289"/>
      <c r="M35" s="1289"/>
    </row>
    <row r="36" spans="1:18" ht="18" customHeight="1">
      <c r="A36" s="2688" t="s">
        <v>2387</v>
      </c>
      <c r="B36" s="683" t="s">
        <v>946</v>
      </c>
      <c r="C36" s="313">
        <f ca="1">ROUND(C29*F36,0)</f>
        <v>0</v>
      </c>
      <c r="D36" s="2713" t="s">
        <v>976</v>
      </c>
      <c r="E36" s="683" t="s">
        <v>363</v>
      </c>
      <c r="F36" s="713">
        <f ca="1">INDIRECT("'数据-取费表'!Ak"&amp;$G$1)</f>
        <v>0</v>
      </c>
      <c r="G36" s="2281"/>
      <c r="H36" s="1289"/>
      <c r="I36" s="2877"/>
      <c r="J36" s="2878"/>
      <c r="K36" s="1293"/>
      <c r="L36" s="1289"/>
      <c r="M36" s="1289"/>
    </row>
    <row r="37" spans="1:18" ht="18" customHeight="1">
      <c r="A37" s="2431" t="s">
        <v>2618</v>
      </c>
      <c r="B37" s="683" t="s">
        <v>366</v>
      </c>
      <c r="C37" s="313">
        <f ca="1">ROUND(C13*F37,0)</f>
        <v>0</v>
      </c>
      <c r="D37" s="2713" t="s">
        <v>367</v>
      </c>
      <c r="E37" s="683" t="s">
        <v>363</v>
      </c>
      <c r="F37" s="715">
        <f ca="1">INDIRECT("'数据-取费表'!Al"&amp;$G$1)</f>
        <v>0</v>
      </c>
      <c r="G37" s="2281"/>
      <c r="H37" s="1289"/>
      <c r="I37" s="2877"/>
      <c r="J37" s="2878"/>
      <c r="K37" s="1293"/>
      <c r="L37" s="1289"/>
      <c r="M37" s="1289"/>
    </row>
    <row r="38" spans="1:18" ht="18" customHeight="1" thickBot="1">
      <c r="A38" s="2671" t="s">
        <v>2619</v>
      </c>
      <c r="B38" s="2672" t="s">
        <v>365</v>
      </c>
      <c r="C38" s="2673">
        <f ca="1">ROUND(C5*F38,1)</f>
        <v>0</v>
      </c>
      <c r="D38" s="2674" t="s">
        <v>369</v>
      </c>
      <c r="E38" s="2672" t="s">
        <v>363</v>
      </c>
      <c r="F38" s="2668">
        <f ca="1">INDIRECT("'数据-取费表'!Am"&amp;$G$1)</f>
        <v>0</v>
      </c>
      <c r="G38" s="2281"/>
      <c r="H38" s="1289"/>
      <c r="I38" s="2877"/>
      <c r="J38" s="2878"/>
      <c r="K38" s="1294"/>
      <c r="L38" s="1289"/>
      <c r="M38" s="1289"/>
    </row>
    <row r="39" spans="1:18" ht="24.6" customHeight="1" thickTop="1">
      <c r="A39" s="2659" t="s">
        <v>2360</v>
      </c>
      <c r="B39" s="2676" t="s">
        <v>375</v>
      </c>
      <c r="C39" s="691">
        <f ca="1">C5-C30</f>
        <v>0</v>
      </c>
      <c r="D39" s="2677" t="s">
        <v>376</v>
      </c>
      <c r="E39" s="2678"/>
      <c r="F39" s="2679"/>
      <c r="G39" s="2281"/>
      <c r="H39" s="1289"/>
      <c r="I39" s="2877"/>
      <c r="J39" s="2878"/>
      <c r="K39" s="1294"/>
      <c r="L39" s="1289"/>
      <c r="M39" s="1289"/>
    </row>
    <row r="40" spans="1:18" ht="18" customHeight="1">
      <c r="A40" s="680" t="s">
        <v>2363</v>
      </c>
      <c r="B40" s="681" t="s">
        <v>377</v>
      </c>
      <c r="C40" s="682" t="e">
        <f ca="1">ROUND(C39*(1-((1+F42)/(1+F40))^F41)/(F40-F42),0)</f>
        <v>#DIV/0!</v>
      </c>
      <c r="D40" s="709" t="s">
        <v>371</v>
      </c>
      <c r="E40" s="683" t="s">
        <v>372</v>
      </c>
      <c r="F40" s="693">
        <f ca="1">INDIRECT("'数据-取费表'!I"&amp;$G$1)</f>
        <v>0</v>
      </c>
      <c r="G40" s="2281"/>
      <c r="H40" s="1295"/>
      <c r="I40" s="2877"/>
      <c r="J40" s="2878"/>
      <c r="K40" s="1294"/>
      <c r="L40" s="1295"/>
      <c r="M40" s="1295"/>
    </row>
    <row r="41" spans="1:18" ht="18" customHeight="1">
      <c r="A41" s="685"/>
      <c r="B41" s="686"/>
      <c r="C41" s="687"/>
      <c r="D41" s="717" t="s">
        <v>378</v>
      </c>
      <c r="E41" s="683" t="s">
        <v>379</v>
      </c>
      <c r="F41" s="718">
        <f ca="1">IF(INDIRECT("'数据-取费表'!af"&amp;$G$1)=0,INDIRECT("'数据-取费表'!ae"&amp;$G$1),INDIRECT("'数据-取费表'!af"&amp;$G$1))</f>
        <v>48.49</v>
      </c>
      <c r="G41" s="2281"/>
      <c r="H41" s="1191"/>
      <c r="I41" s="2877"/>
      <c r="J41" s="2878"/>
      <c r="K41" s="1293"/>
      <c r="L41" s="1191"/>
      <c r="M41" s="1191"/>
    </row>
    <row r="42" spans="1:18" ht="18" customHeight="1">
      <c r="A42" s="689"/>
      <c r="B42" s="690"/>
      <c r="C42" s="691"/>
      <c r="D42" s="712"/>
      <c r="E42" s="683" t="s">
        <v>380</v>
      </c>
      <c r="F42" s="693">
        <f ca="1">INDIRECT("'数据-取费表'!v"&amp;$G$1)</f>
        <v>0</v>
      </c>
      <c r="G42" s="2281"/>
      <c r="H42" s="1191"/>
      <c r="I42" s="2877"/>
      <c r="J42" s="2878"/>
      <c r="K42" s="1293"/>
      <c r="L42" s="1191"/>
      <c r="M42" s="1191"/>
    </row>
    <row r="43" spans="1:18" ht="18" customHeight="1" thickBot="1">
      <c r="A43" s="719" t="s">
        <v>2370</v>
      </c>
      <c r="B43" s="720" t="s">
        <v>381</v>
      </c>
      <c r="C43" s="721" t="e">
        <f ca="1">ROUND(C40/F43,0)</f>
        <v>#DIV/0!</v>
      </c>
      <c r="D43" s="722" t="s">
        <v>382</v>
      </c>
      <c r="E43" s="723" t="s">
        <v>383</v>
      </c>
      <c r="F43" s="724">
        <f ca="1">INDIRECT("'数据-取费表'!k"&amp;$G$1)</f>
        <v>0</v>
      </c>
      <c r="G43" s="2281"/>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0" t="e">
        <f ca="1">C68-C40</f>
        <v>#DIV/0!</v>
      </c>
      <c r="D45" s="2721" t="s">
        <v>2629</v>
      </c>
      <c r="E45" s="1432"/>
      <c r="F45" s="1432"/>
      <c r="O45" s="2584" t="s">
        <v>2493</v>
      </c>
      <c r="P45" s="1295"/>
      <c r="Q45" s="1295"/>
      <c r="R45" s="1295"/>
    </row>
    <row r="46" spans="1:18" s="1454" customFormat="1" ht="21" thickBot="1">
      <c r="A46" s="2389" t="s">
        <v>2332</v>
      </c>
      <c r="B46" s="2390"/>
      <c r="C46" s="2718" t="e">
        <f ca="1">ROUND(C45/10000,0)</f>
        <v>#DIV/0!</v>
      </c>
      <c r="D46" s="2719" t="str">
        <f>C2</f>
        <v>万元</v>
      </c>
      <c r="I46" s="2571" t="s">
        <v>2428</v>
      </c>
      <c r="J46" s="2572"/>
      <c r="K46" s="2573"/>
      <c r="L46" s="2575" t="e">
        <f ca="1">IF(M47="住宅",0,IF(L48&gt;J51,L60,J60))</f>
        <v>#DIV/0!</v>
      </c>
      <c r="O46" s="2587" t="s">
        <v>2471</v>
      </c>
      <c r="P46" s="2588" t="s">
        <v>2472</v>
      </c>
      <c r="Q46" s="2589" t="s">
        <v>2470</v>
      </c>
      <c r="R46" s="2589" t="s">
        <v>2473</v>
      </c>
    </row>
    <row r="47" spans="1:18" s="1454" customFormat="1" ht="15.75" thickBot="1">
      <c r="A47" s="2391" t="s">
        <v>911</v>
      </c>
      <c r="B47" s="2427" t="s">
        <v>912</v>
      </c>
      <c r="C47" s="2427" t="s">
        <v>913</v>
      </c>
      <c r="D47" s="2427" t="s">
        <v>914</v>
      </c>
      <c r="E47" s="2530" t="s">
        <v>915</v>
      </c>
      <c r="F47" s="2531"/>
      <c r="G47" s="1456"/>
      <c r="I47" s="2546" t="s">
        <v>2421</v>
      </c>
      <c r="J47" s="2547"/>
      <c r="K47" s="2556" t="s">
        <v>2444</v>
      </c>
      <c r="L47" s="2557">
        <f ca="1">INDIRECT("'数据-取费表'!d"&amp;$G$1)</f>
        <v>0</v>
      </c>
      <c r="M47" s="2577" t="str">
        <f>IF(ISNUMBER(FIND("住宅",C1)),"住宅","非住宅")</f>
        <v>非住宅</v>
      </c>
      <c r="O47" s="2580" t="s">
        <v>2456</v>
      </c>
      <c r="P47" s="2590" t="s">
        <v>2474</v>
      </c>
      <c r="Q47" s="2581" t="e">
        <f ca="1">C40+J29</f>
        <v>#DIV/0!</v>
      </c>
      <c r="R47" s="2581" t="s">
        <v>2475</v>
      </c>
    </row>
    <row r="48" spans="1:18" s="1454" customFormat="1" ht="47.25" thickBot="1">
      <c r="A48" s="2704" t="s">
        <v>2624</v>
      </c>
      <c r="B48" s="681" t="s">
        <v>2339</v>
      </c>
      <c r="C48" s="2714">
        <f ca="1">C49+C53+C55</f>
        <v>0</v>
      </c>
      <c r="D48" s="2708"/>
      <c r="E48" s="2709"/>
      <c r="F48" s="2411"/>
      <c r="G48" s="1456"/>
      <c r="H48" s="1457"/>
      <c r="I48" s="2537" t="s">
        <v>2422</v>
      </c>
      <c r="J48" s="2548"/>
      <c r="K48" s="2558" t="s">
        <v>681</v>
      </c>
      <c r="L48" s="2161">
        <f ca="1">INDIRECT("'数据-取费表'!f"&amp;$G$1)</f>
        <v>0</v>
      </c>
      <c r="O48" s="2580" t="s">
        <v>2457</v>
      </c>
      <c r="P48" s="2590" t="s">
        <v>2476</v>
      </c>
      <c r="Q48" s="2581" t="e">
        <f ca="1">J60</f>
        <v>#DIV/0!</v>
      </c>
      <c r="R48" s="2581" t="s">
        <v>2484</v>
      </c>
    </row>
    <row r="49" spans="1:18" s="1454" customFormat="1" ht="15.75" thickBot="1">
      <c r="A49" s="2424" t="s">
        <v>2625</v>
      </c>
      <c r="B49" s="2707" t="s">
        <v>2627</v>
      </c>
      <c r="C49" s="2716">
        <f ca="1">ROUND(F49*F51*F50*(1-F52),0)</f>
        <v>0</v>
      </c>
      <c r="D49" s="2526" t="s">
        <v>2340</v>
      </c>
      <c r="E49" s="2529" t="s">
        <v>2333</v>
      </c>
      <c r="F49" s="2532"/>
      <c r="G49" s="1458"/>
      <c r="H49" s="1457"/>
      <c r="I49" s="2537" t="s">
        <v>2442</v>
      </c>
      <c r="J49" s="2549"/>
      <c r="K49" s="2559" t="s">
        <v>2447</v>
      </c>
      <c r="L49" s="2560"/>
      <c r="O49" s="2582" t="s">
        <v>2458</v>
      </c>
      <c r="P49" s="2590" t="s">
        <v>2477</v>
      </c>
      <c r="Q49" s="2581">
        <f ca="1">C29</f>
        <v>0</v>
      </c>
      <c r="R49" s="2581" t="s">
        <v>2475</v>
      </c>
    </row>
    <row r="50" spans="1:18" s="1454" customFormat="1" ht="15.75" thickBot="1">
      <c r="A50" s="2425"/>
      <c r="B50" s="2428"/>
      <c r="C50" s="2429"/>
      <c r="D50" s="2398"/>
      <c r="E50" s="2527" t="s">
        <v>917</v>
      </c>
      <c r="F50" s="2528">
        <f ca="1">F7</f>
        <v>0</v>
      </c>
      <c r="H50" s="1457"/>
      <c r="I50" s="2537" t="s">
        <v>2424</v>
      </c>
      <c r="J50" s="2550">
        <f>SUMPRODUCT((I63:I65=J47)*(J62:L62=J48)*(J63:L65))</f>
        <v>0</v>
      </c>
      <c r="K50" s="2559" t="s">
        <v>2448</v>
      </c>
      <c r="L50" s="2560"/>
      <c r="M50" s="2554"/>
      <c r="O50" s="2582" t="s">
        <v>2459</v>
      </c>
      <c r="P50" s="2590" t="s">
        <v>2485</v>
      </c>
      <c r="Q50" s="2583" t="e">
        <f ca="1">J58</f>
        <v>#DIV/0!</v>
      </c>
      <c r="R50" s="2581"/>
    </row>
    <row r="51" spans="1:18" s="1454" customFormat="1" ht="15.75" thickBot="1">
      <c r="A51" s="2426"/>
      <c r="B51" s="2428"/>
      <c r="C51" s="2429"/>
      <c r="D51" s="2398"/>
      <c r="E51" s="2430" t="s">
        <v>918</v>
      </c>
      <c r="F51" s="684">
        <f ca="1">F8</f>
        <v>0</v>
      </c>
      <c r="I51" s="2551" t="s">
        <v>2429</v>
      </c>
      <c r="J51" s="2552">
        <f>IF(J49="",J50,J49+J50-YEAR('数据-取费表'!B2))</f>
        <v>0</v>
      </c>
      <c r="K51" s="2561" t="s">
        <v>2449</v>
      </c>
      <c r="L51" s="2574">
        <f ca="1">ROUND(-PV(INDIRECT("'数据-取费表'!h"&amp;$G$1),L48,(C39-C13*C76),0),0)</f>
        <v>0</v>
      </c>
      <c r="M51" s="2555"/>
      <c r="O51" s="2582" t="s">
        <v>2460</v>
      </c>
      <c r="P51" s="2590" t="s">
        <v>2486</v>
      </c>
      <c r="Q51" s="2583">
        <f>J52</f>
        <v>0</v>
      </c>
      <c r="R51" s="2581"/>
    </row>
    <row r="52" spans="1:18" s="1454" customFormat="1" ht="15.75" thickBot="1">
      <c r="A52" s="2426"/>
      <c r="B52" s="2428"/>
      <c r="C52" s="2429"/>
      <c r="D52" s="2398"/>
      <c r="E52" s="2430" t="s">
        <v>919</v>
      </c>
      <c r="F52" s="2525"/>
      <c r="I52" s="2553" t="s">
        <v>2452</v>
      </c>
      <c r="J52" s="2567"/>
      <c r="K52" s="2553" t="s">
        <v>2437</v>
      </c>
      <c r="L52" s="2567"/>
      <c r="M52" s="2390"/>
      <c r="O52" s="2582" t="s">
        <v>2461</v>
      </c>
      <c r="P52" s="2590" t="s">
        <v>2478</v>
      </c>
      <c r="Q52" s="2581">
        <f ca="1">J53</f>
        <v>0</v>
      </c>
      <c r="R52" s="2581" t="s">
        <v>2479</v>
      </c>
    </row>
    <row r="53" spans="1:18" s="1454" customFormat="1" ht="43.5" thickBot="1">
      <c r="A53" s="2705" t="s">
        <v>2626</v>
      </c>
      <c r="B53" s="2706" t="s">
        <v>2536</v>
      </c>
      <c r="C53" s="697">
        <f ca="1">ROUND(IF(F53="押一",F49*F51*F50/12*F11,IF(F53="押二",F49*F51*F50/12*2*F11,IF(F53="押三",F49*F51*F50/12*3*F11,C54*F11))),0)</f>
        <v>0</v>
      </c>
      <c r="D53" s="2627" t="s">
        <v>2544</v>
      </c>
      <c r="E53" s="2090" t="s">
        <v>2538</v>
      </c>
      <c r="F53" s="2824"/>
      <c r="I53" s="2563" t="s">
        <v>2454</v>
      </c>
      <c r="J53" s="2564">
        <f ca="1">IF(M47="住宅",J51,MIN(J51,L48))</f>
        <v>0</v>
      </c>
      <c r="K53" s="36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52"/>
      <c r="O53" s="2580" t="s">
        <v>2462</v>
      </c>
      <c r="P53" s="2590" t="s">
        <v>2480</v>
      </c>
      <c r="Q53" s="2581" t="e">
        <f ca="1">Q47+Q48</f>
        <v>#DIV/0!</v>
      </c>
      <c r="R53" s="2581" t="s">
        <v>2463</v>
      </c>
    </row>
    <row r="54" spans="1:18" s="1454" customFormat="1" ht="16.5" thickBot="1">
      <c r="A54" s="2424"/>
      <c r="B54" s="2821" t="s">
        <v>2701</v>
      </c>
      <c r="C54" s="2408"/>
      <c r="D54" s="2627"/>
      <c r="E54" s="2771"/>
      <c r="F54" s="2533"/>
      <c r="I54" s="2405"/>
      <c r="J54" s="2562"/>
      <c r="K54" s="2562"/>
      <c r="L54" s="2562"/>
      <c r="M54" s="1458"/>
      <c r="O54" s="2584" t="s">
        <v>2487</v>
      </c>
      <c r="P54" s="1295"/>
      <c r="Q54" s="1295"/>
      <c r="R54" s="1295"/>
    </row>
    <row r="55" spans="1:18" s="1454" customFormat="1" ht="15.75" thickBot="1">
      <c r="A55" s="2663" t="s">
        <v>2549</v>
      </c>
      <c r="B55" s="2664" t="s">
        <v>2537</v>
      </c>
      <c r="C55" s="2665"/>
      <c r="D55" s="2627"/>
      <c r="E55" s="2710"/>
      <c r="F55" s="2533"/>
      <c r="I55" s="3316" t="s">
        <v>2430</v>
      </c>
      <c r="J55" s="3315" t="e">
        <f ca="1">ROUND(IF(J47="钢混",J57/J50,1-(1-2%)*(J50-J57)/J50),3)</f>
        <v>#DIV/0!</v>
      </c>
      <c r="K55" s="2544" t="s">
        <v>2431</v>
      </c>
      <c r="L55" s="2566"/>
      <c r="O55" s="2587" t="s">
        <v>2471</v>
      </c>
      <c r="P55" s="2588" t="s">
        <v>2472</v>
      </c>
      <c r="Q55" s="2589" t="s">
        <v>2470</v>
      </c>
      <c r="R55" s="2589" t="s">
        <v>2473</v>
      </c>
    </row>
    <row r="56" spans="1:18" s="1454" customFormat="1" ht="44.25" thickTop="1" thickBot="1">
      <c r="A56" s="2402">
        <v>2</v>
      </c>
      <c r="B56" s="2403" t="s">
        <v>920</v>
      </c>
      <c r="C56" s="607">
        <f ca="1">C13</f>
        <v>0</v>
      </c>
      <c r="D56" s="2691"/>
      <c r="E56" s="2404"/>
      <c r="F56" s="2533"/>
      <c r="I56" s="2536" t="s">
        <v>2432</v>
      </c>
      <c r="J56" s="2565"/>
      <c r="K56" s="2537" t="s">
        <v>2436</v>
      </c>
      <c r="L56" s="2161">
        <f ca="1">IF(L48&lt;J51,"——",L48-J51)</f>
        <v>0</v>
      </c>
      <c r="O56" s="2580" t="s">
        <v>2456</v>
      </c>
      <c r="P56" s="2590" t="s">
        <v>2474</v>
      </c>
      <c r="Q56" s="2581" t="e">
        <f ca="1">C40+J29</f>
        <v>#DIV/0!</v>
      </c>
      <c r="R56" s="2581" t="s">
        <v>2475</v>
      </c>
    </row>
    <row r="57" spans="1:18" s="1454" customFormat="1" ht="29.25" thickBot="1">
      <c r="A57" s="2534"/>
      <c r="B57" s="2395" t="s">
        <v>969</v>
      </c>
      <c r="C57" s="613">
        <f ca="1">C29</f>
        <v>0</v>
      </c>
      <c r="D57" s="2406"/>
      <c r="E57" s="2407"/>
      <c r="F57" s="2535"/>
      <c r="I57" s="2538" t="s">
        <v>2453</v>
      </c>
      <c r="J57" s="2542">
        <f ca="1">IF(OR(M47="住宅",J51&lt;L48,J56="是"),"——",J51-L48)</f>
        <v>0</v>
      </c>
      <c r="K57" s="2537" t="s">
        <v>2446</v>
      </c>
      <c r="L57" s="2161">
        <f ca="1">IF(L48&lt;J51,"——",IF(L55="比较法",L49,IF(L55="基准地价",L50,L51)))</f>
        <v>0</v>
      </c>
      <c r="O57" s="2580" t="s">
        <v>2457</v>
      </c>
      <c r="P57" s="2590" t="s">
        <v>2481</v>
      </c>
      <c r="Q57" s="2581" t="e">
        <f ca="1">L60</f>
        <v>#DIV/0!</v>
      </c>
      <c r="R57" s="2581" t="s">
        <v>2496</v>
      </c>
    </row>
    <row r="58" spans="1:18" s="1454" customFormat="1" ht="29.25" thickBot="1">
      <c r="A58" s="696" t="s">
        <v>2345</v>
      </c>
      <c r="B58" s="2403" t="s">
        <v>927</v>
      </c>
      <c r="C58" s="697">
        <f ca="1">ROUND(C59+C64+C65+C66,0)</f>
        <v>0</v>
      </c>
      <c r="D58" s="2409" t="s">
        <v>928</v>
      </c>
      <c r="E58" s="2410"/>
      <c r="F58" s="2411"/>
      <c r="I58" s="2538" t="s">
        <v>2433</v>
      </c>
      <c r="J58" s="3317" t="e">
        <f ca="1">IF(J55&lt;0.4,0.4,J55)</f>
        <v>#DIV/0!</v>
      </c>
      <c r="K58" s="2561" t="s">
        <v>2455</v>
      </c>
      <c r="L58" s="2161">
        <f ca="1">IF(ISERROR(POWER(1+L52,L47-L48)*(POWER(1+L52,L48)-1)/(POWER(1+L52,L47)-1)),0,POWER(1+L52,L47-L48)*(POWER(1+L52,L48)-1)/(POWER(1+L52,L47)-1))</f>
        <v>0</v>
      </c>
      <c r="O58" s="2582" t="s">
        <v>2458</v>
      </c>
      <c r="P58" s="2590" t="s">
        <v>2488</v>
      </c>
      <c r="Q58" s="2581">
        <f>IF(L55="比较法",L49,IF(L55="基准地价",L50,0))</f>
        <v>0</v>
      </c>
      <c r="R58" s="2581" t="s">
        <v>2475</v>
      </c>
    </row>
    <row r="59" spans="1:18" s="1454" customFormat="1" ht="29.25" thickBot="1">
      <c r="A59" s="2431" t="s">
        <v>2380</v>
      </c>
      <c r="B59" s="2395" t="s">
        <v>361</v>
      </c>
      <c r="C59" s="313">
        <f ca="1">ROUND(IF(项目基本情况!B11="自然人",C48*F59,C60+C61+C62),0)</f>
        <v>0</v>
      </c>
      <c r="D59" s="2412" t="s">
        <v>931</v>
      </c>
      <c r="E59" s="2413" t="s">
        <v>932</v>
      </c>
      <c r="F59" s="707">
        <f ca="1">IF(项目基本情况!B11="企业","",IF(INDIRECT("'数据-取费表'!c"&amp;$G$1)="住宅",5%,IF(F49*F50*F51/12/(1+'数据-取费表'!C42)&gt;20000,12%,7%)))</f>
        <v>7.0000000000000007E-2</v>
      </c>
      <c r="I59" s="2538" t="s">
        <v>2434</v>
      </c>
      <c r="J59" s="2542" t="e">
        <f ca="1">IF(OR(M47="住宅",J51&lt;L48,J56="是"),"——",ROUND(C29*J58,0))</f>
        <v>#DIV/0!</v>
      </c>
      <c r="K59" s="2561" t="s">
        <v>2443</v>
      </c>
      <c r="L59" s="2161">
        <f ca="1">IF(ISERROR(POWER(1+L52,L47-J51)*(POWER(1+L52,J51)-1)/(POWER(1+L52,L47)-1)),0,POWER(1+L52,L47-J51)*(POWER(1+L52,J51)-1)/(POWER(1+L52,L47)-1))</f>
        <v>0</v>
      </c>
      <c r="O59" s="2582" t="s">
        <v>2459</v>
      </c>
      <c r="P59" s="2590" t="s">
        <v>2489</v>
      </c>
      <c r="Q59" s="2583">
        <f>L52</f>
        <v>0</v>
      </c>
      <c r="R59" s="2581"/>
    </row>
    <row r="60" spans="1:18" s="1454" customFormat="1" ht="20.25" thickBot="1">
      <c r="A60" s="2431" t="s">
        <v>2377</v>
      </c>
      <c r="B60" s="2395" t="s">
        <v>933</v>
      </c>
      <c r="C60" s="313">
        <f ca="1">IF(项目基本情况!B11="自然人","——",ROUND(C48*F60/(1+'数据-取费表'!C42),0))</f>
        <v>0</v>
      </c>
      <c r="D60" s="2413" t="s">
        <v>934</v>
      </c>
      <c r="E60" s="2395" t="s">
        <v>363</v>
      </c>
      <c r="F60" s="716">
        <f t="shared" ref="F60:F66" si="0">F32</f>
        <v>5.6000000000000001E-2</v>
      </c>
      <c r="I60" s="2539" t="s">
        <v>2435</v>
      </c>
      <c r="J60" s="2543" t="e">
        <f ca="1">IF(OR(M47="住宅",J51&lt;L48,J56="是"),"0",ROUND(J59/(1+J52)^J53,0))</f>
        <v>#DIV/0!</v>
      </c>
      <c r="K60" s="2545" t="s">
        <v>2438</v>
      </c>
      <c r="L60" s="2543" t="e">
        <f ca="1">IF(OR(M47="住宅",L48&lt;J51),0,ROUND(L57*(L58/L59-1),0))</f>
        <v>#DIV/0!</v>
      </c>
      <c r="O60" s="2582" t="s">
        <v>2460</v>
      </c>
      <c r="P60" s="2590" t="s">
        <v>2490</v>
      </c>
      <c r="Q60" s="2581">
        <f ca="1">L58</f>
        <v>0</v>
      </c>
      <c r="R60" s="2581" t="s">
        <v>2465</v>
      </c>
    </row>
    <row r="61" spans="1:18" s="1454" customFormat="1" ht="20.25" thickBot="1">
      <c r="A61" s="2431" t="s">
        <v>2378</v>
      </c>
      <c r="B61" s="2395" t="s">
        <v>936</v>
      </c>
      <c r="C61" s="313">
        <f ca="1">IF(项目基本情况!B11="自然人","——",IF(D61="按租金收入计税",ROUND(C48*F61,0),IF(D61="按房产原值计税",ROUND(C57*F61*0.7,0),INDIRECT("'数据-取费表'!Aj"&amp;$G$1))))</f>
        <v>0</v>
      </c>
      <c r="D61" s="1300" t="s">
        <v>2420</v>
      </c>
      <c r="E61" s="2395" t="s">
        <v>363</v>
      </c>
      <c r="F61" s="706">
        <f t="shared" si="0"/>
        <v>1.2E-2</v>
      </c>
      <c r="I61" s="2405"/>
      <c r="J61" s="2405"/>
      <c r="K61" s="2405"/>
      <c r="L61" s="2405"/>
      <c r="O61" s="2582" t="s">
        <v>2461</v>
      </c>
      <c r="P61" s="2590" t="s">
        <v>2491</v>
      </c>
      <c r="Q61" s="2581">
        <f ca="1">L59</f>
        <v>0</v>
      </c>
      <c r="R61" s="2581" t="s">
        <v>2466</v>
      </c>
    </row>
    <row r="62" spans="1:18" s="1454" customFormat="1" ht="15.75" thickBot="1">
      <c r="A62" s="2431" t="s">
        <v>2379</v>
      </c>
      <c r="B62" s="2394" t="s">
        <v>938</v>
      </c>
      <c r="C62" s="314">
        <f ca="1">IF(项目基本情况!B11="自然人","——",ROUND(F62*F63,0))</f>
        <v>0</v>
      </c>
      <c r="D62" s="2414" t="s">
        <v>939</v>
      </c>
      <c r="E62" s="2395" t="s">
        <v>940</v>
      </c>
      <c r="F62" s="710">
        <f t="shared" si="0"/>
        <v>7</v>
      </c>
      <c r="I62" s="2540" t="s">
        <v>2425</v>
      </c>
      <c r="J62" s="2541" t="s">
        <v>2426</v>
      </c>
      <c r="K62" s="2541" t="s">
        <v>2427</v>
      </c>
      <c r="L62" s="2541" t="s">
        <v>2423</v>
      </c>
      <c r="M62" s="3318" t="s">
        <v>3046</v>
      </c>
      <c r="O62" s="2580" t="s">
        <v>2462</v>
      </c>
      <c r="P62" s="2590" t="s">
        <v>2480</v>
      </c>
      <c r="Q62" s="2581" t="e">
        <f ca="1">Q56+Q57</f>
        <v>#DIV/0!</v>
      </c>
      <c r="R62" s="2581" t="s">
        <v>2463</v>
      </c>
    </row>
    <row r="63" spans="1:18" s="1454" customFormat="1" ht="16.5" thickBot="1">
      <c r="A63" s="711"/>
      <c r="B63" s="2401"/>
      <c r="C63" s="318"/>
      <c r="D63" s="2415"/>
      <c r="E63" s="2395" t="s">
        <v>944</v>
      </c>
      <c r="F63" s="684">
        <f t="shared" ca="1" si="0"/>
        <v>0</v>
      </c>
      <c r="I63" s="2540" t="s">
        <v>2439</v>
      </c>
      <c r="J63" s="3321">
        <v>70</v>
      </c>
      <c r="K63" s="3321">
        <v>50</v>
      </c>
      <c r="L63" s="3321">
        <v>80</v>
      </c>
      <c r="M63" s="3319">
        <v>0.02</v>
      </c>
      <c r="O63" s="2584" t="s">
        <v>2494</v>
      </c>
      <c r="P63" s="1295"/>
      <c r="Q63" s="1295"/>
      <c r="R63" s="1295"/>
    </row>
    <row r="64" spans="1:18" s="1454" customFormat="1" ht="15.75" thickBot="1">
      <c r="A64" s="2431" t="s">
        <v>2387</v>
      </c>
      <c r="B64" s="2395" t="s">
        <v>946</v>
      </c>
      <c r="C64" s="313">
        <f ca="1">ROUND(C57*F64,0)</f>
        <v>0</v>
      </c>
      <c r="D64" s="2413" t="s">
        <v>976</v>
      </c>
      <c r="E64" s="2395" t="s">
        <v>363</v>
      </c>
      <c r="F64" s="713">
        <f t="shared" ca="1" si="0"/>
        <v>0</v>
      </c>
      <c r="I64" s="2540" t="s">
        <v>107</v>
      </c>
      <c r="J64" s="3321">
        <v>50</v>
      </c>
      <c r="K64" s="3321">
        <v>35</v>
      </c>
      <c r="L64" s="3321">
        <v>60</v>
      </c>
      <c r="M64" s="3320">
        <v>0</v>
      </c>
      <c r="O64" s="2587" t="s">
        <v>2471</v>
      </c>
      <c r="P64" s="2588" t="s">
        <v>2472</v>
      </c>
      <c r="Q64" s="2589" t="s">
        <v>2470</v>
      </c>
      <c r="R64" s="2589" t="s">
        <v>2473</v>
      </c>
    </row>
    <row r="65" spans="1:18" s="1454" customFormat="1" ht="15.75" thickBot="1">
      <c r="A65" s="2431" t="s">
        <v>2381</v>
      </c>
      <c r="B65" s="2395" t="s">
        <v>366</v>
      </c>
      <c r="C65" s="313">
        <f ca="1">ROUND(C56*F65,0)</f>
        <v>0</v>
      </c>
      <c r="D65" s="2413" t="s">
        <v>367</v>
      </c>
      <c r="E65" s="2395" t="s">
        <v>363</v>
      </c>
      <c r="F65" s="715">
        <f t="shared" ca="1" si="0"/>
        <v>0</v>
      </c>
      <c r="I65" s="2540" t="s">
        <v>2441</v>
      </c>
      <c r="J65" s="3321">
        <v>40</v>
      </c>
      <c r="K65" s="3321">
        <v>30</v>
      </c>
      <c r="L65" s="3321">
        <v>50</v>
      </c>
      <c r="M65" s="3319">
        <v>0.02</v>
      </c>
      <c r="O65" s="2580" t="s">
        <v>2456</v>
      </c>
      <c r="P65" s="2590" t="s">
        <v>2474</v>
      </c>
      <c r="Q65" s="2581" t="e">
        <f ca="1">C40+J29</f>
        <v>#DIV/0!</v>
      </c>
      <c r="R65" s="2581" t="s">
        <v>2475</v>
      </c>
    </row>
    <row r="66" spans="1:18" s="1454" customFormat="1" ht="20.25" thickBot="1">
      <c r="A66" s="2431" t="s">
        <v>2382</v>
      </c>
      <c r="B66" s="2395" t="s">
        <v>365</v>
      </c>
      <c r="C66" s="313">
        <f ca="1">ROUND(C48*F66,0)</f>
        <v>0</v>
      </c>
      <c r="D66" s="2413" t="s">
        <v>369</v>
      </c>
      <c r="E66" s="2395" t="s">
        <v>363</v>
      </c>
      <c r="F66" s="693">
        <f t="shared" ca="1" si="0"/>
        <v>0</v>
      </c>
      <c r="O66" s="2580" t="s">
        <v>2457</v>
      </c>
      <c r="P66" s="2590" t="s">
        <v>2481</v>
      </c>
      <c r="Q66" s="2581" t="e">
        <f ca="1">L60</f>
        <v>#DIV/0!</v>
      </c>
      <c r="R66" s="2581" t="s">
        <v>2464</v>
      </c>
    </row>
    <row r="67" spans="1:18" s="1454" customFormat="1" ht="24.75" thickBot="1">
      <c r="A67" s="2402" t="s">
        <v>2360</v>
      </c>
      <c r="B67" s="2416" t="s">
        <v>375</v>
      </c>
      <c r="C67" s="697">
        <f ca="1">C48-C58</f>
        <v>0</v>
      </c>
      <c r="D67" s="2412" t="s">
        <v>376</v>
      </c>
      <c r="E67" s="2417"/>
      <c r="F67" s="2418"/>
      <c r="O67" s="2582" t="s">
        <v>2458</v>
      </c>
      <c r="P67" s="2590" t="s">
        <v>2488</v>
      </c>
      <c r="Q67" s="2585">
        <f ca="1">L51</f>
        <v>0</v>
      </c>
      <c r="R67" s="2586" t="s">
        <v>2498</v>
      </c>
    </row>
    <row r="68" spans="1:18" s="1454" customFormat="1" ht="20.25" thickBot="1">
      <c r="A68" s="2392" t="s">
        <v>2363</v>
      </c>
      <c r="B68" s="2393" t="s">
        <v>377</v>
      </c>
      <c r="C68" s="682" t="e">
        <f ca="1">ROUND(C67*(1-((1+F70)/(1+F68))^F69)/(F68-F70),0)</f>
        <v>#DIV/0!</v>
      </c>
      <c r="D68" s="2414" t="s">
        <v>371</v>
      </c>
      <c r="E68" s="2395" t="s">
        <v>372</v>
      </c>
      <c r="F68" s="693">
        <f ca="1">F40</f>
        <v>0</v>
      </c>
      <c r="O68" s="2582" t="s">
        <v>2459</v>
      </c>
      <c r="P68" s="2591" t="s">
        <v>2492</v>
      </c>
      <c r="Q68" s="2581">
        <f ca="1">ROUND(Q69-Q70*Q71,0)</f>
        <v>0</v>
      </c>
      <c r="R68" s="2581" t="s">
        <v>2497</v>
      </c>
    </row>
    <row r="69" spans="1:18" s="1454" customFormat="1" ht="15.75" thickBot="1">
      <c r="A69" s="2396"/>
      <c r="B69" s="2397"/>
      <c r="C69" s="687"/>
      <c r="D69" s="2419" t="s">
        <v>961</v>
      </c>
      <c r="E69" s="2395" t="s">
        <v>379</v>
      </c>
      <c r="F69" s="718">
        <f ca="1">F41</f>
        <v>48.49</v>
      </c>
      <c r="O69" s="2582" t="s">
        <v>2467</v>
      </c>
      <c r="P69" s="2591" t="s">
        <v>2482</v>
      </c>
      <c r="Q69" s="2581">
        <f ca="1">C39</f>
        <v>0</v>
      </c>
      <c r="R69" s="2581" t="s">
        <v>2475</v>
      </c>
    </row>
    <row r="70" spans="1:18" s="1454" customFormat="1" ht="15.75" thickBot="1">
      <c r="A70" s="2399"/>
      <c r="B70" s="2400"/>
      <c r="C70" s="691"/>
      <c r="D70" s="2415"/>
      <c r="E70" s="2395" t="s">
        <v>380</v>
      </c>
      <c r="F70" s="2525">
        <f ca="1">F42</f>
        <v>0</v>
      </c>
      <c r="O70" s="2582" t="s">
        <v>2468</v>
      </c>
      <c r="P70" s="2591" t="s">
        <v>2483</v>
      </c>
      <c r="Q70" s="2581">
        <f ca="1">C13</f>
        <v>0</v>
      </c>
      <c r="R70" s="2581" t="s">
        <v>2475</v>
      </c>
    </row>
    <row r="71" spans="1:18" s="1454" customFormat="1" ht="15.75" thickBot="1">
      <c r="A71" s="2420" t="s">
        <v>2370</v>
      </c>
      <c r="B71" s="2421" t="s">
        <v>381</v>
      </c>
      <c r="C71" s="721" t="e">
        <f ca="1">ROUND(C68/F71,0)</f>
        <v>#DIV/0!</v>
      </c>
      <c r="D71" s="2422" t="s">
        <v>382</v>
      </c>
      <c r="E71" s="2423" t="s">
        <v>383</v>
      </c>
      <c r="F71" s="724">
        <f ca="1">F43</f>
        <v>0</v>
      </c>
      <c r="I71" s="2390"/>
      <c r="K71" s="2390"/>
      <c r="O71" s="2582" t="s">
        <v>2469</v>
      </c>
      <c r="P71" s="2591" t="s">
        <v>2495</v>
      </c>
      <c r="Q71" s="2583">
        <f ca="1">C76</f>
        <v>0</v>
      </c>
      <c r="R71" s="2581"/>
    </row>
    <row r="72" spans="1:18" s="1454" customFormat="1" ht="15.75" thickBot="1">
      <c r="B72" s="1459"/>
      <c r="C72" s="1459"/>
      <c r="I72" s="2390"/>
      <c r="O72" s="2582" t="s">
        <v>2460</v>
      </c>
      <c r="P72" s="2590" t="s">
        <v>2489</v>
      </c>
      <c r="Q72" s="2583">
        <f>L52</f>
        <v>0</v>
      </c>
      <c r="R72" s="2581"/>
    </row>
    <row r="73" spans="1:18" ht="20.25" thickBot="1">
      <c r="A73" s="1454"/>
      <c r="B73" s="1459"/>
      <c r="C73" s="1459"/>
      <c r="D73" s="1454"/>
      <c r="E73" s="1454"/>
      <c r="F73" s="1454"/>
      <c r="I73" s="2576"/>
      <c r="O73" s="2582" t="s">
        <v>2461</v>
      </c>
      <c r="P73" s="2590" t="s">
        <v>2490</v>
      </c>
      <c r="Q73" s="2581">
        <f ca="1">L58</f>
        <v>0</v>
      </c>
      <c r="R73" s="2581" t="s">
        <v>2465</v>
      </c>
    </row>
    <row r="74" spans="1:18" ht="20.25" thickBot="1">
      <c r="A74" s="1454"/>
      <c r="B74" s="726" t="s">
        <v>384</v>
      </c>
      <c r="C74" s="727"/>
      <c r="D74" s="1454"/>
      <c r="E74" s="1454"/>
      <c r="F74" s="1454"/>
      <c r="O74" s="2582" t="s">
        <v>2499</v>
      </c>
      <c r="P74" s="2590" t="s">
        <v>2491</v>
      </c>
      <c r="Q74" s="2581">
        <f ca="1">L59</f>
        <v>0</v>
      </c>
      <c r="R74" s="2581" t="s">
        <v>2466</v>
      </c>
    </row>
    <row r="75" spans="1:18" ht="15.75" thickBot="1">
      <c r="A75" s="1454"/>
      <c r="B75" s="728" t="s">
        <v>974</v>
      </c>
      <c r="C75" s="729">
        <f ca="1">ROUND(C13*C76,0)</f>
        <v>0</v>
      </c>
      <c r="D75" s="1454"/>
      <c r="E75" s="1454"/>
      <c r="F75" s="1454"/>
      <c r="K75" s="1455"/>
      <c r="L75" s="1454"/>
      <c r="O75" s="2580" t="s">
        <v>2462</v>
      </c>
      <c r="P75" s="2590" t="s">
        <v>2480</v>
      </c>
      <c r="Q75" s="2581" t="e">
        <f ca="1">Q65+Q66</f>
        <v>#DIV/0!</v>
      </c>
      <c r="R75" s="2581" t="s">
        <v>2463</v>
      </c>
    </row>
    <row r="76" spans="1:18">
      <c r="B76" s="730" t="s">
        <v>975</v>
      </c>
      <c r="C76" s="731">
        <f ca="1">INDIRECT("'数据-取费表'!j"&amp;$G$1)</f>
        <v>0</v>
      </c>
      <c r="I76" s="1454"/>
      <c r="J76" s="1454"/>
      <c r="K76" s="1455"/>
      <c r="L76" s="1454"/>
    </row>
    <row r="77" spans="1:18">
      <c r="B77" s="732" t="s">
        <v>978</v>
      </c>
      <c r="C77" s="733"/>
      <c r="I77" s="1454"/>
      <c r="J77" s="1454"/>
      <c r="K77" s="1455"/>
      <c r="L77" s="1454"/>
    </row>
    <row r="78" spans="1:18">
      <c r="B78" s="645" t="s">
        <v>964</v>
      </c>
      <c r="C78" s="734"/>
    </row>
    <row r="79" spans="1:18">
      <c r="B79" s="2869" t="s">
        <v>2708</v>
      </c>
      <c r="C79" s="649" t="e">
        <f ca="1">1-C80</f>
        <v>#DIV/0!</v>
      </c>
    </row>
    <row r="80" spans="1:18">
      <c r="B80" s="2869" t="s">
        <v>2709</v>
      </c>
      <c r="C80" s="649" t="e">
        <f ca="1">ROUND(C75/C39,3)</f>
        <v>#DIV/0!</v>
      </c>
    </row>
    <row r="81" spans="2:3">
      <c r="B81" s="645" t="s">
        <v>385</v>
      </c>
      <c r="C81" s="646"/>
    </row>
    <row r="82" spans="2:3">
      <c r="B82" s="2868" t="s">
        <v>2706</v>
      </c>
      <c r="C82" s="650" t="e">
        <f ca="1">1-C83</f>
        <v>#DIV/0!</v>
      </c>
    </row>
    <row r="83" spans="2:3">
      <c r="B83" s="2868" t="s">
        <v>2705</v>
      </c>
      <c r="C83" s="649"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6" t="s">
        <v>2679</v>
      </c>
      <c r="B1" s="2777"/>
      <c r="C1" s="2777"/>
      <c r="D1" s="2777"/>
      <c r="E1" s="2778"/>
    </row>
    <row r="2" spans="1:5" ht="14.25">
      <c r="A2" s="2779" t="s">
        <v>2680</v>
      </c>
      <c r="B2" s="2773">
        <f ca="1">SUMIF(B6:B13,"&lt;&gt;#ref!",B6:B13)</f>
        <v>44350</v>
      </c>
      <c r="C2" s="2774" t="s">
        <v>2677</v>
      </c>
      <c r="D2" s="2775" t="s">
        <v>2682</v>
      </c>
      <c r="E2" s="2783">
        <f>SUM(E6:E13)</f>
        <v>88021.11</v>
      </c>
    </row>
    <row r="3" spans="1:5" ht="14.25">
      <c r="A3" s="2779" t="s">
        <v>2681</v>
      </c>
      <c r="B3" s="2773">
        <f ca="1">ROUND(B2*10000/E2,0)</f>
        <v>5039</v>
      </c>
      <c r="C3" s="2774" t="s">
        <v>2678</v>
      </c>
      <c r="D3" s="2780"/>
      <c r="E3" s="2784"/>
    </row>
    <row r="4" spans="1:5" ht="14.25">
      <c r="A4" s="2787"/>
      <c r="B4" s="2780"/>
      <c r="C4" s="2780"/>
      <c r="D4" s="2780"/>
      <c r="E4" s="2784"/>
    </row>
    <row r="5" spans="1:5">
      <c r="A5" s="2791" t="s">
        <v>2684</v>
      </c>
      <c r="B5" s="3653" t="s">
        <v>2686</v>
      </c>
      <c r="C5" s="3653"/>
      <c r="D5" s="2790"/>
      <c r="E5" s="2792" t="s">
        <v>2685</v>
      </c>
    </row>
    <row r="6" spans="1:5">
      <c r="A6" s="2788" t="str">
        <f>'数据-取费表'!AN6</f>
        <v>收益法</v>
      </c>
      <c r="B6" s="2782">
        <f ca="1">'数据-取费表'!AO6</f>
        <v>22175</v>
      </c>
      <c r="C6" s="2774" t="s">
        <v>2677</v>
      </c>
      <c r="D6" s="2780"/>
      <c r="E6" s="2783">
        <f>IF(A6=0,0,'数据-取费表'!K6+'数据-取费表'!S6)</f>
        <v>0</v>
      </c>
    </row>
    <row r="7" spans="1:5">
      <c r="A7" s="2788" t="str">
        <f>'数据-取费表'!AN7</f>
        <v>收益法</v>
      </c>
      <c r="B7" s="2782">
        <f ca="1">'数据-取费表'!AO7</f>
        <v>22175</v>
      </c>
      <c r="C7" s="2774" t="s">
        <v>2677</v>
      </c>
      <c r="D7" s="2780"/>
      <c r="E7" s="2783">
        <f>IF(A7=0,0,'数据-取费表'!K7+'数据-取费表'!S7)</f>
        <v>88021.11</v>
      </c>
    </row>
    <row r="8" spans="1:5">
      <c r="A8" s="2788">
        <f>'数据-取费表'!AN8</f>
        <v>0</v>
      </c>
      <c r="B8" s="2782" t="e">
        <f ca="1">'数据-取费表'!AO8</f>
        <v>#REF!</v>
      </c>
      <c r="C8" s="2774" t="s">
        <v>2677</v>
      </c>
      <c r="D8" s="2780"/>
      <c r="E8" s="2783">
        <f>IF(A8=0,0,'数据-取费表'!K8+'数据-取费表'!S8)</f>
        <v>0</v>
      </c>
    </row>
    <row r="9" spans="1:5">
      <c r="A9" s="2788">
        <f>'数据-取费表'!AN9</f>
        <v>0</v>
      </c>
      <c r="B9" s="2782" t="e">
        <f ca="1">'数据-取费表'!AO9</f>
        <v>#REF!</v>
      </c>
      <c r="C9" s="2774" t="s">
        <v>2677</v>
      </c>
      <c r="D9" s="2780"/>
      <c r="E9" s="2783">
        <f>IF(A9=0,0,'数据-取费表'!K9+'数据-取费表'!S9)</f>
        <v>0</v>
      </c>
    </row>
    <row r="10" spans="1:5">
      <c r="A10" s="2788">
        <f>'数据-取费表'!AN10</f>
        <v>0</v>
      </c>
      <c r="B10" s="2782" t="e">
        <f ca="1">'数据-取费表'!AO10</f>
        <v>#REF!</v>
      </c>
      <c r="C10" s="2774" t="s">
        <v>2677</v>
      </c>
      <c r="D10" s="2780"/>
      <c r="E10" s="2783">
        <f>IF(A10=0,0,'数据-取费表'!K10+'数据-取费表'!S10)</f>
        <v>0</v>
      </c>
    </row>
    <row r="11" spans="1:5">
      <c r="A11" s="2788">
        <f>'数据-取费表'!AN11</f>
        <v>0</v>
      </c>
      <c r="B11" s="2782" t="e">
        <f ca="1">'数据-取费表'!AO11</f>
        <v>#REF!</v>
      </c>
      <c r="C11" s="2774" t="s">
        <v>2677</v>
      </c>
      <c r="D11" s="2780"/>
      <c r="E11" s="2783">
        <f>IF(A11=0,0,'数据-取费表'!K11+'数据-取费表'!S11)</f>
        <v>0</v>
      </c>
    </row>
    <row r="12" spans="1:5">
      <c r="A12" s="2788">
        <f>'数据-取费表'!AN12</f>
        <v>0</v>
      </c>
      <c r="B12" s="2782" t="e">
        <f ca="1">'数据-取费表'!AO12</f>
        <v>#REF!</v>
      </c>
      <c r="C12" s="2774" t="s">
        <v>2677</v>
      </c>
      <c r="D12" s="2780"/>
      <c r="E12" s="2783">
        <f>IF(A12=0,0,'数据-取费表'!K12+'数据-取费表'!S12)</f>
        <v>0</v>
      </c>
    </row>
    <row r="13" spans="1:5" ht="14.25" thickBot="1">
      <c r="A13" s="2789">
        <f>'数据-取费表'!AN13</f>
        <v>0</v>
      </c>
      <c r="B13" s="2785" t="e">
        <f ca="1">'数据-取费表'!AO13</f>
        <v>#REF!</v>
      </c>
      <c r="C13" s="2793" t="s">
        <v>2677</v>
      </c>
      <c r="D13" s="2781"/>
      <c r="E13" s="2786">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70" t="s">
        <v>2553</v>
      </c>
      <c r="B1" s="3671"/>
      <c r="C1" s="3672"/>
      <c r="D1" s="3673">
        <f>SUM(I10,I15,I20,I21,I23)</f>
        <v>0</v>
      </c>
      <c r="E1" s="3673"/>
      <c r="F1" s="3673"/>
      <c r="G1" s="3673"/>
      <c r="H1" s="3673"/>
      <c r="I1" s="3674"/>
    </row>
    <row r="2" spans="1:9">
      <c r="A2" s="3660" t="s">
        <v>2554</v>
      </c>
      <c r="B2" s="3661" t="s">
        <v>2555</v>
      </c>
      <c r="C2" s="3661"/>
      <c r="D2" s="2631" t="s">
        <v>2556</v>
      </c>
      <c r="E2" s="2631" t="s">
        <v>2557</v>
      </c>
      <c r="F2" s="2631" t="s">
        <v>2558</v>
      </c>
      <c r="G2" s="2631" t="s">
        <v>2559</v>
      </c>
      <c r="H2" s="2631" t="s">
        <v>2560</v>
      </c>
      <c r="I2" s="2632" t="s">
        <v>2561</v>
      </c>
    </row>
    <row r="3" spans="1:9">
      <c r="A3" s="3660"/>
      <c r="B3" s="3661" t="s">
        <v>2562</v>
      </c>
      <c r="C3" s="3661"/>
      <c r="D3" s="2633"/>
      <c r="E3" s="2631"/>
      <c r="F3" s="2634"/>
      <c r="G3" s="2634"/>
      <c r="H3" s="2635"/>
      <c r="I3" s="2636">
        <f>ROUND(D3*E3*F3*G3*H3/10000,0)</f>
        <v>0</v>
      </c>
    </row>
    <row r="4" spans="1:9">
      <c r="A4" s="3660"/>
      <c r="B4" s="3661" t="s">
        <v>2563</v>
      </c>
      <c r="C4" s="3661"/>
      <c r="D4" s="2633"/>
      <c r="E4" s="2631"/>
      <c r="F4" s="2634"/>
      <c r="G4" s="2634"/>
      <c r="H4" s="2635"/>
      <c r="I4" s="2636">
        <f t="shared" ref="I4:I9" si="0">ROUND(D4*E4*F4*G4*H4/10000,0)</f>
        <v>0</v>
      </c>
    </row>
    <row r="5" spans="1:9">
      <c r="A5" s="3660"/>
      <c r="B5" s="3661" t="s">
        <v>2564</v>
      </c>
      <c r="C5" s="3661"/>
      <c r="D5" s="2633"/>
      <c r="E5" s="2631"/>
      <c r="F5" s="2634"/>
      <c r="G5" s="2634"/>
      <c r="H5" s="2635"/>
      <c r="I5" s="2636">
        <f t="shared" si="0"/>
        <v>0</v>
      </c>
    </row>
    <row r="6" spans="1:9">
      <c r="A6" s="3660"/>
      <c r="B6" s="3661" t="s">
        <v>2565</v>
      </c>
      <c r="C6" s="3661"/>
      <c r="D6" s="2633"/>
      <c r="E6" s="2631"/>
      <c r="F6" s="2634"/>
      <c r="G6" s="2634"/>
      <c r="H6" s="2635"/>
      <c r="I6" s="2636">
        <f t="shared" si="0"/>
        <v>0</v>
      </c>
    </row>
    <row r="7" spans="1:9">
      <c r="A7" s="3660"/>
      <c r="B7" s="3661" t="s">
        <v>2566</v>
      </c>
      <c r="C7" s="3661"/>
      <c r="D7" s="2633"/>
      <c r="E7" s="2631"/>
      <c r="F7" s="2634"/>
      <c r="G7" s="2634"/>
      <c r="H7" s="2635"/>
      <c r="I7" s="2636">
        <f t="shared" si="0"/>
        <v>0</v>
      </c>
    </row>
    <row r="8" spans="1:9">
      <c r="A8" s="3660"/>
      <c r="B8" s="3661" t="s">
        <v>2567</v>
      </c>
      <c r="C8" s="3661"/>
      <c r="D8" s="2633"/>
      <c r="E8" s="2631"/>
      <c r="F8" s="2634"/>
      <c r="G8" s="2634"/>
      <c r="H8" s="2635"/>
      <c r="I8" s="2636">
        <f t="shared" si="0"/>
        <v>0</v>
      </c>
    </row>
    <row r="9" spans="1:9">
      <c r="A9" s="3660"/>
      <c r="B9" s="3661" t="s">
        <v>2568</v>
      </c>
      <c r="C9" s="3661"/>
      <c r="D9" s="2633"/>
      <c r="E9" s="2631"/>
      <c r="F9" s="2634"/>
      <c r="G9" s="2634"/>
      <c r="H9" s="2635"/>
      <c r="I9" s="2636">
        <f t="shared" si="0"/>
        <v>0</v>
      </c>
    </row>
    <row r="10" spans="1:9">
      <c r="A10" s="3660"/>
      <c r="B10" s="3662" t="s">
        <v>2569</v>
      </c>
      <c r="C10" s="3662"/>
      <c r="D10" s="2637"/>
      <c r="E10" s="2637" t="e">
        <f>ROUND(D1*10000/D10/H9,0)</f>
        <v>#DIV/0!</v>
      </c>
      <c r="F10" s="2638"/>
      <c r="G10" s="2638"/>
      <c r="H10" s="2639"/>
      <c r="I10" s="2640">
        <f>SUM(I3:I9)</f>
        <v>0</v>
      </c>
    </row>
    <row r="11" spans="1:9" ht="14.25">
      <c r="A11" s="3660" t="s">
        <v>2570</v>
      </c>
      <c r="B11" s="3661" t="s">
        <v>2571</v>
      </c>
      <c r="C11" s="3661"/>
      <c r="D11" s="2633" t="s">
        <v>2572</v>
      </c>
      <c r="E11" s="2633" t="s">
        <v>2573</v>
      </c>
      <c r="F11" s="2634" t="s">
        <v>2574</v>
      </c>
      <c r="G11" s="2634" t="s">
        <v>2560</v>
      </c>
      <c r="H11" s="2641" t="s">
        <v>2575</v>
      </c>
      <c r="I11" s="2632" t="s">
        <v>2561</v>
      </c>
    </row>
    <row r="12" spans="1:9">
      <c r="A12" s="3660"/>
      <c r="B12" s="3661" t="s">
        <v>2576</v>
      </c>
      <c r="C12" s="3661"/>
      <c r="D12" s="2633"/>
      <c r="E12" s="2633"/>
      <c r="F12" s="2634"/>
      <c r="G12" s="2635"/>
      <c r="H12" s="2642"/>
      <c r="I12" s="2632">
        <f>ROUND(D12*E12*F12*G12/10000,0)</f>
        <v>0</v>
      </c>
    </row>
    <row r="13" spans="1:9">
      <c r="A13" s="3660"/>
      <c r="B13" s="3661" t="s">
        <v>2577</v>
      </c>
      <c r="C13" s="3661"/>
      <c r="D13" s="2633"/>
      <c r="E13" s="2633"/>
      <c r="F13" s="2634"/>
      <c r="G13" s="2635"/>
      <c r="H13" s="2642"/>
      <c r="I13" s="2632">
        <f>ROUND(D13*E13*F13*G13/10000,0)</f>
        <v>0</v>
      </c>
    </row>
    <row r="14" spans="1:9">
      <c r="A14" s="3660"/>
      <c r="B14" s="3661" t="s">
        <v>2578</v>
      </c>
      <c r="C14" s="3661"/>
      <c r="D14" s="2633"/>
      <c r="E14" s="2633"/>
      <c r="F14" s="2634"/>
      <c r="G14" s="2635"/>
      <c r="H14" s="2642"/>
      <c r="I14" s="2632">
        <f>ROUND(D14*E14*F14*G14/10000,0)</f>
        <v>0</v>
      </c>
    </row>
    <row r="15" spans="1:9">
      <c r="A15" s="3660"/>
      <c r="B15" s="3662" t="s">
        <v>2569</v>
      </c>
      <c r="C15" s="3662"/>
      <c r="D15" s="2637"/>
      <c r="E15" s="2637">
        <f>SUM(E12:E14)</f>
        <v>0</v>
      </c>
      <c r="F15" s="2638"/>
      <c r="G15" s="2635"/>
      <c r="H15" s="2642"/>
      <c r="I15" s="2643">
        <f>SUM(I12:I14)</f>
        <v>0</v>
      </c>
    </row>
    <row r="16" spans="1:9" ht="24">
      <c r="A16" s="3660" t="s">
        <v>2579</v>
      </c>
      <c r="B16" s="3661" t="s">
        <v>2580</v>
      </c>
      <c r="C16" s="3661"/>
      <c r="D16" s="2633" t="s">
        <v>2556</v>
      </c>
      <c r="E16" s="2644" t="s">
        <v>2581</v>
      </c>
      <c r="F16" s="2634" t="s">
        <v>2582</v>
      </c>
      <c r="G16" s="2635" t="s">
        <v>2560</v>
      </c>
      <c r="H16" s="2641" t="s">
        <v>2575</v>
      </c>
      <c r="I16" s="2632" t="s">
        <v>2561</v>
      </c>
    </row>
    <row r="17" spans="1:9" ht="14.25">
      <c r="A17" s="3660"/>
      <c r="B17" s="3661" t="s">
        <v>2583</v>
      </c>
      <c r="C17" s="3661"/>
      <c r="D17" s="2633"/>
      <c r="E17" s="2633"/>
      <c r="F17" s="2634"/>
      <c r="G17" s="2635"/>
      <c r="H17" s="2645"/>
      <c r="I17" s="2646">
        <f>ROUND(D17*E17*F17*G17/10000,0)</f>
        <v>0</v>
      </c>
    </row>
    <row r="18" spans="1:9" ht="14.25">
      <c r="A18" s="3660"/>
      <c r="B18" s="3661" t="s">
        <v>2584</v>
      </c>
      <c r="C18" s="3661"/>
      <c r="D18" s="2633"/>
      <c r="E18" s="2633"/>
      <c r="F18" s="2634"/>
      <c r="G18" s="2635"/>
      <c r="H18" s="2645"/>
      <c r="I18" s="2646">
        <f>ROUND(D18*E18*F18*G18/10000,0)</f>
        <v>0</v>
      </c>
    </row>
    <row r="19" spans="1:9" ht="14.25">
      <c r="A19" s="3660"/>
      <c r="B19" s="3661" t="s">
        <v>2585</v>
      </c>
      <c r="C19" s="3661"/>
      <c r="D19" s="2633"/>
      <c r="E19" s="2633"/>
      <c r="F19" s="2634"/>
      <c r="G19" s="2635"/>
      <c r="H19" s="2645"/>
      <c r="I19" s="2646">
        <f>ROUND(D19*E19*F19*G19/10000,0)</f>
        <v>0</v>
      </c>
    </row>
    <row r="20" spans="1:9">
      <c r="A20" s="3660"/>
      <c r="B20" s="3662" t="s">
        <v>2569</v>
      </c>
      <c r="C20" s="3662"/>
      <c r="D20" s="2637">
        <f>SUM(D17:D19)</f>
        <v>0</v>
      </c>
      <c r="E20" s="2637"/>
      <c r="F20" s="2638"/>
      <c r="G20" s="2635"/>
      <c r="H20" s="2642"/>
      <c r="I20" s="2643">
        <f>SUM(I17:I19)</f>
        <v>0</v>
      </c>
    </row>
    <row r="21" spans="1:9">
      <c r="A21" s="3660" t="s">
        <v>2586</v>
      </c>
      <c r="B21" s="3663"/>
      <c r="C21" s="3663"/>
      <c r="D21" s="3663"/>
      <c r="E21" s="3663"/>
      <c r="F21" s="3663"/>
      <c r="G21" s="3663"/>
      <c r="H21" s="3296">
        <v>0.1</v>
      </c>
      <c r="I21" s="2640">
        <f>ROUND(I10*H21,0)</f>
        <v>0</v>
      </c>
    </row>
    <row r="22" spans="1:9" ht="14.25">
      <c r="A22" s="3664" t="s">
        <v>2587</v>
      </c>
      <c r="B22" s="3665"/>
      <c r="C22" s="3666"/>
      <c r="D22" s="2647" t="s">
        <v>2588</v>
      </c>
      <c r="E22" s="2647" t="s">
        <v>2589</v>
      </c>
      <c r="F22" s="2648" t="s">
        <v>2590</v>
      </c>
      <c r="G22" s="2648" t="s">
        <v>2591</v>
      </c>
      <c r="H22" s="2641" t="s">
        <v>2592</v>
      </c>
      <c r="I22" s="2632" t="s">
        <v>2593</v>
      </c>
    </row>
    <row r="23" spans="1:9" ht="14.25" thickBot="1">
      <c r="A23" s="3667"/>
      <c r="B23" s="3668"/>
      <c r="C23" s="3669"/>
      <c r="D23" s="2649"/>
      <c r="E23" s="2649"/>
      <c r="F23" s="2649"/>
      <c r="G23" s="2650"/>
      <c r="H23" s="2651"/>
      <c r="I23" s="2652">
        <f>ROUND(E23*D23*F23*(1-G23)/10000,0)</f>
        <v>0</v>
      </c>
    </row>
    <row r="26" spans="1:9">
      <c r="A26" s="2653" t="s">
        <v>2594</v>
      </c>
      <c r="B26" s="2653"/>
      <c r="C26" s="2653"/>
      <c r="D26" s="2653"/>
      <c r="E26" s="3657">
        <f>C27-C30-C31-C32</f>
        <v>0</v>
      </c>
      <c r="F26" s="3657"/>
      <c r="G26" s="3657"/>
      <c r="H26" s="3248" t="s">
        <v>2967</v>
      </c>
    </row>
    <row r="27" spans="1:9">
      <c r="A27" s="2654">
        <v>1</v>
      </c>
      <c r="B27" s="2655" t="s">
        <v>2595</v>
      </c>
      <c r="C27" s="2655">
        <f>C28+C29</f>
        <v>0</v>
      </c>
      <c r="D27" s="2655"/>
      <c r="E27" s="3658"/>
      <c r="F27" s="3658"/>
      <c r="G27" s="3658"/>
    </row>
    <row r="28" spans="1:9">
      <c r="A28" s="2656" t="s">
        <v>2596</v>
      </c>
      <c r="B28" s="2655" t="s">
        <v>2597</v>
      </c>
      <c r="C28" s="2655"/>
      <c r="D28" s="2655"/>
      <c r="E28" s="3658"/>
      <c r="F28" s="3658"/>
      <c r="G28" s="3658"/>
    </row>
    <row r="29" spans="1:9">
      <c r="A29" s="2656" t="s">
        <v>2598</v>
      </c>
      <c r="B29" s="2655" t="s">
        <v>2599</v>
      </c>
      <c r="C29" s="2655"/>
      <c r="D29" s="2655"/>
      <c r="E29" s="2655" t="s">
        <v>2600</v>
      </c>
      <c r="F29" s="2655"/>
      <c r="G29" s="2655"/>
    </row>
    <row r="30" spans="1:9">
      <c r="A30" s="2654">
        <v>2</v>
      </c>
      <c r="B30" s="2655" t="s">
        <v>2601</v>
      </c>
      <c r="C30" s="2655">
        <f>C27*D30</f>
        <v>0</v>
      </c>
      <c r="D30" s="2657">
        <v>0.2</v>
      </c>
      <c r="E30" s="2655" t="s">
        <v>2602</v>
      </c>
      <c r="F30" s="2655"/>
      <c r="G30" s="2655"/>
    </row>
    <row r="31" spans="1:9">
      <c r="A31" s="2654">
        <v>3</v>
      </c>
      <c r="B31" s="2655" t="s">
        <v>2603</v>
      </c>
      <c r="C31" s="2655">
        <f>C25*D31</f>
        <v>0</v>
      </c>
      <c r="D31" s="2657">
        <v>0.15</v>
      </c>
      <c r="E31" s="2655" t="s">
        <v>2604</v>
      </c>
      <c r="F31" s="2655"/>
      <c r="G31" s="2655"/>
    </row>
    <row r="32" spans="1:9">
      <c r="A32" s="2654">
        <v>4</v>
      </c>
      <c r="B32" s="2655" t="s">
        <v>2605</v>
      </c>
      <c r="C32" s="2655">
        <f>C27*D32</f>
        <v>0</v>
      </c>
      <c r="D32" s="2657">
        <v>0.05</v>
      </c>
      <c r="E32" s="3659"/>
      <c r="F32" s="3659"/>
      <c r="G32" s="3659"/>
    </row>
    <row r="33" spans="1:7" hidden="1">
      <c r="A33" s="3654" t="s">
        <v>2606</v>
      </c>
      <c r="B33" s="3655"/>
      <c r="C33" s="3655"/>
      <c r="D33" s="3656"/>
      <c r="E33" s="3657"/>
      <c r="F33" s="3657"/>
      <c r="G33" s="3657"/>
    </row>
    <row r="34" spans="1:7" hidden="1">
      <c r="A34" s="2658">
        <v>1</v>
      </c>
      <c r="B34" s="2655" t="s">
        <v>2607</v>
      </c>
      <c r="C34" s="2655"/>
      <c r="D34" s="2655"/>
      <c r="E34" s="3658"/>
      <c r="F34" s="3658"/>
      <c r="G34" s="3658"/>
    </row>
    <row r="35" spans="1:7" hidden="1">
      <c r="A35" s="2658">
        <v>2</v>
      </c>
      <c r="B35" s="2655" t="s">
        <v>2608</v>
      </c>
      <c r="C35" s="2655"/>
      <c r="D35" s="2655"/>
      <c r="E35" s="3658"/>
      <c r="F35" s="3658"/>
      <c r="G35" s="3658"/>
    </row>
    <row r="36" spans="1:7" hidden="1">
      <c r="A36" s="2658">
        <v>3</v>
      </c>
      <c r="B36" s="2655" t="s">
        <v>2609</v>
      </c>
      <c r="C36" s="2655"/>
      <c r="D36" s="2655"/>
      <c r="E36" s="3658"/>
      <c r="F36" s="3658"/>
      <c r="G36" s="3658"/>
    </row>
    <row r="37" spans="1:7" hidden="1">
      <c r="A37" s="2658">
        <v>4</v>
      </c>
      <c r="B37" s="2655" t="s">
        <v>2610</v>
      </c>
      <c r="C37" s="2655"/>
      <c r="D37" s="2655"/>
      <c r="E37" s="3658"/>
      <c r="F37" s="3658"/>
      <c r="G37" s="3658"/>
    </row>
    <row r="38" spans="1:7" hidden="1">
      <c r="A38" s="3654" t="s">
        <v>2611</v>
      </c>
      <c r="B38" s="3655"/>
      <c r="C38" s="3655"/>
      <c r="D38" s="3656"/>
      <c r="E38" s="3657"/>
      <c r="F38" s="3657"/>
      <c r="G38" s="36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979</v>
      </c>
      <c r="B1" s="3098" t="s">
        <v>980</v>
      </c>
      <c r="C1" s="3099" t="s">
        <v>981</v>
      </c>
      <c r="D1" s="3100"/>
      <c r="E1" s="3101"/>
      <c r="F1" s="3102" t="s">
        <v>2702</v>
      </c>
      <c r="G1" s="3104" t="s">
        <v>982</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983</v>
      </c>
      <c r="B2" s="2840" t="e">
        <f ca="1">IF(C2="——",ROUND(C49*D3/10000,0),ROUND(C49*D3/10000,0)-D2)</f>
        <v>#DIV/0!</v>
      </c>
      <c r="C2" s="3094"/>
      <c r="D2" s="2717" t="e">
        <f ca="1">SUMIF(INDIRECT("'"&amp;F2&amp;"'"&amp;"!A:A"),"承租人权益价值",INDIRECT("'"&amp;F2&amp;"'"&amp;"!c:c"))</f>
        <v>#REF!</v>
      </c>
      <c r="E2" s="3095" t="s">
        <v>868</v>
      </c>
      <c r="F2" s="3096"/>
      <c r="G2" s="2283"/>
      <c r="H2" s="2283"/>
      <c r="I2" s="2283"/>
      <c r="J2" s="2283"/>
      <c r="K2" s="2285"/>
      <c r="L2" s="2286"/>
      <c r="M2" s="2287"/>
      <c r="N2" s="2287"/>
      <c r="O2" s="2287"/>
      <c r="P2" s="1336"/>
      <c r="Q2" s="1335"/>
      <c r="R2" s="1335"/>
      <c r="S2" s="1335"/>
      <c r="T2" s="1335"/>
      <c r="U2" s="1335"/>
      <c r="V2" s="1335"/>
      <c r="W2" s="1335"/>
      <c r="X2" s="1335"/>
      <c r="Y2" s="1335"/>
      <c r="Z2" s="1335"/>
      <c r="AA2" s="1335"/>
      <c r="AB2" s="1335"/>
      <c r="AC2" s="1337"/>
    </row>
    <row r="3" spans="1:29" s="89" customFormat="1" ht="28.5" customHeight="1" thickBot="1">
      <c r="A3" s="87" t="s">
        <v>984</v>
      </c>
      <c r="B3" s="741" t="e">
        <f ca="1">IF(C2="——",C49,ROUND(B2*10000/D3,0))</f>
        <v>#DIV/0!</v>
      </c>
      <c r="C3" s="142" t="s">
        <v>985</v>
      </c>
      <c r="D3" s="741">
        <f>IF(D1="",'数据-汇总表'!E3,SUMIF('数据-汇总表'!$C19:$C33,D1,'数据-汇总表'!$E19:$E33))</f>
        <v>88021.11</v>
      </c>
      <c r="E3" s="2283"/>
      <c r="F3" s="2284"/>
      <c r="G3" s="2283"/>
      <c r="H3" s="2283"/>
      <c r="I3" s="2283"/>
      <c r="J3" s="2283"/>
      <c r="K3" s="2285"/>
      <c r="L3" s="2286"/>
      <c r="M3" s="2287"/>
      <c r="N3" s="2287"/>
      <c r="O3" s="2287"/>
      <c r="P3" s="1336"/>
      <c r="Q3" s="1335"/>
      <c r="R3" s="1335"/>
      <c r="S3" s="1335"/>
      <c r="T3" s="1335"/>
      <c r="U3" s="1335"/>
      <c r="V3" s="1335"/>
      <c r="W3" s="1335"/>
      <c r="X3" s="1335"/>
      <c r="Y3" s="1335"/>
      <c r="Z3" s="1335"/>
      <c r="AA3" s="1335"/>
      <c r="AB3" s="1335"/>
      <c r="AC3" s="1338"/>
    </row>
    <row r="4" spans="1:29">
      <c r="A4" s="143" t="s">
        <v>986</v>
      </c>
      <c r="B4" s="144"/>
      <c r="C4" s="3693" t="s">
        <v>987</v>
      </c>
      <c r="D4" s="3694"/>
      <c r="E4" s="3695" t="s">
        <v>988</v>
      </c>
      <c r="F4" s="3696"/>
      <c r="G4" s="3693" t="s">
        <v>989</v>
      </c>
      <c r="H4" s="3694"/>
      <c r="I4" s="3693" t="s">
        <v>990</v>
      </c>
      <c r="J4" s="3694"/>
      <c r="K4" s="145" t="s">
        <v>991</v>
      </c>
      <c r="L4" s="2288"/>
      <c r="M4" s="2289"/>
      <c r="N4" s="2289"/>
      <c r="O4" s="2289"/>
      <c r="P4" s="3697" t="s">
        <v>986</v>
      </c>
      <c r="Q4" s="3698"/>
      <c r="R4" s="3703" t="s">
        <v>988</v>
      </c>
      <c r="S4" s="3704"/>
      <c r="T4" s="3703" t="s">
        <v>989</v>
      </c>
      <c r="U4" s="3704"/>
      <c r="V4" s="3709" t="s">
        <v>990</v>
      </c>
      <c r="W4" s="3709"/>
      <c r="X4" s="1339"/>
      <c r="Y4" s="3703" t="s">
        <v>986</v>
      </c>
      <c r="Z4" s="3704"/>
      <c r="AA4" s="3690" t="s">
        <v>988</v>
      </c>
      <c r="AB4" s="3690" t="s">
        <v>989</v>
      </c>
      <c r="AC4" s="3690" t="s">
        <v>990</v>
      </c>
    </row>
    <row r="5" spans="1:29">
      <c r="A5" s="146"/>
      <c r="B5" s="147"/>
      <c r="C5" s="3612" t="s">
        <v>992</v>
      </c>
      <c r="D5" s="3613"/>
      <c r="E5" s="3640" t="s">
        <v>993</v>
      </c>
      <c r="F5" s="3641"/>
      <c r="G5" s="3612" t="s">
        <v>994</v>
      </c>
      <c r="H5" s="3613"/>
      <c r="I5" s="3612" t="s">
        <v>995</v>
      </c>
      <c r="J5" s="3613"/>
      <c r="K5" s="152"/>
      <c r="L5" s="2288"/>
      <c r="M5" s="2289"/>
      <c r="N5" s="2289"/>
      <c r="O5" s="2289"/>
      <c r="P5" s="3699"/>
      <c r="Q5" s="3700"/>
      <c r="R5" s="3705"/>
      <c r="S5" s="3706"/>
      <c r="T5" s="3705"/>
      <c r="U5" s="3706"/>
      <c r="V5" s="3709"/>
      <c r="W5" s="3709"/>
      <c r="X5" s="1339"/>
      <c r="Y5" s="3705"/>
      <c r="Z5" s="3706"/>
      <c r="AA5" s="3691"/>
      <c r="AB5" s="3691"/>
      <c r="AC5" s="3691"/>
    </row>
    <row r="6" spans="1:29" ht="14.25" thickBot="1">
      <c r="A6" s="148"/>
      <c r="B6" s="149"/>
      <c r="C6" s="3619" t="s">
        <v>996</v>
      </c>
      <c r="D6" s="3620"/>
      <c r="E6" s="3617" t="s">
        <v>996</v>
      </c>
      <c r="F6" s="3618"/>
      <c r="G6" s="3619" t="s">
        <v>996</v>
      </c>
      <c r="H6" s="3620"/>
      <c r="I6" s="3619" t="s">
        <v>996</v>
      </c>
      <c r="J6" s="3620"/>
      <c r="K6" s="152" t="s">
        <v>997</v>
      </c>
      <c r="L6" s="2288"/>
      <c r="M6" s="2289"/>
      <c r="N6" s="2289"/>
      <c r="O6" s="2289"/>
      <c r="P6" s="3701"/>
      <c r="Q6" s="3702"/>
      <c r="R6" s="3705"/>
      <c r="S6" s="3706"/>
      <c r="T6" s="3707"/>
      <c r="U6" s="3708"/>
      <c r="V6" s="3709"/>
      <c r="W6" s="3709"/>
      <c r="X6" s="1339"/>
      <c r="Y6" s="3707"/>
      <c r="Z6" s="3708"/>
      <c r="AA6" s="3692"/>
      <c r="AB6" s="3692"/>
      <c r="AC6" s="3692"/>
    </row>
    <row r="7" spans="1:29" s="40" customFormat="1" ht="15" thickBot="1">
      <c r="A7" s="1013" t="s">
        <v>998</v>
      </c>
      <c r="B7" s="1014"/>
      <c r="C7" s="1015">
        <f>'数据-取费表'!B2</f>
        <v>42941</v>
      </c>
      <c r="D7" s="753">
        <v>100</v>
      </c>
      <c r="E7" s="1016"/>
      <c r="F7" s="755">
        <f>SUMIF(58:58,YEAR(E7)&amp;"-"&amp;MONTH(E7),59:59)</f>
        <v>0</v>
      </c>
      <c r="G7" s="1016"/>
      <c r="H7" s="753">
        <f>SUMIF(58:58,YEAR(G7)&amp;"-"&amp;MONTH(G7),59:59)</f>
        <v>0</v>
      </c>
      <c r="I7" s="1016"/>
      <c r="J7" s="753">
        <f>SUMIF(58:58,YEAR(I7)&amp;"-"&amp;MONTH(I7),59:59)</f>
        <v>0</v>
      </c>
      <c r="K7" s="1340"/>
      <c r="L7" s="2290"/>
      <c r="M7" s="2252"/>
      <c r="N7" s="2252"/>
      <c r="O7" s="2252"/>
      <c r="P7" s="3710" t="s">
        <v>998</v>
      </c>
      <c r="Q7" s="3712"/>
      <c r="R7" s="1341" t="s">
        <v>115</v>
      </c>
      <c r="S7" s="1342">
        <f t="shared" ref="S7:S15" si="0">F7</f>
        <v>0</v>
      </c>
      <c r="T7" s="1341" t="s">
        <v>115</v>
      </c>
      <c r="U7" s="1342">
        <f t="shared" ref="U7:U15" si="1">H7</f>
        <v>0</v>
      </c>
      <c r="V7" s="1341" t="s">
        <v>115</v>
      </c>
      <c r="W7" s="1342">
        <f t="shared" ref="W7:W15" si="2">J7</f>
        <v>0</v>
      </c>
      <c r="X7" s="287"/>
      <c r="Y7" s="3710" t="s">
        <v>998</v>
      </c>
      <c r="Z7" s="3711"/>
      <c r="AA7" s="1343" t="e">
        <f>D7/F7</f>
        <v>#DIV/0!</v>
      </c>
      <c r="AB7" s="1343" t="e">
        <f>D7/H7</f>
        <v>#DIV/0!</v>
      </c>
      <c r="AC7" s="1343" t="e">
        <f>D7/J7</f>
        <v>#DIV/0!</v>
      </c>
    </row>
    <row r="8" spans="1:29" s="40" customFormat="1" ht="15" thickBot="1">
      <c r="A8" s="1013" t="s">
        <v>999</v>
      </c>
      <c r="B8" s="1014"/>
      <c r="C8" s="1019" t="s">
        <v>155</v>
      </c>
      <c r="D8" s="753">
        <v>100</v>
      </c>
      <c r="E8" s="1344"/>
      <c r="F8" s="755">
        <f>SUMIF(61:61,E8,62:62)-SUMIF(61:61,C8,62:62)+100</f>
        <v>0</v>
      </c>
      <c r="G8" s="1019"/>
      <c r="H8" s="753">
        <f>SUMIF(61:61,G8,62:62)-SUMIF(61:61,C8,62:62)+100</f>
        <v>0</v>
      </c>
      <c r="I8" s="1344"/>
      <c r="J8" s="753">
        <f>SUMIF(61:61,I8,62:62)-SUMIF(61:61,C8,62:62)+100</f>
        <v>0</v>
      </c>
      <c r="K8" s="1340"/>
      <c r="L8" s="2290"/>
      <c r="M8" s="2252"/>
      <c r="N8" s="2252"/>
      <c r="O8" s="2252"/>
      <c r="P8" s="3710" t="s">
        <v>999</v>
      </c>
      <c r="Q8" s="3711"/>
      <c r="R8" s="1341" t="s">
        <v>115</v>
      </c>
      <c r="S8" s="1342">
        <f t="shared" si="0"/>
        <v>0</v>
      </c>
      <c r="T8" s="1341" t="s">
        <v>115</v>
      </c>
      <c r="U8" s="1342">
        <f t="shared" si="1"/>
        <v>0</v>
      </c>
      <c r="V8" s="1341" t="s">
        <v>115</v>
      </c>
      <c r="W8" s="1342">
        <f t="shared" si="2"/>
        <v>0</v>
      </c>
      <c r="X8" s="287"/>
      <c r="Y8" s="3710" t="s">
        <v>999</v>
      </c>
      <c r="Z8" s="3711"/>
      <c r="AA8" s="1343" t="e">
        <f t="shared" ref="AA8:AA19" si="3">D8/F8</f>
        <v>#DIV/0!</v>
      </c>
      <c r="AB8" s="1343" t="e">
        <f t="shared" ref="AB8:AB19" si="4">D8/H8</f>
        <v>#DIV/0!</v>
      </c>
      <c r="AC8" s="1343" t="e">
        <f t="shared" ref="AC8:AC19" si="5">D8/J8</f>
        <v>#DIV/0!</v>
      </c>
    </row>
    <row r="9" spans="1:29" s="40" customFormat="1" ht="14.25">
      <c r="A9" s="1020" t="s">
        <v>1000</v>
      </c>
      <c r="B9" s="62" t="s">
        <v>1001</v>
      </c>
      <c r="C9" s="1345"/>
      <c r="D9" s="424">
        <v>100</v>
      </c>
      <c r="E9" s="1346"/>
      <c r="F9" s="760">
        <f>SUMIF(63:63,E9,64:64)-SUMIF(63:63,C9,64:64)+100</f>
        <v>100</v>
      </c>
      <c r="G9" s="1347"/>
      <c r="H9" s="424">
        <f>SUMIF(63:63,G9,64:64)-SUMIF(63:63,C9,64:64)+100</f>
        <v>100</v>
      </c>
      <c r="I9" s="1347"/>
      <c r="J9" s="424">
        <f>SUMIF(63:63,I9,64:64)-SUMIF(63:63,C9,64:64)+100</f>
        <v>100</v>
      </c>
      <c r="K9" s="1340"/>
      <c r="L9" s="2290"/>
      <c r="M9" s="2252"/>
      <c r="N9" s="2252"/>
      <c r="O9" s="2252"/>
      <c r="P9" s="3689" t="s">
        <v>67</v>
      </c>
      <c r="Q9" s="7" t="str">
        <f t="shared" ref="Q9:Q15" si="6">B9</f>
        <v>用途</v>
      </c>
      <c r="R9" s="1341" t="s">
        <v>65</v>
      </c>
      <c r="S9" s="1342">
        <f t="shared" si="0"/>
        <v>100</v>
      </c>
      <c r="T9" s="1341" t="s">
        <v>65</v>
      </c>
      <c r="U9" s="1342">
        <f t="shared" si="1"/>
        <v>100</v>
      </c>
      <c r="V9" s="1341" t="s">
        <v>65</v>
      </c>
      <c r="W9" s="1342">
        <f t="shared" si="2"/>
        <v>100</v>
      </c>
      <c r="X9" s="287"/>
      <c r="Y9" s="3446"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1"/>
      <c r="M10" s="2292"/>
      <c r="N10" s="2292"/>
      <c r="O10" s="2292"/>
      <c r="P10" s="3689"/>
      <c r="Q10" s="7" t="str">
        <f t="shared" si="6"/>
        <v>土地使用年限（年）</v>
      </c>
      <c r="R10" s="1341" t="s">
        <v>65</v>
      </c>
      <c r="S10" s="1342">
        <f t="shared" si="0"/>
        <v>100</v>
      </c>
      <c r="T10" s="1341" t="s">
        <v>65</v>
      </c>
      <c r="U10" s="1342">
        <f t="shared" si="1"/>
        <v>100</v>
      </c>
      <c r="V10" s="1341" t="s">
        <v>65</v>
      </c>
      <c r="W10" s="1342">
        <f t="shared" si="2"/>
        <v>100</v>
      </c>
      <c r="X10" s="287"/>
      <c r="Y10" s="3446"/>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3"/>
      <c r="M11" s="2289"/>
      <c r="N11" s="2289"/>
      <c r="O11" s="2289"/>
      <c r="P11" s="3689"/>
      <c r="Q11" s="7" t="str">
        <f t="shared" si="6"/>
        <v>容积率</v>
      </c>
      <c r="R11" s="1341" t="s">
        <v>104</v>
      </c>
      <c r="S11" s="1342" t="e">
        <f t="shared" si="0"/>
        <v>#N/A</v>
      </c>
      <c r="T11" s="1341" t="s">
        <v>104</v>
      </c>
      <c r="U11" s="1342" t="e">
        <f t="shared" si="1"/>
        <v>#N/A</v>
      </c>
      <c r="V11" s="1341" t="s">
        <v>104</v>
      </c>
      <c r="W11" s="1342" t="e">
        <f t="shared" si="2"/>
        <v>#N/A</v>
      </c>
      <c r="X11" s="287"/>
      <c r="Y11" s="3446"/>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0"/>
      <c r="M12" s="2252"/>
      <c r="N12" s="2252"/>
      <c r="O12" s="2252"/>
      <c r="P12" s="3689"/>
      <c r="Q12" s="7">
        <f t="shared" si="6"/>
        <v>111</v>
      </c>
      <c r="R12" s="1341" t="s">
        <v>104</v>
      </c>
      <c r="S12" s="1342">
        <f t="shared" si="0"/>
        <v>100</v>
      </c>
      <c r="T12" s="1341" t="s">
        <v>104</v>
      </c>
      <c r="U12" s="1342">
        <f t="shared" si="1"/>
        <v>100</v>
      </c>
      <c r="V12" s="1341" t="s">
        <v>104</v>
      </c>
      <c r="W12" s="1342">
        <f t="shared" si="2"/>
        <v>100</v>
      </c>
      <c r="X12" s="287"/>
      <c r="Y12" s="3446"/>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4"/>
      <c r="M13" s="2289"/>
      <c r="N13" s="2289"/>
      <c r="O13" s="2289"/>
      <c r="P13" s="3689"/>
      <c r="Q13" s="7">
        <f t="shared" si="6"/>
        <v>111</v>
      </c>
      <c r="R13" s="1341" t="s">
        <v>104</v>
      </c>
      <c r="S13" s="1342">
        <f t="shared" si="0"/>
        <v>100</v>
      </c>
      <c r="T13" s="1341" t="s">
        <v>104</v>
      </c>
      <c r="U13" s="1342">
        <f t="shared" si="1"/>
        <v>100</v>
      </c>
      <c r="V13" s="1341" t="s">
        <v>104</v>
      </c>
      <c r="W13" s="1342">
        <f t="shared" si="2"/>
        <v>100</v>
      </c>
      <c r="X13" s="287"/>
      <c r="Y13" s="3446"/>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4"/>
      <c r="M14" s="2289"/>
      <c r="N14" s="2289"/>
      <c r="O14" s="2289"/>
      <c r="P14" s="3689"/>
      <c r="Q14" s="7">
        <f t="shared" si="6"/>
        <v>111</v>
      </c>
      <c r="R14" s="1341" t="s">
        <v>104</v>
      </c>
      <c r="S14" s="1342">
        <f t="shared" si="0"/>
        <v>100</v>
      </c>
      <c r="T14" s="1341" t="s">
        <v>104</v>
      </c>
      <c r="U14" s="1342">
        <f t="shared" si="1"/>
        <v>100</v>
      </c>
      <c r="V14" s="1341" t="s">
        <v>104</v>
      </c>
      <c r="W14" s="1342">
        <f t="shared" si="2"/>
        <v>100</v>
      </c>
      <c r="X14" s="287"/>
      <c r="Y14" s="3446"/>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4"/>
      <c r="M15" s="2289"/>
      <c r="N15" s="2289"/>
      <c r="O15" s="2289"/>
      <c r="P15" s="3687" t="s">
        <v>69</v>
      </c>
      <c r="Q15" s="1350" t="str">
        <f t="shared" si="6"/>
        <v>居住社区成熟度</v>
      </c>
      <c r="R15" s="1351" t="s">
        <v>104</v>
      </c>
      <c r="S15" s="1352">
        <f t="shared" si="0"/>
        <v>100</v>
      </c>
      <c r="T15" s="1351" t="s">
        <v>104</v>
      </c>
      <c r="U15" s="1352">
        <f t="shared" si="1"/>
        <v>100</v>
      </c>
      <c r="V15" s="1351" t="s">
        <v>104</v>
      </c>
      <c r="W15" s="1352">
        <f t="shared" si="2"/>
        <v>100</v>
      </c>
      <c r="X15" s="1339"/>
      <c r="Y15" s="3680"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4"/>
      <c r="M16" s="2289"/>
      <c r="N16" s="2289"/>
      <c r="O16" s="2289"/>
      <c r="P16" s="3688"/>
      <c r="Q16" s="1350"/>
      <c r="R16" s="1351"/>
      <c r="S16" s="1352"/>
      <c r="T16" s="1351"/>
      <c r="U16" s="1352"/>
      <c r="V16" s="1351"/>
      <c r="W16" s="1352"/>
      <c r="X16" s="1339"/>
      <c r="Y16" s="3681"/>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4"/>
      <c r="M17" s="2289"/>
      <c r="N17" s="2289"/>
      <c r="O17" s="2289"/>
      <c r="P17" s="3688"/>
      <c r="Q17" s="1350" t="str">
        <f>B17</f>
        <v>交通便捷度</v>
      </c>
      <c r="R17" s="1351" t="s">
        <v>104</v>
      </c>
      <c r="S17" s="1352">
        <f>F17</f>
        <v>100</v>
      </c>
      <c r="T17" s="1351" t="s">
        <v>104</v>
      </c>
      <c r="U17" s="1352">
        <f>H17</f>
        <v>100</v>
      </c>
      <c r="V17" s="1351" t="s">
        <v>104</v>
      </c>
      <c r="W17" s="1352">
        <f>J17</f>
        <v>100</v>
      </c>
      <c r="X17" s="1339"/>
      <c r="Y17" s="3681"/>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4"/>
      <c r="M18" s="2289"/>
      <c r="N18" s="2289"/>
      <c r="O18" s="2289"/>
      <c r="P18" s="3688"/>
      <c r="Q18" s="1350"/>
      <c r="R18" s="1351"/>
      <c r="S18" s="1352"/>
      <c r="T18" s="1351"/>
      <c r="U18" s="1352"/>
      <c r="V18" s="1351"/>
      <c r="W18" s="1352"/>
      <c r="X18" s="1339"/>
      <c r="Y18" s="3681"/>
      <c r="Z18" s="1353"/>
      <c r="AA18" s="1354">
        <v>1</v>
      </c>
      <c r="AB18" s="1354">
        <v>1</v>
      </c>
      <c r="AC18" s="1354">
        <v>1</v>
      </c>
    </row>
    <row r="19" spans="1:29" ht="40.5">
      <c r="A19" s="151"/>
      <c r="B19" s="1355" t="s">
        <v>2638</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4"/>
      <c r="M19" s="2289"/>
      <c r="N19" s="2289"/>
      <c r="O19" s="2289"/>
      <c r="P19" s="3688"/>
      <c r="Q19" s="1350" t="str">
        <f>B19</f>
        <v>公共配套设施</v>
      </c>
      <c r="R19" s="1351" t="s">
        <v>104</v>
      </c>
      <c r="S19" s="1352">
        <f>F19</f>
        <v>100</v>
      </c>
      <c r="T19" s="1351" t="s">
        <v>104</v>
      </c>
      <c r="U19" s="1352">
        <f>H19</f>
        <v>100</v>
      </c>
      <c r="V19" s="1351" t="s">
        <v>104</v>
      </c>
      <c r="W19" s="1352">
        <f>J19</f>
        <v>100</v>
      </c>
      <c r="X19" s="1339"/>
      <c r="Y19" s="3681"/>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4"/>
      <c r="M20" s="2289"/>
      <c r="N20" s="2289"/>
      <c r="O20" s="2289"/>
      <c r="P20" s="3688"/>
      <c r="Q20" s="1350"/>
      <c r="R20" s="1351"/>
      <c r="S20" s="1352"/>
      <c r="T20" s="1351"/>
      <c r="U20" s="1352"/>
      <c r="V20" s="1351"/>
      <c r="W20" s="1352"/>
      <c r="X20" s="1339"/>
      <c r="Y20" s="3681"/>
      <c r="Z20" s="1353"/>
      <c r="AA20" s="1354">
        <v>1</v>
      </c>
      <c r="AB20" s="1354">
        <v>1</v>
      </c>
      <c r="AC20" s="1354">
        <v>1</v>
      </c>
    </row>
    <row r="21" spans="1:29" ht="27">
      <c r="A21" s="151"/>
      <c r="B21" s="1411" t="s">
        <v>2649</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4"/>
      <c r="M21" s="2289"/>
      <c r="N21" s="2289"/>
      <c r="O21" s="2289"/>
      <c r="P21" s="3688"/>
      <c r="Q21" s="2739" t="str">
        <f>B21</f>
        <v>基础设施水平</v>
      </c>
      <c r="R21" s="1351" t="s">
        <v>65</v>
      </c>
      <c r="S21" s="1352">
        <f>F21</f>
        <v>100</v>
      </c>
      <c r="T21" s="1351" t="s">
        <v>65</v>
      </c>
      <c r="U21" s="1352">
        <f>H21</f>
        <v>100</v>
      </c>
      <c r="V21" s="1351" t="s">
        <v>65</v>
      </c>
      <c r="W21" s="1352">
        <f>J21</f>
        <v>100</v>
      </c>
      <c r="X21" s="2741"/>
      <c r="Y21" s="3681"/>
      <c r="Z21" s="2740"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56"/>
      <c r="L22" s="2294"/>
      <c r="M22" s="2289"/>
      <c r="N22" s="2289"/>
      <c r="O22" s="2289"/>
      <c r="P22" s="3688"/>
      <c r="Q22" s="2739"/>
      <c r="R22" s="1351"/>
      <c r="S22" s="1352"/>
      <c r="T22" s="1351"/>
      <c r="U22" s="1352"/>
      <c r="V22" s="1351"/>
      <c r="W22" s="1352"/>
      <c r="X22" s="2741"/>
      <c r="Y22" s="3681"/>
      <c r="Z22" s="2740"/>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4"/>
      <c r="M23" s="2289"/>
      <c r="N23" s="2289"/>
      <c r="O23" s="2289"/>
      <c r="P23" s="3688"/>
      <c r="Q23" s="1350" t="str">
        <f>B23</f>
        <v>自然及人文环境</v>
      </c>
      <c r="R23" s="1351" t="s">
        <v>104</v>
      </c>
      <c r="S23" s="1352">
        <f>F23</f>
        <v>100</v>
      </c>
      <c r="T23" s="1351" t="s">
        <v>104</v>
      </c>
      <c r="U23" s="1352">
        <f>H23</f>
        <v>100</v>
      </c>
      <c r="V23" s="1351" t="s">
        <v>104</v>
      </c>
      <c r="W23" s="1352">
        <f>J23</f>
        <v>100</v>
      </c>
      <c r="X23" s="1339"/>
      <c r="Y23" s="3681"/>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4"/>
      <c r="M24" s="2289"/>
      <c r="N24" s="2289"/>
      <c r="O24" s="2289"/>
      <c r="P24" s="3688"/>
      <c r="Q24" s="1350"/>
      <c r="R24" s="1351"/>
      <c r="S24" s="1352"/>
      <c r="T24" s="1351"/>
      <c r="U24" s="1352"/>
      <c r="V24" s="1351"/>
      <c r="W24" s="1352"/>
      <c r="X24" s="1339"/>
      <c r="Y24" s="3681"/>
      <c r="Z24" s="1353"/>
      <c r="AA24" s="1354">
        <v>1</v>
      </c>
      <c r="AB24" s="1354">
        <v>1</v>
      </c>
      <c r="AC24" s="1354">
        <v>1</v>
      </c>
    </row>
    <row r="25" spans="1:29" ht="15">
      <c r="A25" s="151"/>
      <c r="B25" s="12" t="s">
        <v>2300</v>
      </c>
      <c r="C25" s="107"/>
      <c r="D25" s="777">
        <v>100</v>
      </c>
      <c r="E25" s="109"/>
      <c r="F25" s="777">
        <f>SUMIF(86:86,E25,87:87)-SUMIF(86:86,C25,87:87)+100</f>
        <v>100</v>
      </c>
      <c r="G25" s="108"/>
      <c r="H25" s="777">
        <f>SUMIF(86:86,G25,87:87)-SUMIF(86:86,C25,87:87)+100</f>
        <v>100</v>
      </c>
      <c r="I25" s="108"/>
      <c r="J25" s="777">
        <f>SUMIF(86:86,I25,87:87)-SUMIF(86:86,C25,87:87)+100</f>
        <v>100</v>
      </c>
      <c r="K25" s="768"/>
      <c r="L25" s="2294"/>
      <c r="M25" s="2289"/>
      <c r="N25" s="2289"/>
      <c r="O25" s="2289"/>
      <c r="P25" s="3688"/>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81"/>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4"/>
      <c r="M26" s="2289"/>
      <c r="N26" s="2289"/>
      <c r="O26" s="2289"/>
      <c r="P26" s="3688"/>
      <c r="Q26" s="1350" t="str">
        <f t="shared" si="11"/>
        <v>朝向</v>
      </c>
      <c r="R26" s="1351" t="s">
        <v>104</v>
      </c>
      <c r="S26" s="1352">
        <f t="shared" si="12"/>
        <v>100</v>
      </c>
      <c r="T26" s="1351" t="s">
        <v>104</v>
      </c>
      <c r="U26" s="1352">
        <f t="shared" si="13"/>
        <v>100</v>
      </c>
      <c r="V26" s="1351" t="s">
        <v>104</v>
      </c>
      <c r="W26" s="1352">
        <f t="shared" si="14"/>
        <v>100</v>
      </c>
      <c r="X26" s="1339"/>
      <c r="Y26" s="3681"/>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0"/>
      <c r="M27" s="2252"/>
      <c r="N27" s="2252"/>
      <c r="O27" s="2252"/>
      <c r="P27" s="3688"/>
      <c r="Q27" s="7">
        <f t="shared" si="11"/>
        <v>111</v>
      </c>
      <c r="R27" s="1341" t="s">
        <v>104</v>
      </c>
      <c r="S27" s="1342">
        <f t="shared" si="12"/>
        <v>100</v>
      </c>
      <c r="T27" s="1341" t="s">
        <v>104</v>
      </c>
      <c r="U27" s="1342">
        <f t="shared" si="13"/>
        <v>100</v>
      </c>
      <c r="V27" s="1341" t="s">
        <v>104</v>
      </c>
      <c r="W27" s="1342">
        <f t="shared" si="14"/>
        <v>100</v>
      </c>
      <c r="X27" s="287"/>
      <c r="Y27" s="3681"/>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4"/>
      <c r="M28" s="2289"/>
      <c r="N28" s="2289"/>
      <c r="O28" s="2289"/>
      <c r="P28" s="3688"/>
      <c r="Q28" s="1350">
        <f t="shared" si="11"/>
        <v>111</v>
      </c>
      <c r="R28" s="1351" t="s">
        <v>104</v>
      </c>
      <c r="S28" s="1352">
        <f t="shared" si="12"/>
        <v>100</v>
      </c>
      <c r="T28" s="1351" t="s">
        <v>104</v>
      </c>
      <c r="U28" s="1352">
        <f t="shared" si="13"/>
        <v>100</v>
      </c>
      <c r="V28" s="1351" t="s">
        <v>104</v>
      </c>
      <c r="W28" s="1352">
        <f t="shared" si="14"/>
        <v>100</v>
      </c>
      <c r="X28" s="1339"/>
      <c r="Y28" s="3681"/>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4"/>
      <c r="M29" s="2289"/>
      <c r="N29" s="2289"/>
      <c r="O29" s="2289"/>
      <c r="P29" s="3688"/>
      <c r="Q29" s="1350">
        <f t="shared" si="11"/>
        <v>111</v>
      </c>
      <c r="R29" s="1351" t="s">
        <v>104</v>
      </c>
      <c r="S29" s="1352">
        <f t="shared" si="12"/>
        <v>100</v>
      </c>
      <c r="T29" s="1351" t="s">
        <v>104</v>
      </c>
      <c r="U29" s="1352">
        <f t="shared" si="13"/>
        <v>100</v>
      </c>
      <c r="V29" s="1351" t="s">
        <v>104</v>
      </c>
      <c r="W29" s="1352">
        <f t="shared" si="14"/>
        <v>100</v>
      </c>
      <c r="X29" s="1339"/>
      <c r="Y29" s="3681"/>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4"/>
      <c r="M30" s="2289"/>
      <c r="N30" s="2289"/>
      <c r="O30" s="2289"/>
      <c r="P30" s="3688"/>
      <c r="Q30" s="1350">
        <f t="shared" si="11"/>
        <v>111</v>
      </c>
      <c r="R30" s="1351" t="s">
        <v>104</v>
      </c>
      <c r="S30" s="1352">
        <f t="shared" si="12"/>
        <v>100</v>
      </c>
      <c r="T30" s="1351" t="s">
        <v>104</v>
      </c>
      <c r="U30" s="1352">
        <f t="shared" si="13"/>
        <v>100</v>
      </c>
      <c r="V30" s="1351" t="s">
        <v>104</v>
      </c>
      <c r="W30" s="1352">
        <f t="shared" si="14"/>
        <v>100</v>
      </c>
      <c r="X30" s="1339"/>
      <c r="Y30" s="3681"/>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4"/>
      <c r="M31" s="2289"/>
      <c r="N31" s="2289"/>
      <c r="O31" s="2289"/>
      <c r="P31" s="3688"/>
      <c r="Q31" s="1350">
        <f t="shared" si="11"/>
        <v>111</v>
      </c>
      <c r="R31" s="1351" t="s">
        <v>104</v>
      </c>
      <c r="S31" s="1352">
        <f t="shared" si="12"/>
        <v>100</v>
      </c>
      <c r="T31" s="1351" t="s">
        <v>104</v>
      </c>
      <c r="U31" s="1352">
        <f t="shared" si="13"/>
        <v>100</v>
      </c>
      <c r="V31" s="1351" t="s">
        <v>104</v>
      </c>
      <c r="W31" s="1352">
        <f t="shared" si="14"/>
        <v>100</v>
      </c>
      <c r="X31" s="1339"/>
      <c r="Y31" s="3681"/>
      <c r="Z31" s="1353">
        <f t="shared" si="18"/>
        <v>111</v>
      </c>
      <c r="AA31" s="1354">
        <f t="shared" si="15"/>
        <v>1</v>
      </c>
      <c r="AB31" s="1354">
        <f t="shared" si="16"/>
        <v>1</v>
      </c>
      <c r="AC31" s="1354">
        <f t="shared" si="17"/>
        <v>1</v>
      </c>
    </row>
    <row r="32" spans="1:29" ht="15">
      <c r="A32" s="155" t="s">
        <v>1002</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4"/>
      <c r="M32" s="2289"/>
      <c r="N32" s="2289"/>
      <c r="O32" s="2289"/>
      <c r="P32" s="3682" t="s">
        <v>70</v>
      </c>
      <c r="Q32" s="1350" t="str">
        <f t="shared" si="11"/>
        <v>建筑类型</v>
      </c>
      <c r="R32" s="1351" t="s">
        <v>104</v>
      </c>
      <c r="S32" s="1352">
        <f t="shared" si="12"/>
        <v>100</v>
      </c>
      <c r="T32" s="1351" t="s">
        <v>104</v>
      </c>
      <c r="U32" s="1352">
        <f t="shared" si="13"/>
        <v>100</v>
      </c>
      <c r="V32" s="1351" t="s">
        <v>104</v>
      </c>
      <c r="W32" s="1352">
        <f t="shared" si="14"/>
        <v>100</v>
      </c>
      <c r="X32" s="1339"/>
      <c r="Y32" s="3685"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3"/>
      <c r="M33" s="2295"/>
      <c r="N33" s="2295"/>
      <c r="O33" s="2295"/>
      <c r="P33" s="3683"/>
      <c r="Q33" s="1358" t="str">
        <f t="shared" si="11"/>
        <v>项目建筑规模</v>
      </c>
      <c r="R33" s="1359" t="s">
        <v>104</v>
      </c>
      <c r="S33" s="1360" t="e">
        <f t="shared" si="12"/>
        <v>#N/A</v>
      </c>
      <c r="T33" s="1359" t="s">
        <v>104</v>
      </c>
      <c r="U33" s="1360" t="e">
        <f t="shared" si="13"/>
        <v>#N/A</v>
      </c>
      <c r="V33" s="1359" t="s">
        <v>104</v>
      </c>
      <c r="W33" s="1360" t="e">
        <f t="shared" si="14"/>
        <v>#N/A</v>
      </c>
      <c r="X33" s="1361"/>
      <c r="Y33" s="3685"/>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4"/>
      <c r="M34" s="2289"/>
      <c r="N34" s="2289"/>
      <c r="O34" s="2289"/>
      <c r="P34" s="3683"/>
      <c r="Q34" s="1350" t="str">
        <f t="shared" si="11"/>
        <v>建筑结构</v>
      </c>
      <c r="R34" s="1351" t="s">
        <v>104</v>
      </c>
      <c r="S34" s="1352">
        <f t="shared" si="12"/>
        <v>100</v>
      </c>
      <c r="T34" s="1351" t="s">
        <v>104</v>
      </c>
      <c r="U34" s="1352">
        <f t="shared" si="13"/>
        <v>100</v>
      </c>
      <c r="V34" s="1351" t="s">
        <v>104</v>
      </c>
      <c r="W34" s="1352">
        <f t="shared" si="14"/>
        <v>100</v>
      </c>
      <c r="X34" s="1339"/>
      <c r="Y34" s="3685"/>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4"/>
      <c r="M35" s="2289"/>
      <c r="N35" s="2289"/>
      <c r="O35" s="2289"/>
      <c r="P35" s="3683"/>
      <c r="Q35" s="1350" t="str">
        <f t="shared" si="11"/>
        <v>建筑品质</v>
      </c>
      <c r="R35" s="1351" t="s">
        <v>104</v>
      </c>
      <c r="S35" s="1352">
        <f t="shared" si="12"/>
        <v>100</v>
      </c>
      <c r="T35" s="1351" t="s">
        <v>104</v>
      </c>
      <c r="U35" s="1352">
        <f t="shared" si="13"/>
        <v>100</v>
      </c>
      <c r="V35" s="1351" t="s">
        <v>104</v>
      </c>
      <c r="W35" s="1352">
        <f t="shared" si="14"/>
        <v>100</v>
      </c>
      <c r="X35" s="1339"/>
      <c r="Y35" s="3685"/>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4"/>
      <c r="M36" s="2289"/>
      <c r="N36" s="2289"/>
      <c r="O36" s="2289"/>
      <c r="P36" s="3683"/>
      <c r="Q36" s="1350" t="str">
        <f t="shared" si="11"/>
        <v>公共部分装修</v>
      </c>
      <c r="R36" s="1351" t="s">
        <v>104</v>
      </c>
      <c r="S36" s="1352">
        <f t="shared" si="12"/>
        <v>100</v>
      </c>
      <c r="T36" s="1351" t="s">
        <v>104</v>
      </c>
      <c r="U36" s="1352">
        <f t="shared" si="13"/>
        <v>100</v>
      </c>
      <c r="V36" s="1351" t="s">
        <v>104</v>
      </c>
      <c r="W36" s="1352">
        <f t="shared" si="14"/>
        <v>100</v>
      </c>
      <c r="X36" s="1339"/>
      <c r="Y36" s="3685"/>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0"/>
      <c r="M37" s="2252"/>
      <c r="N37" s="2252"/>
      <c r="O37" s="2252"/>
      <c r="P37" s="3683"/>
      <c r="Q37" s="7" t="str">
        <f t="shared" si="11"/>
        <v>成新度</v>
      </c>
      <c r="R37" s="1341" t="s">
        <v>104</v>
      </c>
      <c r="S37" s="1342" t="e">
        <f t="shared" si="12"/>
        <v>#N/A</v>
      </c>
      <c r="T37" s="1341" t="s">
        <v>104</v>
      </c>
      <c r="U37" s="1342" t="e">
        <f t="shared" si="13"/>
        <v>#N/A</v>
      </c>
      <c r="V37" s="1341" t="s">
        <v>104</v>
      </c>
      <c r="W37" s="1342" t="e">
        <f t="shared" si="14"/>
        <v>#N/A</v>
      </c>
      <c r="X37" s="287"/>
      <c r="Y37" s="3685"/>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4"/>
      <c r="M38" s="2289"/>
      <c r="N38" s="2289"/>
      <c r="O38" s="2289"/>
      <c r="P38" s="3683" t="s">
        <v>70</v>
      </c>
      <c r="Q38" s="1350" t="str">
        <f t="shared" si="11"/>
        <v>物业管理</v>
      </c>
      <c r="R38" s="1351" t="s">
        <v>104</v>
      </c>
      <c r="S38" s="1352">
        <f t="shared" si="12"/>
        <v>100</v>
      </c>
      <c r="T38" s="1351" t="s">
        <v>104</v>
      </c>
      <c r="U38" s="1352">
        <f t="shared" si="13"/>
        <v>100</v>
      </c>
      <c r="V38" s="1351" t="s">
        <v>104</v>
      </c>
      <c r="W38" s="1352">
        <f t="shared" si="14"/>
        <v>100</v>
      </c>
      <c r="X38" s="1339"/>
      <c r="Y38" s="3685" t="s">
        <v>70</v>
      </c>
      <c r="Z38" s="1353" t="str">
        <f t="shared" si="18"/>
        <v>物业管理</v>
      </c>
      <c r="AA38" s="1354">
        <f t="shared" si="15"/>
        <v>1</v>
      </c>
      <c r="AB38" s="1354">
        <f t="shared" si="16"/>
        <v>1</v>
      </c>
      <c r="AC38" s="1354">
        <f t="shared" si="17"/>
        <v>1</v>
      </c>
    </row>
    <row r="39" spans="1:29" ht="15">
      <c r="A39" s="161"/>
      <c r="B39" s="12" t="s">
        <v>2650</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4"/>
      <c r="M39" s="2289"/>
      <c r="N39" s="2289"/>
      <c r="O39" s="2289"/>
      <c r="P39" s="3683"/>
      <c r="Q39" s="1350" t="str">
        <f t="shared" si="11"/>
        <v>市政基础设施</v>
      </c>
      <c r="R39" s="1351" t="s">
        <v>104</v>
      </c>
      <c r="S39" s="1352">
        <f t="shared" si="12"/>
        <v>100</v>
      </c>
      <c r="T39" s="1351" t="s">
        <v>104</v>
      </c>
      <c r="U39" s="1352">
        <f t="shared" si="13"/>
        <v>100</v>
      </c>
      <c r="V39" s="1351" t="s">
        <v>104</v>
      </c>
      <c r="W39" s="1352">
        <f t="shared" si="14"/>
        <v>100</v>
      </c>
      <c r="X39" s="1339"/>
      <c r="Y39" s="3685"/>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4"/>
      <c r="M40" s="2289"/>
      <c r="N40" s="2289"/>
      <c r="O40" s="2289"/>
      <c r="P40" s="3683"/>
      <c r="Q40" s="1350" t="str">
        <f t="shared" si="11"/>
        <v>房型</v>
      </c>
      <c r="R40" s="1351" t="s">
        <v>104</v>
      </c>
      <c r="S40" s="1352">
        <f t="shared" si="12"/>
        <v>100</v>
      </c>
      <c r="T40" s="1351" t="s">
        <v>104</v>
      </c>
      <c r="U40" s="1352">
        <f t="shared" si="13"/>
        <v>100</v>
      </c>
      <c r="V40" s="1351" t="s">
        <v>104</v>
      </c>
      <c r="W40" s="1352">
        <f t="shared" si="14"/>
        <v>100</v>
      </c>
      <c r="X40" s="1339"/>
      <c r="Y40" s="3685"/>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3"/>
      <c r="M41" s="2295"/>
      <c r="N41" s="2295"/>
      <c r="O41" s="2295"/>
      <c r="P41" s="3683"/>
      <c r="Q41" s="1358" t="str">
        <f t="shared" si="11"/>
        <v>单套/主力户型建筑面积</v>
      </c>
      <c r="R41" s="1359" t="s">
        <v>104</v>
      </c>
      <c r="S41" s="1360">
        <f t="shared" si="12"/>
        <v>100</v>
      </c>
      <c r="T41" s="1359" t="s">
        <v>104</v>
      </c>
      <c r="U41" s="1360">
        <f t="shared" si="13"/>
        <v>100</v>
      </c>
      <c r="V41" s="1359" t="s">
        <v>104</v>
      </c>
      <c r="W41" s="1360">
        <f t="shared" si="14"/>
        <v>100</v>
      </c>
      <c r="X41" s="1361"/>
      <c r="Y41" s="3685"/>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4"/>
      <c r="M42" s="2289"/>
      <c r="N42" s="2289"/>
      <c r="O42" s="2289"/>
      <c r="P42" s="3683"/>
      <c r="Q42" s="1350" t="str">
        <f t="shared" si="11"/>
        <v>内部装修</v>
      </c>
      <c r="R42" s="1351" t="s">
        <v>104</v>
      </c>
      <c r="S42" s="1352">
        <f t="shared" si="12"/>
        <v>100</v>
      </c>
      <c r="T42" s="1351" t="s">
        <v>104</v>
      </c>
      <c r="U42" s="1352">
        <f t="shared" si="13"/>
        <v>100</v>
      </c>
      <c r="V42" s="1351" t="s">
        <v>104</v>
      </c>
      <c r="W42" s="1352">
        <f t="shared" si="14"/>
        <v>100</v>
      </c>
      <c r="X42" s="1339"/>
      <c r="Y42" s="3685"/>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4"/>
      <c r="M43" s="2289"/>
      <c r="N43" s="2289"/>
      <c r="O43" s="2289"/>
      <c r="P43" s="3683"/>
      <c r="Q43" s="1350" t="str">
        <f t="shared" si="11"/>
        <v>内部装修维护情况</v>
      </c>
      <c r="R43" s="1351" t="s">
        <v>104</v>
      </c>
      <c r="S43" s="1352">
        <f t="shared" si="12"/>
        <v>100</v>
      </c>
      <c r="T43" s="1351" t="s">
        <v>104</v>
      </c>
      <c r="U43" s="1352">
        <f t="shared" si="13"/>
        <v>100</v>
      </c>
      <c r="V43" s="1351" t="s">
        <v>104</v>
      </c>
      <c r="W43" s="1352">
        <f t="shared" si="14"/>
        <v>100</v>
      </c>
      <c r="X43" s="1339"/>
      <c r="Y43" s="3685"/>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0"/>
      <c r="M44" s="2252"/>
      <c r="N44" s="2252"/>
      <c r="O44" s="2252"/>
      <c r="P44" s="3683"/>
      <c r="Q44" s="7">
        <f t="shared" si="11"/>
        <v>111</v>
      </c>
      <c r="R44" s="1341" t="s">
        <v>104</v>
      </c>
      <c r="S44" s="1342">
        <f t="shared" si="12"/>
        <v>100</v>
      </c>
      <c r="T44" s="1341" t="s">
        <v>104</v>
      </c>
      <c r="U44" s="1342">
        <f t="shared" si="13"/>
        <v>100</v>
      </c>
      <c r="V44" s="1341" t="s">
        <v>104</v>
      </c>
      <c r="W44" s="1342">
        <f t="shared" si="14"/>
        <v>100</v>
      </c>
      <c r="X44" s="287"/>
      <c r="Y44" s="3685"/>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4"/>
      <c r="M45" s="2289"/>
      <c r="N45" s="2289"/>
      <c r="O45" s="2289"/>
      <c r="P45" s="3683"/>
      <c r="Q45" s="1350">
        <f t="shared" si="11"/>
        <v>111</v>
      </c>
      <c r="R45" s="1351" t="s">
        <v>104</v>
      </c>
      <c r="S45" s="1352">
        <f t="shared" si="12"/>
        <v>100</v>
      </c>
      <c r="T45" s="1351" t="s">
        <v>104</v>
      </c>
      <c r="U45" s="1352">
        <f t="shared" si="13"/>
        <v>100</v>
      </c>
      <c r="V45" s="1351" t="s">
        <v>104</v>
      </c>
      <c r="W45" s="1352">
        <f t="shared" si="14"/>
        <v>100</v>
      </c>
      <c r="X45" s="1339"/>
      <c r="Y45" s="3685"/>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4"/>
      <c r="M46" s="2289"/>
      <c r="N46" s="2289"/>
      <c r="O46" s="2289"/>
      <c r="P46" s="3684"/>
      <c r="Q46" s="1350">
        <f t="shared" si="11"/>
        <v>111</v>
      </c>
      <c r="R46" s="1351" t="s">
        <v>103</v>
      </c>
      <c r="S46" s="1352">
        <f t="shared" si="12"/>
        <v>100</v>
      </c>
      <c r="T46" s="1351" t="s">
        <v>103</v>
      </c>
      <c r="U46" s="1352">
        <f t="shared" si="13"/>
        <v>100</v>
      </c>
      <c r="V46" s="1351" t="s">
        <v>103</v>
      </c>
      <c r="W46" s="1352">
        <f t="shared" si="14"/>
        <v>100</v>
      </c>
      <c r="X46" s="1339"/>
      <c r="Y46" s="3686"/>
      <c r="Z46" s="1353">
        <f t="shared" si="18"/>
        <v>111</v>
      </c>
      <c r="AA46" s="1354">
        <f t="shared" si="15"/>
        <v>1</v>
      </c>
      <c r="AB46" s="1354">
        <f t="shared" si="16"/>
        <v>1</v>
      </c>
      <c r="AC46" s="1354">
        <f t="shared" si="17"/>
        <v>1</v>
      </c>
    </row>
    <row r="47" spans="1:29" ht="15">
      <c r="A47" s="163" t="s">
        <v>102</v>
      </c>
      <c r="B47" s="164"/>
      <c r="C47" s="2829" t="s">
        <v>101</v>
      </c>
      <c r="D47" s="2830"/>
      <c r="E47" s="2831"/>
      <c r="F47" s="2832"/>
      <c r="G47" s="2833"/>
      <c r="H47" s="2834"/>
      <c r="I47" s="2831"/>
      <c r="J47" s="2834"/>
      <c r="K47" s="1363"/>
      <c r="L47" s="2296"/>
      <c r="M47" s="2297"/>
      <c r="N47" s="2289"/>
      <c r="O47" s="2297"/>
      <c r="P47" s="3678" t="str">
        <f>A47</f>
        <v>成交单价（元/平方米）</v>
      </c>
      <c r="Q47" s="3678"/>
      <c r="R47" s="3679">
        <f>E47</f>
        <v>0</v>
      </c>
      <c r="S47" s="3679"/>
      <c r="T47" s="3679">
        <f>G47</f>
        <v>0</v>
      </c>
      <c r="U47" s="3679"/>
      <c r="V47" s="3679">
        <f>I47</f>
        <v>0</v>
      </c>
      <c r="W47" s="3679"/>
      <c r="X47" s="1364"/>
      <c r="Y47" s="1365"/>
      <c r="Z47" s="1364"/>
      <c r="AA47" s="1364"/>
      <c r="AB47" s="1364"/>
      <c r="AC47" s="1364"/>
    </row>
    <row r="48" spans="1:29" ht="15.75" thickBot="1">
      <c r="A48" s="165" t="s">
        <v>100</v>
      </c>
      <c r="B48" s="166"/>
      <c r="C48" s="2835" t="e">
        <f>R49</f>
        <v>#DIV/0!</v>
      </c>
      <c r="D48" s="2836"/>
      <c r="E48" s="2837" t="e">
        <f>R48</f>
        <v>#DIV/0!</v>
      </c>
      <c r="F48" s="2837"/>
      <c r="G48" s="2835" t="e">
        <f>T48</f>
        <v>#DIV/0!</v>
      </c>
      <c r="H48" s="2836"/>
      <c r="I48" s="2837" t="e">
        <f>V48</f>
        <v>#DIV/0!</v>
      </c>
      <c r="J48" s="2836"/>
      <c r="K48" s="1366"/>
      <c r="L48" s="2296"/>
      <c r="M48" s="2297"/>
      <c r="N48" s="2297"/>
      <c r="O48" s="2297"/>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1364"/>
      <c r="Y48" s="1364"/>
      <c r="Z48" s="1364"/>
      <c r="AA48" s="1364"/>
      <c r="AB48" s="1364"/>
      <c r="AC48" s="1364"/>
    </row>
    <row r="49" spans="1:29" ht="15.75" thickBot="1">
      <c r="A49" s="115" t="s">
        <v>3025</v>
      </c>
      <c r="B49" s="116"/>
      <c r="C49" s="2838" t="e">
        <f>R49</f>
        <v>#DIV/0!</v>
      </c>
      <c r="D49" s="2839"/>
      <c r="E49" s="2839"/>
      <c r="F49" s="2839"/>
      <c r="G49" s="2839"/>
      <c r="H49" s="2839"/>
      <c r="I49" s="2839"/>
      <c r="J49" s="2839"/>
      <c r="K49" s="1367"/>
      <c r="L49" s="2296"/>
      <c r="M49" s="2297"/>
      <c r="N49" s="2297"/>
      <c r="O49" s="2297"/>
      <c r="P49" s="3675" t="str">
        <f>A49</f>
        <v>估价对象XX用房的比较价值（楼面单价，元/平方米）</v>
      </c>
      <c r="Q49" s="3676"/>
      <c r="R49" s="3677" t="e">
        <f>IF(F1="售价",ROUND(AVERAGE(R48:V48),0),ROUND(AVERAGE(R48:V48),1))</f>
        <v>#DIV/0!</v>
      </c>
      <c r="S49" s="3677"/>
      <c r="T49" s="3677"/>
      <c r="U49" s="3677"/>
      <c r="V49" s="3677"/>
      <c r="W49" s="3677"/>
      <c r="X49" s="1364"/>
      <c r="Y49" s="1364"/>
      <c r="Z49" s="1364"/>
      <c r="AA49" s="1364"/>
      <c r="AB49" s="1364"/>
      <c r="AC49" s="1364"/>
    </row>
    <row r="50" spans="1:29">
      <c r="A50" s="2297"/>
      <c r="B50" s="2297"/>
      <c r="C50" s="2297"/>
      <c r="D50" s="2297"/>
      <c r="E50" s="2297"/>
      <c r="F50" s="2297"/>
      <c r="G50" s="2306"/>
      <c r="H50" s="2297"/>
      <c r="I50" s="2297"/>
      <c r="J50" s="2297"/>
      <c r="K50" s="2298"/>
      <c r="L50" s="2299"/>
      <c r="M50" s="2297"/>
      <c r="N50" s="2297"/>
      <c r="O50" s="2297"/>
    </row>
    <row r="51" spans="1:29">
      <c r="A51" s="2297"/>
      <c r="B51" s="2297"/>
      <c r="C51" s="2297"/>
      <c r="D51" s="2297"/>
      <c r="E51" s="2297"/>
      <c r="F51" s="2297"/>
      <c r="G51" s="2297"/>
      <c r="H51" s="2297"/>
      <c r="I51" s="2297"/>
      <c r="J51" s="2297"/>
      <c r="K51" s="2298"/>
      <c r="L51" s="2299"/>
      <c r="M51" s="2297"/>
      <c r="N51" s="2297"/>
      <c r="O51" s="2297"/>
    </row>
    <row r="52" spans="1:29" ht="13.5" customHeight="1">
      <c r="A52" s="2297"/>
      <c r="B52" s="2297"/>
      <c r="C52" s="839" t="s">
        <v>1006</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298"/>
      <c r="L52" s="2299"/>
      <c r="M52" s="2297"/>
      <c r="N52" s="2297"/>
      <c r="O52" s="2297"/>
    </row>
    <row r="53" spans="1:29" ht="13.5" customHeight="1">
      <c r="A53" s="2297"/>
      <c r="B53" s="2297"/>
      <c r="C53" s="839" t="s">
        <v>1007</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298"/>
      <c r="L53" s="2299"/>
      <c r="M53" s="2297"/>
      <c r="N53" s="2297"/>
      <c r="O53" s="2297"/>
    </row>
    <row r="54" spans="1:29" s="119" customFormat="1" ht="13.5" customHeight="1">
      <c r="A54" s="2302"/>
      <c r="B54" s="2302"/>
      <c r="C54" s="839" t="s">
        <v>1008</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0"/>
      <c r="L54" s="2301"/>
      <c r="M54" s="2302"/>
      <c r="N54" s="2302"/>
      <c r="O54" s="2302"/>
      <c r="P54" s="1370"/>
    </row>
    <row r="55" spans="1:29" s="119" customFormat="1">
      <c r="A55" s="2302"/>
      <c r="B55" s="2307"/>
      <c r="C55" s="2308"/>
      <c r="D55" s="2302"/>
      <c r="E55" s="2302"/>
      <c r="F55" s="2302"/>
      <c r="G55" s="2302"/>
      <c r="H55" s="2302"/>
      <c r="I55" s="2302"/>
      <c r="J55" s="2302"/>
      <c r="K55" s="2300"/>
      <c r="L55" s="2301"/>
      <c r="M55" s="2302"/>
      <c r="N55" s="2302"/>
      <c r="O55" s="2302"/>
      <c r="P55" s="1370"/>
    </row>
    <row r="56" spans="1:29">
      <c r="A56" s="2297"/>
      <c r="B56" s="2307"/>
      <c r="C56" s="2308"/>
      <c r="D56" s="2297"/>
      <c r="E56" s="2297"/>
      <c r="F56" s="2297"/>
      <c r="G56" s="2297"/>
      <c r="H56" s="2297"/>
      <c r="I56" s="2297"/>
      <c r="J56" s="2297"/>
      <c r="K56" s="2298"/>
      <c r="L56" s="2299"/>
      <c r="M56" s="2297"/>
      <c r="N56" s="2297"/>
      <c r="O56" s="2297"/>
    </row>
    <row r="57" spans="1:29" ht="21" thickBot="1">
      <c r="A57" s="1371" t="s">
        <v>127</v>
      </c>
      <c r="B57" s="1364"/>
      <c r="C57" s="1372"/>
      <c r="D57" s="1372"/>
      <c r="E57" s="1372"/>
      <c r="F57" s="1373"/>
      <c r="G57" s="1373"/>
      <c r="H57" s="1372"/>
      <c r="I57" s="1372"/>
      <c r="J57" s="1372"/>
      <c r="K57" s="2303"/>
      <c r="L57" s="2304"/>
      <c r="M57" s="2305"/>
      <c r="N57" s="2305"/>
      <c r="O57" s="2305"/>
      <c r="P57" s="1375"/>
      <c r="Q57" s="121"/>
    </row>
    <row r="58" spans="1:29" s="850" customFormat="1" ht="15">
      <c r="A58" s="847" t="s">
        <v>2803</v>
      </c>
      <c r="B58" s="848"/>
      <c r="C58" s="3040" t="str">
        <f>YEAR(C7)&amp;"-"&amp;MONTH(C7)</f>
        <v>2017-7</v>
      </c>
      <c r="D58" s="3039">
        <f>EDATE(C58,-1)</f>
        <v>42887</v>
      </c>
      <c r="E58" s="3039">
        <f>EDATE(D58,-1)</f>
        <v>42856</v>
      </c>
      <c r="F58" s="3039">
        <f t="shared" ref="F58:O58" si="19">EDATE(E58,-1)</f>
        <v>42826</v>
      </c>
      <c r="G58" s="3039">
        <f t="shared" si="19"/>
        <v>42795</v>
      </c>
      <c r="H58" s="3039">
        <f t="shared" si="19"/>
        <v>42767</v>
      </c>
      <c r="I58" s="3039">
        <f t="shared" si="19"/>
        <v>42736</v>
      </c>
      <c r="J58" s="3039">
        <f t="shared" si="19"/>
        <v>42705</v>
      </c>
      <c r="K58" s="3039">
        <f t="shared" si="19"/>
        <v>42675</v>
      </c>
      <c r="L58" s="3039">
        <f t="shared" si="19"/>
        <v>42644</v>
      </c>
      <c r="M58" s="3039">
        <f t="shared" si="19"/>
        <v>42614</v>
      </c>
      <c r="N58" s="3039">
        <f t="shared" si="19"/>
        <v>42583</v>
      </c>
      <c r="O58" s="3039">
        <f t="shared" si="19"/>
        <v>42552</v>
      </c>
      <c r="P58" s="3032"/>
    </row>
    <row r="59" spans="1:29" s="40" customFormat="1" ht="14.25">
      <c r="A59" s="1044"/>
      <c r="B59" s="3035"/>
      <c r="C59" s="3036">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1009</v>
      </c>
      <c r="D65" s="881" t="s">
        <v>1010</v>
      </c>
      <c r="E65" s="881" t="s">
        <v>1011</v>
      </c>
      <c r="F65" s="881" t="s">
        <v>1012</v>
      </c>
      <c r="G65" s="881" t="s">
        <v>1013</v>
      </c>
      <c r="H65" s="881" t="s">
        <v>1014</v>
      </c>
      <c r="I65" s="881" t="s">
        <v>1015</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1016</v>
      </c>
      <c r="D76" s="915" t="s">
        <v>1017</v>
      </c>
      <c r="E76" s="915" t="s">
        <v>1018</v>
      </c>
      <c r="F76" s="915" t="s">
        <v>1019</v>
      </c>
      <c r="G76" s="915" t="s">
        <v>1020</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1016</v>
      </c>
      <c r="D78" s="920" t="s">
        <v>1017</v>
      </c>
      <c r="E78" s="920" t="s">
        <v>1018</v>
      </c>
      <c r="F78" s="920" t="s">
        <v>1019</v>
      </c>
      <c r="G78" s="920" t="s">
        <v>1020</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2642</v>
      </c>
      <c r="C80" s="920" t="s">
        <v>1016</v>
      </c>
      <c r="D80" s="920" t="s">
        <v>1017</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2652</v>
      </c>
      <c r="C82" s="177" t="s">
        <v>2653</v>
      </c>
      <c r="D82" s="177" t="s">
        <v>2657</v>
      </c>
      <c r="E82" s="177" t="s">
        <v>2654</v>
      </c>
      <c r="F82" s="177" t="s">
        <v>2655</v>
      </c>
      <c r="G82" s="177" t="s">
        <v>2656</v>
      </c>
      <c r="H82" s="881"/>
      <c r="I82" s="881"/>
      <c r="J82" s="881"/>
      <c r="K82" s="881"/>
      <c r="L82" s="881"/>
      <c r="M82" s="2758"/>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2301</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2644</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34" t="s">
        <v>2302</v>
      </c>
    </row>
    <row r="137" spans="1:17" ht="14.25">
      <c r="B137" s="2135" t="s">
        <v>2303</v>
      </c>
      <c r="C137" s="2136"/>
      <c r="D137" s="2136"/>
      <c r="E137" s="2136"/>
      <c r="F137" s="2136"/>
      <c r="G137" s="2137"/>
      <c r="H137" s="2138"/>
      <c r="I137" s="2139" t="s">
        <v>2304</v>
      </c>
      <c r="J137" s="2136"/>
      <c r="K137" s="2140"/>
    </row>
    <row r="138" spans="1:17" ht="14.25">
      <c r="B138" s="2141"/>
      <c r="C138" s="1770" t="s">
        <v>2305</v>
      </c>
      <c r="D138" s="1770" t="s">
        <v>2306</v>
      </c>
      <c r="E138" s="2142" t="s">
        <v>2307</v>
      </c>
      <c r="F138" s="2143" t="s">
        <v>2308</v>
      </c>
      <c r="G138" s="1770" t="s">
        <v>2306</v>
      </c>
      <c r="H138" s="2144" t="s">
        <v>2307</v>
      </c>
      <c r="I138" s="2145"/>
      <c r="J138" s="1770" t="s">
        <v>2309</v>
      </c>
      <c r="K138" s="2144" t="s">
        <v>2310</v>
      </c>
    </row>
    <row r="139" spans="1:17" ht="15">
      <c r="B139" s="2146">
        <v>6</v>
      </c>
      <c r="C139" s="2147">
        <v>96</v>
      </c>
      <c r="D139" s="2148" t="s">
        <v>2311</v>
      </c>
      <c r="E139" s="2149">
        <v>100</v>
      </c>
      <c r="F139" s="2150">
        <v>102.5</v>
      </c>
      <c r="G139" s="2148" t="s">
        <v>2311</v>
      </c>
      <c r="H139" s="2151">
        <v>105</v>
      </c>
      <c r="I139" s="2152" t="s">
        <v>2312</v>
      </c>
      <c r="J139" s="2147">
        <v>20</v>
      </c>
      <c r="K139" s="2153">
        <f>C145/(J139-2)</f>
        <v>4.0555555555555553E-3</v>
      </c>
    </row>
    <row r="140" spans="1:17" ht="15">
      <c r="B140" s="2154">
        <v>5</v>
      </c>
      <c r="C140" s="2155">
        <v>100</v>
      </c>
      <c r="D140" s="2156"/>
      <c r="E140" s="2157"/>
      <c r="F140" s="2158">
        <v>102</v>
      </c>
      <c r="G140" s="2156"/>
      <c r="H140" s="2159"/>
      <c r="I140" s="2160" t="s">
        <v>2313</v>
      </c>
      <c r="J140" s="646">
        <f>ROUNDUP((J139-1)/2,0)</f>
        <v>10</v>
      </c>
      <c r="K140" s="2161">
        <v>100</v>
      </c>
    </row>
    <row r="141" spans="1:17" ht="15">
      <c r="B141" s="2154">
        <v>4</v>
      </c>
      <c r="C141" s="2155">
        <v>102</v>
      </c>
      <c r="D141" s="2156"/>
      <c r="E141" s="2157"/>
      <c r="F141" s="2158">
        <v>101.5</v>
      </c>
      <c r="G141" s="2156"/>
      <c r="H141" s="2159"/>
      <c r="I141" s="2160" t="s">
        <v>2314</v>
      </c>
      <c r="J141" s="646">
        <v>1</v>
      </c>
      <c r="K141" s="2162">
        <f>ROUND(100+(J141-J140)*K139*100,1)</f>
        <v>96.4</v>
      </c>
    </row>
    <row r="142" spans="1:17" ht="15">
      <c r="B142" s="2154">
        <v>3</v>
      </c>
      <c r="C142" s="2155">
        <v>103</v>
      </c>
      <c r="D142" s="2156"/>
      <c r="E142" s="2157"/>
      <c r="F142" s="2158">
        <v>101</v>
      </c>
      <c r="G142" s="2156"/>
      <c r="H142" s="2159"/>
      <c r="I142" s="2160" t="s">
        <v>2315</v>
      </c>
      <c r="J142" s="646">
        <f>J139</f>
        <v>20</v>
      </c>
      <c r="K142" s="2163">
        <v>95</v>
      </c>
    </row>
    <row r="143" spans="1:17" ht="15">
      <c r="B143" s="2154">
        <v>2</v>
      </c>
      <c r="C143" s="2155">
        <v>100</v>
      </c>
      <c r="D143" s="2156"/>
      <c r="E143" s="2157"/>
      <c r="F143" s="2158">
        <v>100.5</v>
      </c>
      <c r="G143" s="2156"/>
      <c r="H143" s="2159"/>
      <c r="I143" s="2160" t="s">
        <v>2316</v>
      </c>
      <c r="J143" s="2155">
        <v>15</v>
      </c>
      <c r="K143" s="2162">
        <f>ROUND(100+(J143-J140)*K139*100,1)</f>
        <v>102</v>
      </c>
    </row>
    <row r="144" spans="1:17" ht="15">
      <c r="B144" s="2154">
        <v>1</v>
      </c>
      <c r="C144" s="2155">
        <v>98</v>
      </c>
      <c r="D144" s="1159" t="s">
        <v>2317</v>
      </c>
      <c r="E144" s="2157">
        <v>102</v>
      </c>
      <c r="F144" s="2164">
        <v>100</v>
      </c>
      <c r="G144" s="1159" t="s">
        <v>2317</v>
      </c>
      <c r="H144" s="2159">
        <v>105</v>
      </c>
      <c r="I144" s="2160" t="s">
        <v>2316</v>
      </c>
      <c r="J144" s="2155">
        <v>18</v>
      </c>
      <c r="K144" s="2162">
        <f>ROUND(100+(J144-J140)*K139*100,1)</f>
        <v>103.2</v>
      </c>
    </row>
    <row r="145" spans="2:11" ht="15.75" thickBot="1">
      <c r="B145" s="2165" t="s">
        <v>2318</v>
      </c>
      <c r="C145" s="2166">
        <f>ROUND(MAX(C139:C144)/MIN(C139:C144)-1,3)</f>
        <v>7.2999999999999995E-2</v>
      </c>
      <c r="D145" s="2167"/>
      <c r="E145" s="2168"/>
      <c r="F145" s="2169" t="s">
        <v>2319</v>
      </c>
      <c r="G145" s="2170"/>
      <c r="H145" s="2171"/>
      <c r="I145" s="2172" t="s">
        <v>2320</v>
      </c>
      <c r="J145" s="2173">
        <v>8</v>
      </c>
      <c r="K145" s="2174">
        <f>ROUND(100+(J145-J140)*K139*100,1)</f>
        <v>99.2</v>
      </c>
    </row>
    <row r="147" spans="2:11">
      <c r="B147" s="2134" t="s">
        <v>2327</v>
      </c>
    </row>
    <row r="148" spans="2:11">
      <c r="B148" s="2134" t="s">
        <v>2328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5" type="noConversion"/>
  <conditionalFormatting sqref="F52 H52 J52">
    <cfRule type="containsText" dxfId="114" priority="15" stopIfTrue="1" operator="containsText" text="超过">
      <formula>NOT(ISERROR(SEARCH("超过",F52)))</formula>
    </cfRule>
  </conditionalFormatting>
  <conditionalFormatting sqref="J54">
    <cfRule type="containsText" dxfId="113" priority="14" stopIfTrue="1" operator="containsText" text="超过">
      <formula>NOT(ISERROR(SEARCH("超过",J54)))</formula>
    </cfRule>
  </conditionalFormatting>
  <conditionalFormatting sqref="H54">
    <cfRule type="containsText" dxfId="112" priority="13" stopIfTrue="1" operator="containsText" text="超过">
      <formula>NOT(ISERROR(SEARCH("超过",H54)))</formula>
    </cfRule>
  </conditionalFormatting>
  <conditionalFormatting sqref="F54">
    <cfRule type="containsText" dxfId="111" priority="12" stopIfTrue="1" operator="containsText" text="超过">
      <formula>NOT(ISERROR(SEARCH("超过",F54)))</formula>
    </cfRule>
  </conditionalFormatting>
  <conditionalFormatting sqref="F53 H53 J53">
    <cfRule type="containsText" dxfId="110" priority="11" stopIfTrue="1" operator="containsText" text="超过">
      <formula>NOT(ISERROR(SEARCH("超过",F53)))</formula>
    </cfRule>
  </conditionalFormatting>
  <conditionalFormatting sqref="E52">
    <cfRule type="expression" dxfId="109" priority="10" stopIfTrue="1">
      <formula>$F$52="超过30%"</formula>
    </cfRule>
  </conditionalFormatting>
  <conditionalFormatting sqref="G54">
    <cfRule type="expression" dxfId="108" priority="8" stopIfTrue="1">
      <formula>$H$54="超过30%"</formula>
    </cfRule>
  </conditionalFormatting>
  <conditionalFormatting sqref="E53">
    <cfRule type="expression" dxfId="107" priority="7" stopIfTrue="1">
      <formula>$F$53="超过20%"</formula>
    </cfRule>
  </conditionalFormatting>
  <conditionalFormatting sqref="E54">
    <cfRule type="expression" dxfId="106" priority="6" stopIfTrue="1">
      <formula>$F$54="超过30%"</formula>
    </cfRule>
  </conditionalFormatting>
  <conditionalFormatting sqref="G52">
    <cfRule type="expression" dxfId="105" priority="5" stopIfTrue="1">
      <formula>$H$52="超过30%"</formula>
    </cfRule>
  </conditionalFormatting>
  <conditionalFormatting sqref="G53">
    <cfRule type="expression" dxfId="104" priority="4" stopIfTrue="1">
      <formula>$H$53="超过20%"</formula>
    </cfRule>
  </conditionalFormatting>
  <conditionalFormatting sqref="I52">
    <cfRule type="expression" dxfId="103" priority="3" stopIfTrue="1">
      <formula>$J$52="超过30%"</formula>
    </cfRule>
  </conditionalFormatting>
  <conditionalFormatting sqref="I53">
    <cfRule type="expression" dxfId="102" priority="2" stopIfTrue="1">
      <formula>$J$53="超过20%"</formula>
    </cfRule>
  </conditionalFormatting>
  <conditionalFormatting sqref="I54">
    <cfRule type="expression" dxfId="10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1</v>
      </c>
      <c r="C1" s="3099" t="s">
        <v>128</v>
      </c>
      <c r="D1" s="3100"/>
      <c r="E1" s="3103"/>
      <c r="F1" s="3102"/>
      <c r="G1" s="3104" t="s">
        <v>129</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172</v>
      </c>
      <c r="B2" s="2840" t="e">
        <f ca="1">IF(C2="——",ROUND(C49*D3/10000,0),ROUND(C49*D3/10000,0)-D2)</f>
        <v>#DIV/0!</v>
      </c>
      <c r="C2" s="3094"/>
      <c r="D2" s="2717" t="e">
        <f ca="1">SUMIF(INDIRECT("'"&amp;F2&amp;"'"&amp;"!A:A"),"承租人权益价值",INDIRECT("'"&amp;F2&amp;"'"&amp;"!c:c"))</f>
        <v>#REF!</v>
      </c>
      <c r="E2" s="3095" t="s">
        <v>868</v>
      </c>
      <c r="F2" s="3096"/>
      <c r="G2" s="2311"/>
      <c r="H2" s="2311"/>
      <c r="I2" s="2311"/>
      <c r="J2" s="2311"/>
      <c r="K2" s="2311"/>
      <c r="L2" s="2312"/>
      <c r="M2" s="2313"/>
      <c r="N2" s="2313"/>
      <c r="O2" s="2313"/>
      <c r="P2" s="2315"/>
      <c r="Q2" s="2313"/>
      <c r="R2" s="2313"/>
      <c r="S2" s="2313"/>
      <c r="T2" s="2313"/>
      <c r="U2" s="2313"/>
      <c r="V2" s="2313"/>
      <c r="W2" s="2313"/>
      <c r="X2" s="2313"/>
      <c r="Y2" s="2313"/>
      <c r="Z2" s="2313"/>
      <c r="AA2" s="2313"/>
      <c r="AB2" s="2313"/>
      <c r="AC2" s="2316"/>
    </row>
    <row r="3" spans="1:29" s="90" customFormat="1" ht="28.5" customHeight="1" thickBot="1">
      <c r="A3" s="87" t="s">
        <v>173</v>
      </c>
      <c r="B3" s="951" t="e">
        <f ca="1">IF(C2="——",C49,ROUND(B2*10000/D3,0))</f>
        <v>#DIV/0!</v>
      </c>
      <c r="C3" s="142" t="s">
        <v>167</v>
      </c>
      <c r="D3" s="741">
        <f>IF(D1="",'数据-汇总表'!E3,SUMIF('数据-汇总表'!$C19:$C33,D1,'数据-汇总表'!$E19:$E33))</f>
        <v>88021.11</v>
      </c>
      <c r="E3" s="2309"/>
      <c r="F3" s="2310"/>
      <c r="G3" s="2311"/>
      <c r="H3" s="2311"/>
      <c r="I3" s="2311"/>
      <c r="J3" s="2311"/>
      <c r="K3" s="2314"/>
      <c r="L3" s="2312"/>
      <c r="M3" s="2313"/>
      <c r="N3" s="2313"/>
      <c r="O3" s="2313"/>
      <c r="P3" s="2315"/>
      <c r="Q3" s="2313"/>
      <c r="R3" s="2313"/>
      <c r="S3" s="2313"/>
      <c r="T3" s="2313"/>
      <c r="U3" s="2313"/>
      <c r="V3" s="2313"/>
      <c r="W3" s="2313"/>
      <c r="X3" s="2313"/>
      <c r="Y3" s="2313"/>
      <c r="Z3" s="2313"/>
      <c r="AA3" s="2313"/>
      <c r="AB3" s="2313"/>
      <c r="AC3" s="2309"/>
    </row>
    <row r="4" spans="1:29">
      <c r="A4" s="143" t="s">
        <v>53</v>
      </c>
      <c r="B4" s="144"/>
      <c r="C4" s="3693" t="s">
        <v>54</v>
      </c>
      <c r="D4" s="3694"/>
      <c r="E4" s="3695" t="s">
        <v>55</v>
      </c>
      <c r="F4" s="3696"/>
      <c r="G4" s="3693" t="s">
        <v>56</v>
      </c>
      <c r="H4" s="3694"/>
      <c r="I4" s="3693" t="s">
        <v>57</v>
      </c>
      <c r="J4" s="3694"/>
      <c r="K4" s="187" t="s">
        <v>58</v>
      </c>
      <c r="L4" s="2288"/>
      <c r="M4" s="2289"/>
      <c r="N4" s="2289"/>
      <c r="O4" s="2289"/>
      <c r="P4" s="3697" t="s">
        <v>53</v>
      </c>
      <c r="Q4" s="3698"/>
      <c r="R4" s="3703" t="s">
        <v>55</v>
      </c>
      <c r="S4" s="3704"/>
      <c r="T4" s="3703" t="s">
        <v>56</v>
      </c>
      <c r="U4" s="3704"/>
      <c r="V4" s="3709" t="s">
        <v>57</v>
      </c>
      <c r="W4" s="3709"/>
      <c r="X4" s="1339"/>
      <c r="Y4" s="3703" t="s">
        <v>53</v>
      </c>
      <c r="Z4" s="3704"/>
      <c r="AA4" s="3690" t="s">
        <v>55</v>
      </c>
      <c r="AB4" s="3709" t="s">
        <v>56</v>
      </c>
      <c r="AC4" s="3690" t="s">
        <v>57</v>
      </c>
    </row>
    <row r="5" spans="1:29">
      <c r="A5" s="146"/>
      <c r="B5" s="147"/>
      <c r="C5" s="3612" t="s">
        <v>59</v>
      </c>
      <c r="D5" s="3613"/>
      <c r="E5" s="3640" t="s">
        <v>60</v>
      </c>
      <c r="F5" s="3641"/>
      <c r="G5" s="3612" t="s">
        <v>61</v>
      </c>
      <c r="H5" s="3613"/>
      <c r="I5" s="3612" t="s">
        <v>62</v>
      </c>
      <c r="J5" s="3613"/>
      <c r="K5" s="187"/>
      <c r="L5" s="2288"/>
      <c r="M5" s="2289"/>
      <c r="N5" s="2289"/>
      <c r="O5" s="2289"/>
      <c r="P5" s="3699"/>
      <c r="Q5" s="3700"/>
      <c r="R5" s="3705"/>
      <c r="S5" s="3706"/>
      <c r="T5" s="3705"/>
      <c r="U5" s="3706"/>
      <c r="V5" s="3709"/>
      <c r="W5" s="3709"/>
      <c r="X5" s="1339"/>
      <c r="Y5" s="3705"/>
      <c r="Z5" s="3706"/>
      <c r="AA5" s="3691"/>
      <c r="AB5" s="3709"/>
      <c r="AC5" s="3691"/>
    </row>
    <row r="6" spans="1:29" ht="14.25" thickBot="1">
      <c r="A6" s="148"/>
      <c r="B6" s="149"/>
      <c r="C6" s="3619" t="s">
        <v>63</v>
      </c>
      <c r="D6" s="3620"/>
      <c r="E6" s="3617" t="s">
        <v>63</v>
      </c>
      <c r="F6" s="3618"/>
      <c r="G6" s="3619" t="s">
        <v>63</v>
      </c>
      <c r="H6" s="3620"/>
      <c r="I6" s="3619" t="s">
        <v>63</v>
      </c>
      <c r="J6" s="3620"/>
      <c r="K6" s="187" t="s">
        <v>117</v>
      </c>
      <c r="L6" s="2288"/>
      <c r="M6" s="2289"/>
      <c r="N6" s="2289"/>
      <c r="O6" s="2289"/>
      <c r="P6" s="3701"/>
      <c r="Q6" s="3702"/>
      <c r="R6" s="3705"/>
      <c r="S6" s="3706"/>
      <c r="T6" s="3707"/>
      <c r="U6" s="3708"/>
      <c r="V6" s="3709"/>
      <c r="W6" s="3709"/>
      <c r="X6" s="1339"/>
      <c r="Y6" s="3707"/>
      <c r="Z6" s="3708"/>
      <c r="AA6" s="3692"/>
      <c r="AB6" s="3709"/>
      <c r="AC6" s="3692"/>
    </row>
    <row r="7" spans="1:29" s="40" customFormat="1" ht="15" thickBot="1">
      <c r="A7" s="1013" t="s">
        <v>64</v>
      </c>
      <c r="B7" s="1014"/>
      <c r="C7" s="1015">
        <f>'数据-取费表'!B2</f>
        <v>42941</v>
      </c>
      <c r="D7" s="753">
        <v>100</v>
      </c>
      <c r="E7" s="1016"/>
      <c r="F7" s="755">
        <f>SUMIF(58:58,YEAR(E7)&amp;"-"&amp;MONTH(E7),59:59)</f>
        <v>0</v>
      </c>
      <c r="G7" s="1016"/>
      <c r="H7" s="753">
        <f>SUMIF(58:58,YEAR(G7)&amp;"-"&amp;MONTH(G7),59:59)</f>
        <v>0</v>
      </c>
      <c r="I7" s="1016"/>
      <c r="J7" s="753">
        <f>SUMIF(58:58,YEAR(I7)&amp;"-"&amp;MONTH(I7),59:59)</f>
        <v>0</v>
      </c>
      <c r="K7" s="1018"/>
      <c r="L7" s="2290"/>
      <c r="M7" s="2252"/>
      <c r="N7" s="2252"/>
      <c r="O7" s="2252"/>
      <c r="P7" s="3710" t="s">
        <v>64</v>
      </c>
      <c r="Q7" s="3712"/>
      <c r="R7" s="1341" t="s">
        <v>65</v>
      </c>
      <c r="S7" s="1342">
        <f t="shared" ref="S7:S15" si="0">F7</f>
        <v>0</v>
      </c>
      <c r="T7" s="1341" t="s">
        <v>65</v>
      </c>
      <c r="U7" s="1342">
        <f t="shared" ref="U7:U15" si="1">H7</f>
        <v>0</v>
      </c>
      <c r="V7" s="1341" t="s">
        <v>65</v>
      </c>
      <c r="W7" s="1342">
        <f t="shared" ref="W7:W15" si="2">J7</f>
        <v>0</v>
      </c>
      <c r="X7" s="287"/>
      <c r="Y7" s="3710" t="s">
        <v>64</v>
      </c>
      <c r="Z7" s="3711"/>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0"/>
      <c r="M8" s="2252"/>
      <c r="N8" s="2252"/>
      <c r="O8" s="2252"/>
      <c r="P8" s="3710" t="s">
        <v>1021</v>
      </c>
      <c r="Q8" s="3711"/>
      <c r="R8" s="1341" t="s">
        <v>65</v>
      </c>
      <c r="S8" s="1342">
        <f t="shared" si="0"/>
        <v>0</v>
      </c>
      <c r="T8" s="1341" t="s">
        <v>65</v>
      </c>
      <c r="U8" s="1342">
        <f t="shared" si="1"/>
        <v>0</v>
      </c>
      <c r="V8" s="1341" t="s">
        <v>65</v>
      </c>
      <c r="W8" s="1342">
        <f t="shared" si="2"/>
        <v>0</v>
      </c>
      <c r="X8" s="287"/>
      <c r="Y8" s="3710" t="s">
        <v>1021</v>
      </c>
      <c r="Z8" s="3711"/>
      <c r="AA8" s="1343" t="e">
        <f t="shared" ref="AA8:AA46" si="3">D8/F8</f>
        <v>#DIV/0!</v>
      </c>
      <c r="AB8" s="1343" t="e">
        <f t="shared" ref="AB8:AB46" si="4">D8/H8</f>
        <v>#DIV/0!</v>
      </c>
      <c r="AC8" s="1343" t="e">
        <f t="shared" ref="AC8:AC46" si="5">D8/J8</f>
        <v>#DIV/0!</v>
      </c>
    </row>
    <row r="9" spans="1:29" s="40" customFormat="1" ht="14.25">
      <c r="A9" s="1020" t="s">
        <v>1022</v>
      </c>
      <c r="B9" s="62" t="s">
        <v>1023</v>
      </c>
      <c r="C9" s="1345"/>
      <c r="D9" s="424">
        <v>100</v>
      </c>
      <c r="E9" s="1346"/>
      <c r="F9" s="760">
        <f>SUMIF(63:63,E9,64:64)-SUMIF(63:63,C9,64:64)+100</f>
        <v>100</v>
      </c>
      <c r="G9" s="1346"/>
      <c r="H9" s="424">
        <f>SUMIF(63:63,G9,64:64)-SUMIF(63:63,C9,64:64)+100</f>
        <v>100</v>
      </c>
      <c r="I9" s="1346"/>
      <c r="J9" s="424">
        <f>SUMIF(63:63,I9,64:64)-SUMIF(63:63,C9,64:64)+100</f>
        <v>100</v>
      </c>
      <c r="K9" s="1018"/>
      <c r="L9" s="2290"/>
      <c r="M9" s="2252"/>
      <c r="N9" s="2252"/>
      <c r="O9" s="2252"/>
      <c r="P9" s="3689" t="s">
        <v>67</v>
      </c>
      <c r="Q9" s="7" t="str">
        <f t="shared" ref="Q9:Q15" si="6">B9</f>
        <v>用途</v>
      </c>
      <c r="R9" s="1341" t="s">
        <v>65</v>
      </c>
      <c r="S9" s="1342">
        <f t="shared" si="0"/>
        <v>100</v>
      </c>
      <c r="T9" s="1341" t="s">
        <v>65</v>
      </c>
      <c r="U9" s="1342">
        <f t="shared" si="1"/>
        <v>100</v>
      </c>
      <c r="V9" s="1341" t="s">
        <v>65</v>
      </c>
      <c r="W9" s="1342">
        <f t="shared" si="2"/>
        <v>100</v>
      </c>
      <c r="X9" s="287"/>
      <c r="Y9" s="3446"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1"/>
      <c r="M10" s="2292"/>
      <c r="N10" s="2292"/>
      <c r="O10" s="2292"/>
      <c r="P10" s="3689"/>
      <c r="Q10" s="7" t="str">
        <f t="shared" si="6"/>
        <v>土地使用年限（年）</v>
      </c>
      <c r="R10" s="1341" t="s">
        <v>65</v>
      </c>
      <c r="S10" s="1342">
        <f t="shared" si="0"/>
        <v>100</v>
      </c>
      <c r="T10" s="1341" t="s">
        <v>65</v>
      </c>
      <c r="U10" s="1342">
        <f t="shared" si="1"/>
        <v>100</v>
      </c>
      <c r="V10" s="1341" t="s">
        <v>65</v>
      </c>
      <c r="W10" s="1342">
        <f t="shared" si="2"/>
        <v>100</v>
      </c>
      <c r="X10" s="287"/>
      <c r="Y10" s="3446"/>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3"/>
      <c r="M11" s="2289"/>
      <c r="N11" s="2289"/>
      <c r="O11" s="2289"/>
      <c r="P11" s="3689"/>
      <c r="Q11" s="7" t="str">
        <f t="shared" si="6"/>
        <v>容积率</v>
      </c>
      <c r="R11" s="1341" t="s">
        <v>65</v>
      </c>
      <c r="S11" s="1342" t="e">
        <f t="shared" si="0"/>
        <v>#N/A</v>
      </c>
      <c r="T11" s="1341" t="s">
        <v>65</v>
      </c>
      <c r="U11" s="1342" t="e">
        <f t="shared" si="1"/>
        <v>#N/A</v>
      </c>
      <c r="V11" s="1341" t="s">
        <v>65</v>
      </c>
      <c r="W11" s="1342" t="e">
        <f t="shared" si="2"/>
        <v>#N/A</v>
      </c>
      <c r="X11" s="287"/>
      <c r="Y11" s="3446"/>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0"/>
      <c r="M12" s="2252"/>
      <c r="N12" s="2252"/>
      <c r="O12" s="2252"/>
      <c r="P12" s="3689"/>
      <c r="Q12" s="7">
        <f t="shared" si="6"/>
        <v>111</v>
      </c>
      <c r="R12" s="1341" t="s">
        <v>65</v>
      </c>
      <c r="S12" s="1342">
        <f t="shared" si="0"/>
        <v>100</v>
      </c>
      <c r="T12" s="1341" t="s">
        <v>65</v>
      </c>
      <c r="U12" s="1342">
        <f t="shared" si="1"/>
        <v>100</v>
      </c>
      <c r="V12" s="1341" t="s">
        <v>65</v>
      </c>
      <c r="W12" s="1342">
        <f t="shared" si="2"/>
        <v>100</v>
      </c>
      <c r="X12" s="287"/>
      <c r="Y12" s="3446"/>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4"/>
      <c r="M13" s="2289"/>
      <c r="N13" s="2289"/>
      <c r="O13" s="2289"/>
      <c r="P13" s="3689"/>
      <c r="Q13" s="7">
        <f t="shared" si="6"/>
        <v>111</v>
      </c>
      <c r="R13" s="1341" t="s">
        <v>65</v>
      </c>
      <c r="S13" s="1342">
        <f t="shared" si="0"/>
        <v>100</v>
      </c>
      <c r="T13" s="1341" t="s">
        <v>65</v>
      </c>
      <c r="U13" s="1342">
        <f t="shared" si="1"/>
        <v>100</v>
      </c>
      <c r="V13" s="1341" t="s">
        <v>65</v>
      </c>
      <c r="W13" s="1342">
        <f t="shared" si="2"/>
        <v>100</v>
      </c>
      <c r="X13" s="287"/>
      <c r="Y13" s="3446"/>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4"/>
      <c r="M14" s="2289"/>
      <c r="N14" s="2289"/>
      <c r="O14" s="2289"/>
      <c r="P14" s="3689"/>
      <c r="Q14" s="7">
        <f t="shared" si="6"/>
        <v>111</v>
      </c>
      <c r="R14" s="1341" t="s">
        <v>65</v>
      </c>
      <c r="S14" s="1342">
        <f t="shared" si="0"/>
        <v>100</v>
      </c>
      <c r="T14" s="1341" t="s">
        <v>65</v>
      </c>
      <c r="U14" s="1342">
        <f t="shared" si="1"/>
        <v>100</v>
      </c>
      <c r="V14" s="1341" t="s">
        <v>65</v>
      </c>
      <c r="W14" s="1342">
        <f t="shared" si="2"/>
        <v>100</v>
      </c>
      <c r="X14" s="287"/>
      <c r="Y14" s="3446"/>
      <c r="Z14" s="288">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294"/>
      <c r="M15" s="2289"/>
      <c r="N15" s="2289"/>
      <c r="O15" s="2289"/>
      <c r="P15" s="3687" t="s">
        <v>69</v>
      </c>
      <c r="Q15" s="1350" t="str">
        <f t="shared" si="6"/>
        <v>商业繁华度</v>
      </c>
      <c r="R15" s="1351" t="s">
        <v>65</v>
      </c>
      <c r="S15" s="1352">
        <f t="shared" si="0"/>
        <v>100</v>
      </c>
      <c r="T15" s="1351" t="s">
        <v>65</v>
      </c>
      <c r="U15" s="1352">
        <f t="shared" si="1"/>
        <v>100</v>
      </c>
      <c r="V15" s="1351" t="s">
        <v>65</v>
      </c>
      <c r="W15" s="1352">
        <f t="shared" si="2"/>
        <v>100</v>
      </c>
      <c r="X15" s="1339"/>
      <c r="Y15" s="3680"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294"/>
      <c r="M16" s="2289"/>
      <c r="N16" s="2289"/>
      <c r="O16" s="2289"/>
      <c r="P16" s="3688"/>
      <c r="Q16" s="1350"/>
      <c r="R16" s="1351"/>
      <c r="S16" s="1352"/>
      <c r="T16" s="1351"/>
      <c r="U16" s="1352"/>
      <c r="V16" s="1351"/>
      <c r="W16" s="1352"/>
      <c r="X16" s="1339"/>
      <c r="Y16" s="3681"/>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294"/>
      <c r="M17" s="2289"/>
      <c r="N17" s="2289"/>
      <c r="O17" s="2289"/>
      <c r="P17" s="3688"/>
      <c r="Q17" s="1350" t="str">
        <f>B17</f>
        <v>交通便捷度</v>
      </c>
      <c r="R17" s="1351" t="s">
        <v>65</v>
      </c>
      <c r="S17" s="1352">
        <f>F17</f>
        <v>100</v>
      </c>
      <c r="T17" s="1351" t="s">
        <v>65</v>
      </c>
      <c r="U17" s="1352">
        <f>H17</f>
        <v>100</v>
      </c>
      <c r="V17" s="1351" t="s">
        <v>65</v>
      </c>
      <c r="W17" s="1352">
        <f>J17</f>
        <v>100</v>
      </c>
      <c r="X17" s="1339"/>
      <c r="Y17" s="3681"/>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4"/>
      <c r="M18" s="2289"/>
      <c r="N18" s="2289"/>
      <c r="O18" s="2289"/>
      <c r="P18" s="3688"/>
      <c r="Q18" s="1350"/>
      <c r="R18" s="1351"/>
      <c r="S18" s="1352"/>
      <c r="T18" s="1351"/>
      <c r="U18" s="1352"/>
      <c r="V18" s="1351"/>
      <c r="W18" s="1352"/>
      <c r="X18" s="1339"/>
      <c r="Y18" s="3681"/>
      <c r="Z18" s="1353"/>
      <c r="AA18" s="1354">
        <v>1</v>
      </c>
      <c r="AB18" s="1354">
        <v>1</v>
      </c>
      <c r="AC18" s="1354">
        <v>1</v>
      </c>
    </row>
    <row r="19" spans="1:29" ht="40.5">
      <c r="A19" s="151"/>
      <c r="B19" s="1355" t="s">
        <v>2658</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294"/>
      <c r="M19" s="2289"/>
      <c r="N19" s="2289"/>
      <c r="O19" s="2289"/>
      <c r="P19" s="3688"/>
      <c r="Q19" s="1350" t="str">
        <f>B19</f>
        <v>公共配套设施</v>
      </c>
      <c r="R19" s="1351" t="s">
        <v>65</v>
      </c>
      <c r="S19" s="1352">
        <f>F19</f>
        <v>100</v>
      </c>
      <c r="T19" s="1351" t="s">
        <v>65</v>
      </c>
      <c r="U19" s="1352">
        <f>H19</f>
        <v>100</v>
      </c>
      <c r="V19" s="1351" t="s">
        <v>65</v>
      </c>
      <c r="W19" s="1352">
        <f>J19</f>
        <v>100</v>
      </c>
      <c r="X19" s="1339"/>
      <c r="Y19" s="3681"/>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4"/>
      <c r="M20" s="2289"/>
      <c r="N20" s="2289"/>
      <c r="O20" s="2289"/>
      <c r="P20" s="3688"/>
      <c r="Q20" s="1350"/>
      <c r="R20" s="1351"/>
      <c r="S20" s="1352"/>
      <c r="T20" s="1351"/>
      <c r="U20" s="1352"/>
      <c r="V20" s="1351"/>
      <c r="W20" s="1352"/>
      <c r="X20" s="1339"/>
      <c r="Y20" s="3681"/>
      <c r="Z20" s="1353"/>
      <c r="AA20" s="1354">
        <v>1</v>
      </c>
      <c r="AB20" s="1354">
        <v>1</v>
      </c>
      <c r="AC20" s="1354">
        <v>1</v>
      </c>
    </row>
    <row r="21" spans="1:29" ht="27">
      <c r="A21" s="151"/>
      <c r="B21" s="1411" t="s">
        <v>2659</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294"/>
      <c r="M21" s="2289"/>
      <c r="N21" s="2289"/>
      <c r="O21" s="2289"/>
      <c r="P21" s="3688"/>
      <c r="Q21" s="2739" t="str">
        <f>B21</f>
        <v>基础设施水平</v>
      </c>
      <c r="R21" s="1351" t="s">
        <v>65</v>
      </c>
      <c r="S21" s="1352">
        <f>F21</f>
        <v>100</v>
      </c>
      <c r="T21" s="1351" t="s">
        <v>65</v>
      </c>
      <c r="U21" s="1352">
        <f>H21</f>
        <v>100</v>
      </c>
      <c r="V21" s="1351" t="s">
        <v>65</v>
      </c>
      <c r="W21" s="1352">
        <f>J21</f>
        <v>100</v>
      </c>
      <c r="X21" s="2741"/>
      <c r="Y21" s="3681"/>
      <c r="Z21" s="2740"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59"/>
      <c r="L22" s="2294"/>
      <c r="M22" s="2289"/>
      <c r="N22" s="2289"/>
      <c r="O22" s="2289"/>
      <c r="P22" s="3688"/>
      <c r="Q22" s="2739"/>
      <c r="R22" s="1351"/>
      <c r="S22" s="1352"/>
      <c r="T22" s="1351"/>
      <c r="U22" s="1352"/>
      <c r="V22" s="1351"/>
      <c r="W22" s="1352"/>
      <c r="X22" s="2741"/>
      <c r="Y22" s="3681"/>
      <c r="Z22" s="2740"/>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294"/>
      <c r="M23" s="2289"/>
      <c r="N23" s="2289"/>
      <c r="O23" s="2289"/>
      <c r="P23" s="3688"/>
      <c r="Q23" s="1350" t="str">
        <f>B23</f>
        <v>自然及人文环境</v>
      </c>
      <c r="R23" s="1351" t="s">
        <v>65</v>
      </c>
      <c r="S23" s="1352">
        <f>F23</f>
        <v>100</v>
      </c>
      <c r="T23" s="1351" t="s">
        <v>65</v>
      </c>
      <c r="U23" s="1352">
        <f>H23</f>
        <v>100</v>
      </c>
      <c r="V23" s="1351" t="s">
        <v>65</v>
      </c>
      <c r="W23" s="1352">
        <f>J23</f>
        <v>100</v>
      </c>
      <c r="X23" s="1339"/>
      <c r="Y23" s="3681"/>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294"/>
      <c r="M24" s="2289"/>
      <c r="N24" s="2289"/>
      <c r="O24" s="2289"/>
      <c r="P24" s="3688"/>
      <c r="Q24" s="1350"/>
      <c r="R24" s="1351"/>
      <c r="S24" s="1352"/>
      <c r="T24" s="1351"/>
      <c r="U24" s="1352"/>
      <c r="V24" s="1351"/>
      <c r="W24" s="1352"/>
      <c r="X24" s="1339"/>
      <c r="Y24" s="3681"/>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294"/>
      <c r="M25" s="2289"/>
      <c r="N25" s="2289"/>
      <c r="O25" s="2289"/>
      <c r="P25" s="3688"/>
      <c r="Q25" s="1350" t="str">
        <f t="shared" ref="Q25:Q46" si="11">B25</f>
        <v>临街状况</v>
      </c>
      <c r="R25" s="1351" t="s">
        <v>65</v>
      </c>
      <c r="S25" s="1352">
        <f>F25</f>
        <v>100</v>
      </c>
      <c r="T25" s="1351" t="s">
        <v>65</v>
      </c>
      <c r="U25" s="1352">
        <f>H25</f>
        <v>100</v>
      </c>
      <c r="V25" s="1351" t="s">
        <v>65</v>
      </c>
      <c r="W25" s="1352">
        <f>J25</f>
        <v>100</v>
      </c>
      <c r="X25" s="1339"/>
      <c r="Y25" s="3681"/>
      <c r="Z25" s="1353" t="str">
        <f>Q25</f>
        <v>临街状况</v>
      </c>
      <c r="AA25" s="1354">
        <f t="shared" si="3"/>
        <v>1</v>
      </c>
      <c r="AB25" s="1354">
        <f t="shared" si="4"/>
        <v>1</v>
      </c>
      <c r="AC25" s="1354">
        <f t="shared" si="5"/>
        <v>1</v>
      </c>
    </row>
    <row r="26" spans="1:29" ht="14.25">
      <c r="A26" s="151"/>
      <c r="B26" s="1356" t="s">
        <v>1024</v>
      </c>
      <c r="C26" s="93"/>
      <c r="D26" s="777">
        <v>100</v>
      </c>
      <c r="E26" s="93"/>
      <c r="F26" s="803">
        <f>SUMIF(88:88,E26,89:89)-SUMIF(88:88,C26,89:89)+100</f>
        <v>100</v>
      </c>
      <c r="G26" s="93"/>
      <c r="H26" s="777">
        <f>SUMIF(88:88,G26,89:89)-SUMIF(88:88,C26,89:89)+100</f>
        <v>100</v>
      </c>
      <c r="I26" s="93"/>
      <c r="J26" s="777">
        <f>SUMIF(88:88,I26,89:89)-SUMIF(88:88,C26,89:89)+100</f>
        <v>100</v>
      </c>
      <c r="K26" s="188"/>
      <c r="L26" s="2294"/>
      <c r="M26" s="2289"/>
      <c r="N26" s="2289"/>
      <c r="O26" s="2289"/>
      <c r="P26" s="3688"/>
      <c r="Q26" s="1350" t="str">
        <f t="shared" si="11"/>
        <v>平面位置/可视性</v>
      </c>
      <c r="R26" s="1351" t="s">
        <v>65</v>
      </c>
      <c r="S26" s="1352">
        <f>F26</f>
        <v>100</v>
      </c>
      <c r="T26" s="1351" t="s">
        <v>65</v>
      </c>
      <c r="U26" s="1352">
        <f>H26</f>
        <v>100</v>
      </c>
      <c r="V26" s="1351" t="s">
        <v>65</v>
      </c>
      <c r="W26" s="1352">
        <f>J26</f>
        <v>100</v>
      </c>
      <c r="X26" s="1339"/>
      <c r="Y26" s="3681"/>
      <c r="Z26" s="1353" t="str">
        <f>Q26</f>
        <v>平面位置/可视性</v>
      </c>
      <c r="AA26" s="1354">
        <f t="shared" si="3"/>
        <v>1</v>
      </c>
      <c r="AB26" s="1354">
        <f t="shared" si="4"/>
        <v>1</v>
      </c>
      <c r="AC26" s="1354">
        <f t="shared" si="5"/>
        <v>1</v>
      </c>
    </row>
    <row r="27" spans="1:29" s="40" customFormat="1" ht="15">
      <c r="A27" s="1029"/>
      <c r="B27" s="1355" t="s">
        <v>1025</v>
      </c>
      <c r="C27" s="1386"/>
      <c r="D27" s="804">
        <v>100</v>
      </c>
      <c r="E27" s="1386"/>
      <c r="F27" s="806">
        <f>SUMIF(90:90,E27,91:91)-SUMIF(90:90,C27,91:91)+100</f>
        <v>100</v>
      </c>
      <c r="G27" s="1386"/>
      <c r="H27" s="804">
        <f>SUMIF(90:90,G27,91:91)-SUMIF(90:90,C27,91:91)+100</f>
        <v>100</v>
      </c>
      <c r="I27" s="1386"/>
      <c r="J27" s="804">
        <f>SUMIF(90:90,I27,91:91)-SUMIF(90:90,C27,91:91)+100</f>
        <v>100</v>
      </c>
      <c r="K27" s="954"/>
      <c r="L27" s="2290"/>
      <c r="M27" s="2252"/>
      <c r="N27" s="2252"/>
      <c r="O27" s="2252"/>
      <c r="P27" s="3688"/>
      <c r="Q27" s="7" t="str">
        <f t="shared" si="11"/>
        <v>人流量</v>
      </c>
      <c r="R27" s="1341" t="s">
        <v>65</v>
      </c>
      <c r="S27" s="1342">
        <f>F27</f>
        <v>100</v>
      </c>
      <c r="T27" s="1341" t="s">
        <v>65</v>
      </c>
      <c r="U27" s="1342">
        <f>H27</f>
        <v>100</v>
      </c>
      <c r="V27" s="1341" t="s">
        <v>65</v>
      </c>
      <c r="W27" s="1342">
        <f>J27</f>
        <v>100</v>
      </c>
      <c r="X27" s="287"/>
      <c r="Y27" s="3681"/>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4"/>
      <c r="M28" s="2289"/>
      <c r="N28" s="2289"/>
      <c r="O28" s="2289"/>
      <c r="P28" s="3688"/>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81"/>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4"/>
      <c r="M29" s="2289"/>
      <c r="N29" s="2289"/>
      <c r="O29" s="2289"/>
      <c r="P29" s="3688"/>
      <c r="Q29" s="1350">
        <f t="shared" si="11"/>
        <v>111</v>
      </c>
      <c r="R29" s="1351" t="s">
        <v>65</v>
      </c>
      <c r="S29" s="1352">
        <f t="shared" si="12"/>
        <v>100</v>
      </c>
      <c r="T29" s="1351" t="s">
        <v>65</v>
      </c>
      <c r="U29" s="1352">
        <f t="shared" si="13"/>
        <v>100</v>
      </c>
      <c r="V29" s="1351" t="s">
        <v>65</v>
      </c>
      <c r="W29" s="1352">
        <f t="shared" si="14"/>
        <v>100</v>
      </c>
      <c r="X29" s="1339"/>
      <c r="Y29" s="3681"/>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4"/>
      <c r="M30" s="2289"/>
      <c r="N30" s="2289"/>
      <c r="O30" s="2289"/>
      <c r="P30" s="3688"/>
      <c r="Q30" s="1350">
        <f t="shared" si="11"/>
        <v>111</v>
      </c>
      <c r="R30" s="1351" t="s">
        <v>65</v>
      </c>
      <c r="S30" s="1352">
        <f t="shared" si="12"/>
        <v>100</v>
      </c>
      <c r="T30" s="1351" t="s">
        <v>65</v>
      </c>
      <c r="U30" s="1352">
        <f t="shared" si="13"/>
        <v>100</v>
      </c>
      <c r="V30" s="1351" t="s">
        <v>65</v>
      </c>
      <c r="W30" s="1352">
        <f t="shared" si="14"/>
        <v>100</v>
      </c>
      <c r="X30" s="1339"/>
      <c r="Y30" s="3681"/>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4"/>
      <c r="M31" s="2289"/>
      <c r="N31" s="2289"/>
      <c r="O31" s="2289"/>
      <c r="P31" s="3688"/>
      <c r="Q31" s="1350">
        <f t="shared" si="11"/>
        <v>111</v>
      </c>
      <c r="R31" s="1351" t="s">
        <v>65</v>
      </c>
      <c r="S31" s="1352">
        <f t="shared" si="12"/>
        <v>100</v>
      </c>
      <c r="T31" s="1351" t="s">
        <v>65</v>
      </c>
      <c r="U31" s="1352">
        <f t="shared" si="13"/>
        <v>100</v>
      </c>
      <c r="V31" s="1351" t="s">
        <v>65</v>
      </c>
      <c r="W31" s="1352">
        <f t="shared" si="14"/>
        <v>100</v>
      </c>
      <c r="X31" s="1339"/>
      <c r="Y31" s="3681"/>
      <c r="Z31" s="1353">
        <f t="shared" si="15"/>
        <v>111</v>
      </c>
      <c r="AA31" s="1354">
        <f t="shared" si="3"/>
        <v>1</v>
      </c>
      <c r="AB31" s="1354">
        <f t="shared" si="4"/>
        <v>1</v>
      </c>
      <c r="AC31" s="1354">
        <f t="shared" si="5"/>
        <v>1</v>
      </c>
    </row>
    <row r="32" spans="1:29" ht="15">
      <c r="A32" s="155" t="s">
        <v>1026</v>
      </c>
      <c r="B32" s="62" t="s">
        <v>1027</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4"/>
      <c r="M32" s="2289"/>
      <c r="N32" s="2289"/>
      <c r="O32" s="2289"/>
      <c r="P32" s="3682" t="s">
        <v>1028</v>
      </c>
      <c r="Q32" s="1350" t="str">
        <f t="shared" si="11"/>
        <v>商业类型</v>
      </c>
      <c r="R32" s="1351" t="s">
        <v>65</v>
      </c>
      <c r="S32" s="1352">
        <f t="shared" si="12"/>
        <v>100</v>
      </c>
      <c r="T32" s="1351" t="s">
        <v>65</v>
      </c>
      <c r="U32" s="1352">
        <f t="shared" si="13"/>
        <v>100</v>
      </c>
      <c r="V32" s="1351" t="s">
        <v>65</v>
      </c>
      <c r="W32" s="1352">
        <f t="shared" si="14"/>
        <v>100</v>
      </c>
      <c r="X32" s="1339"/>
      <c r="Y32" s="3685" t="s">
        <v>1028</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3"/>
      <c r="M33" s="2295"/>
      <c r="N33" s="2295"/>
      <c r="O33" s="2295"/>
      <c r="P33" s="3683"/>
      <c r="Q33" s="1358" t="str">
        <f t="shared" si="11"/>
        <v>项目建筑规模</v>
      </c>
      <c r="R33" s="1359" t="s">
        <v>65</v>
      </c>
      <c r="S33" s="1360" t="e">
        <f t="shared" si="12"/>
        <v>#N/A</v>
      </c>
      <c r="T33" s="1359" t="s">
        <v>65</v>
      </c>
      <c r="U33" s="1360" t="e">
        <f t="shared" si="13"/>
        <v>#N/A</v>
      </c>
      <c r="V33" s="1359" t="s">
        <v>65</v>
      </c>
      <c r="W33" s="1360" t="e">
        <f t="shared" si="14"/>
        <v>#N/A</v>
      </c>
      <c r="X33" s="1361"/>
      <c r="Y33" s="3685"/>
      <c r="Z33" s="1362" t="str">
        <f t="shared" si="15"/>
        <v>项目建筑规模</v>
      </c>
      <c r="AA33" s="1354" t="e">
        <f t="shared" si="3"/>
        <v>#N/A</v>
      </c>
      <c r="AB33" s="1354" t="e">
        <f t="shared" si="4"/>
        <v>#N/A</v>
      </c>
      <c r="AC33" s="1354"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294"/>
      <c r="M34" s="2289"/>
      <c r="N34" s="2289"/>
      <c r="O34" s="2289"/>
      <c r="P34" s="3683"/>
      <c r="Q34" s="1350" t="str">
        <f t="shared" si="11"/>
        <v>建筑结构</v>
      </c>
      <c r="R34" s="1351" t="s">
        <v>65</v>
      </c>
      <c r="S34" s="1352">
        <f t="shared" si="12"/>
        <v>100</v>
      </c>
      <c r="T34" s="1351" t="s">
        <v>65</v>
      </c>
      <c r="U34" s="1352">
        <f t="shared" si="13"/>
        <v>100</v>
      </c>
      <c r="V34" s="1351" t="s">
        <v>65</v>
      </c>
      <c r="W34" s="1352">
        <f t="shared" si="14"/>
        <v>100</v>
      </c>
      <c r="X34" s="1339"/>
      <c r="Y34" s="3685"/>
      <c r="Z34" s="1353" t="str">
        <f t="shared" si="15"/>
        <v>建筑结构</v>
      </c>
      <c r="AA34" s="1354">
        <f t="shared" si="3"/>
        <v>1</v>
      </c>
      <c r="AB34" s="1354">
        <f t="shared" si="4"/>
        <v>1</v>
      </c>
      <c r="AC34" s="1354">
        <f t="shared" si="5"/>
        <v>1</v>
      </c>
    </row>
    <row r="35" spans="1:29" ht="15">
      <c r="A35" s="161"/>
      <c r="B35" s="12" t="s">
        <v>1029</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4"/>
      <c r="M35" s="2289"/>
      <c r="N35" s="2289"/>
      <c r="O35" s="2289"/>
      <c r="P35" s="3683"/>
      <c r="Q35" s="1350" t="str">
        <f t="shared" si="11"/>
        <v>公共部分装修</v>
      </c>
      <c r="R35" s="1351" t="s">
        <v>65</v>
      </c>
      <c r="S35" s="1352">
        <f t="shared" si="12"/>
        <v>100</v>
      </c>
      <c r="T35" s="1351" t="s">
        <v>65</v>
      </c>
      <c r="U35" s="1352">
        <f t="shared" si="13"/>
        <v>100</v>
      </c>
      <c r="V35" s="1351" t="s">
        <v>65</v>
      </c>
      <c r="W35" s="1352">
        <f t="shared" si="14"/>
        <v>100</v>
      </c>
      <c r="X35" s="1339"/>
      <c r="Y35" s="3685"/>
      <c r="Z35" s="1353" t="str">
        <f t="shared" si="15"/>
        <v>公共部分装修</v>
      </c>
      <c r="AA35" s="1354">
        <f t="shared" si="3"/>
        <v>1</v>
      </c>
      <c r="AB35" s="1354">
        <f t="shared" si="4"/>
        <v>1</v>
      </c>
      <c r="AC35" s="1354">
        <f t="shared" si="5"/>
        <v>1</v>
      </c>
    </row>
    <row r="36" spans="1:29" ht="15">
      <c r="A36" s="161"/>
      <c r="B36" s="12" t="s">
        <v>1030</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4"/>
      <c r="M36" s="2289"/>
      <c r="N36" s="2289"/>
      <c r="O36" s="2289"/>
      <c r="P36" s="3683"/>
      <c r="Q36" s="1350" t="str">
        <f t="shared" si="11"/>
        <v>成新度</v>
      </c>
      <c r="R36" s="1351" t="s">
        <v>65</v>
      </c>
      <c r="S36" s="1352" t="e">
        <f t="shared" si="12"/>
        <v>#N/A</v>
      </c>
      <c r="T36" s="1351" t="s">
        <v>65</v>
      </c>
      <c r="U36" s="1352" t="e">
        <f t="shared" si="13"/>
        <v>#N/A</v>
      </c>
      <c r="V36" s="1351" t="s">
        <v>65</v>
      </c>
      <c r="W36" s="1352" t="e">
        <f t="shared" si="14"/>
        <v>#N/A</v>
      </c>
      <c r="X36" s="1339"/>
      <c r="Y36" s="3685"/>
      <c r="Z36" s="1353" t="str">
        <f t="shared" si="15"/>
        <v>成新度</v>
      </c>
      <c r="AA36" s="1354" t="e">
        <f t="shared" si="3"/>
        <v>#N/A</v>
      </c>
      <c r="AB36" s="1354" t="e">
        <f t="shared" si="4"/>
        <v>#N/A</v>
      </c>
      <c r="AC36" s="1354" t="e">
        <f t="shared" si="5"/>
        <v>#N/A</v>
      </c>
    </row>
    <row r="37" spans="1:29" s="40" customFormat="1" ht="15">
      <c r="A37" s="1040"/>
      <c r="B37" s="12" t="s">
        <v>2660</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0"/>
      <c r="M37" s="2252"/>
      <c r="N37" s="2252"/>
      <c r="O37" s="2252"/>
      <c r="P37" s="3683"/>
      <c r="Q37" s="7" t="str">
        <f t="shared" si="11"/>
        <v>市政基础设施</v>
      </c>
      <c r="R37" s="1341" t="s">
        <v>65</v>
      </c>
      <c r="S37" s="1342">
        <f t="shared" si="12"/>
        <v>100</v>
      </c>
      <c r="T37" s="1341" t="s">
        <v>65</v>
      </c>
      <c r="U37" s="1342">
        <f t="shared" si="13"/>
        <v>100</v>
      </c>
      <c r="V37" s="1341" t="s">
        <v>65</v>
      </c>
      <c r="W37" s="1342">
        <f t="shared" si="14"/>
        <v>100</v>
      </c>
      <c r="X37" s="287"/>
      <c r="Y37" s="3685"/>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4"/>
      <c r="M38" s="2289"/>
      <c r="N38" s="2289"/>
      <c r="O38" s="2289"/>
      <c r="P38" s="3683" t="s">
        <v>1031</v>
      </c>
      <c r="Q38" s="1350" t="str">
        <f t="shared" si="11"/>
        <v>业态</v>
      </c>
      <c r="R38" s="1351" t="s">
        <v>65</v>
      </c>
      <c r="S38" s="1352">
        <f t="shared" si="12"/>
        <v>100</v>
      </c>
      <c r="T38" s="1351" t="s">
        <v>65</v>
      </c>
      <c r="U38" s="1352">
        <f t="shared" si="13"/>
        <v>100</v>
      </c>
      <c r="V38" s="1351" t="s">
        <v>65</v>
      </c>
      <c r="W38" s="1352">
        <f t="shared" si="14"/>
        <v>100</v>
      </c>
      <c r="X38" s="1339"/>
      <c r="Y38" s="3685" t="s">
        <v>1031</v>
      </c>
      <c r="Z38" s="1353" t="str">
        <f t="shared" si="15"/>
        <v>业态</v>
      </c>
      <c r="AA38" s="1354">
        <f t="shared" si="3"/>
        <v>1</v>
      </c>
      <c r="AB38" s="1354">
        <f t="shared" si="4"/>
        <v>1</v>
      </c>
      <c r="AC38" s="1354">
        <f t="shared" si="5"/>
        <v>1</v>
      </c>
    </row>
    <row r="39" spans="1:29" ht="15">
      <c r="A39" s="161"/>
      <c r="B39" s="12" t="s">
        <v>1032</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4"/>
      <c r="M39" s="2289"/>
      <c r="N39" s="2289"/>
      <c r="O39" s="2289"/>
      <c r="P39" s="3683"/>
      <c r="Q39" s="1350" t="str">
        <f t="shared" si="11"/>
        <v>层高</v>
      </c>
      <c r="R39" s="1351" t="s">
        <v>65</v>
      </c>
      <c r="S39" s="1352">
        <f t="shared" si="12"/>
        <v>100</v>
      </c>
      <c r="T39" s="1351" t="s">
        <v>65</v>
      </c>
      <c r="U39" s="1352">
        <f t="shared" si="13"/>
        <v>100</v>
      </c>
      <c r="V39" s="1351" t="s">
        <v>65</v>
      </c>
      <c r="W39" s="1352">
        <f t="shared" si="14"/>
        <v>100</v>
      </c>
      <c r="X39" s="1339"/>
      <c r="Y39" s="3685"/>
      <c r="Z39" s="1353" t="str">
        <f t="shared" si="15"/>
        <v>层高</v>
      </c>
      <c r="AA39" s="1354">
        <f t="shared" si="3"/>
        <v>1</v>
      </c>
      <c r="AB39" s="1354">
        <f t="shared" si="4"/>
        <v>1</v>
      </c>
      <c r="AC39" s="1354">
        <f t="shared" si="5"/>
        <v>1</v>
      </c>
    </row>
    <row r="40" spans="1:29" ht="14.25">
      <c r="A40" s="161"/>
      <c r="B40" s="12" t="s">
        <v>1033</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4"/>
      <c r="M40" s="2289"/>
      <c r="N40" s="2289"/>
      <c r="O40" s="2289"/>
      <c r="P40" s="3683"/>
      <c r="Q40" s="1350" t="str">
        <f t="shared" si="11"/>
        <v>单套建筑面积</v>
      </c>
      <c r="R40" s="1351" t="s">
        <v>65</v>
      </c>
      <c r="S40" s="1352">
        <f t="shared" si="12"/>
        <v>100</v>
      </c>
      <c r="T40" s="1351" t="s">
        <v>65</v>
      </c>
      <c r="U40" s="1352">
        <f t="shared" si="13"/>
        <v>100</v>
      </c>
      <c r="V40" s="1351" t="s">
        <v>65</v>
      </c>
      <c r="W40" s="1352">
        <f t="shared" si="14"/>
        <v>100</v>
      </c>
      <c r="X40" s="1339"/>
      <c r="Y40" s="3685"/>
      <c r="Z40" s="1353" t="str">
        <f t="shared" si="15"/>
        <v>单套建筑面积</v>
      </c>
      <c r="AA40" s="1354">
        <f t="shared" si="3"/>
        <v>1</v>
      </c>
      <c r="AB40" s="1354">
        <f t="shared" si="4"/>
        <v>1</v>
      </c>
      <c r="AC40" s="1354">
        <f t="shared" si="5"/>
        <v>1</v>
      </c>
    </row>
    <row r="41" spans="1:29" s="1038" customFormat="1" ht="15">
      <c r="A41" s="1042"/>
      <c r="B41" s="191" t="s">
        <v>1034</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3"/>
      <c r="M41" s="2295"/>
      <c r="N41" s="2295"/>
      <c r="O41" s="2295"/>
      <c r="P41" s="3683"/>
      <c r="Q41" s="1358" t="str">
        <f t="shared" si="11"/>
        <v>进深比</v>
      </c>
      <c r="R41" s="1359" t="s">
        <v>65</v>
      </c>
      <c r="S41" s="1360">
        <f t="shared" si="12"/>
        <v>100</v>
      </c>
      <c r="T41" s="1359" t="s">
        <v>65</v>
      </c>
      <c r="U41" s="1360">
        <f t="shared" si="13"/>
        <v>100</v>
      </c>
      <c r="V41" s="1359" t="s">
        <v>65</v>
      </c>
      <c r="W41" s="1360">
        <f t="shared" si="14"/>
        <v>100</v>
      </c>
      <c r="X41" s="1361"/>
      <c r="Y41" s="3685"/>
      <c r="Z41" s="1362" t="str">
        <f t="shared" si="15"/>
        <v>进深比</v>
      </c>
      <c r="AA41" s="1354">
        <f t="shared" si="3"/>
        <v>1</v>
      </c>
      <c r="AB41" s="1354">
        <f t="shared" si="4"/>
        <v>1</v>
      </c>
      <c r="AC41" s="1354">
        <f t="shared" si="5"/>
        <v>1</v>
      </c>
    </row>
    <row r="42" spans="1:29" ht="15">
      <c r="A42" s="161"/>
      <c r="B42" s="12" t="s">
        <v>1035</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4"/>
      <c r="M42" s="2289"/>
      <c r="N42" s="2289"/>
      <c r="O42" s="2289"/>
      <c r="P42" s="3683"/>
      <c r="Q42" s="1350" t="str">
        <f t="shared" si="11"/>
        <v>内部装修</v>
      </c>
      <c r="R42" s="1351" t="s">
        <v>65</v>
      </c>
      <c r="S42" s="1352">
        <f t="shared" si="12"/>
        <v>100</v>
      </c>
      <c r="T42" s="1351" t="s">
        <v>65</v>
      </c>
      <c r="U42" s="1352">
        <f t="shared" si="13"/>
        <v>100</v>
      </c>
      <c r="V42" s="1351" t="s">
        <v>65</v>
      </c>
      <c r="W42" s="1352">
        <f t="shared" si="14"/>
        <v>100</v>
      </c>
      <c r="X42" s="1339"/>
      <c r="Y42" s="3685"/>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4"/>
      <c r="M43" s="2289"/>
      <c r="N43" s="2289"/>
      <c r="O43" s="2289"/>
      <c r="P43" s="3683"/>
      <c r="Q43" s="1350" t="str">
        <f t="shared" si="11"/>
        <v>内部装修维护情况</v>
      </c>
      <c r="R43" s="1351" t="s">
        <v>65</v>
      </c>
      <c r="S43" s="1352">
        <f t="shared" si="12"/>
        <v>100</v>
      </c>
      <c r="T43" s="1351" t="s">
        <v>65</v>
      </c>
      <c r="U43" s="1352">
        <f t="shared" si="13"/>
        <v>100</v>
      </c>
      <c r="V43" s="1351" t="s">
        <v>65</v>
      </c>
      <c r="W43" s="1352">
        <f t="shared" si="14"/>
        <v>100</v>
      </c>
      <c r="X43" s="1339"/>
      <c r="Y43" s="3685"/>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0"/>
      <c r="M44" s="2252"/>
      <c r="N44" s="2252"/>
      <c r="O44" s="2252"/>
      <c r="P44" s="3683"/>
      <c r="Q44" s="7">
        <f t="shared" si="11"/>
        <v>111</v>
      </c>
      <c r="R44" s="1341" t="s">
        <v>65</v>
      </c>
      <c r="S44" s="1342">
        <f t="shared" si="12"/>
        <v>100</v>
      </c>
      <c r="T44" s="1341" t="s">
        <v>65</v>
      </c>
      <c r="U44" s="1342">
        <f t="shared" si="13"/>
        <v>100</v>
      </c>
      <c r="V44" s="1341" t="s">
        <v>65</v>
      </c>
      <c r="W44" s="1342">
        <f t="shared" si="14"/>
        <v>100</v>
      </c>
      <c r="X44" s="287"/>
      <c r="Y44" s="3685"/>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4"/>
      <c r="M45" s="2289"/>
      <c r="N45" s="2289"/>
      <c r="O45" s="2289"/>
      <c r="P45" s="3683"/>
      <c r="Q45" s="1350">
        <f t="shared" si="11"/>
        <v>111</v>
      </c>
      <c r="R45" s="1351" t="s">
        <v>65</v>
      </c>
      <c r="S45" s="1352">
        <f t="shared" si="12"/>
        <v>100</v>
      </c>
      <c r="T45" s="1351" t="s">
        <v>65</v>
      </c>
      <c r="U45" s="1352">
        <f t="shared" si="13"/>
        <v>100</v>
      </c>
      <c r="V45" s="1351" t="s">
        <v>65</v>
      </c>
      <c r="W45" s="1352">
        <f t="shared" si="14"/>
        <v>100</v>
      </c>
      <c r="X45" s="1339"/>
      <c r="Y45" s="3685"/>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4"/>
      <c r="M46" s="2289"/>
      <c r="N46" s="2289"/>
      <c r="O46" s="2289"/>
      <c r="P46" s="3684"/>
      <c r="Q46" s="1350">
        <f t="shared" si="11"/>
        <v>111</v>
      </c>
      <c r="R46" s="1351" t="s">
        <v>65</v>
      </c>
      <c r="S46" s="1352">
        <f t="shared" si="12"/>
        <v>100</v>
      </c>
      <c r="T46" s="1351" t="s">
        <v>65</v>
      </c>
      <c r="U46" s="1352">
        <f t="shared" si="13"/>
        <v>100</v>
      </c>
      <c r="V46" s="1351" t="s">
        <v>65</v>
      </c>
      <c r="W46" s="1352">
        <f t="shared" si="14"/>
        <v>100</v>
      </c>
      <c r="X46" s="1339"/>
      <c r="Y46" s="3686"/>
      <c r="Z46" s="1353">
        <f t="shared" si="15"/>
        <v>111</v>
      </c>
      <c r="AA46" s="1354">
        <f t="shared" si="3"/>
        <v>1</v>
      </c>
      <c r="AB46" s="1354">
        <f t="shared" si="4"/>
        <v>1</v>
      </c>
      <c r="AC46" s="1354">
        <f t="shared" si="5"/>
        <v>1</v>
      </c>
    </row>
    <row r="47" spans="1:29" ht="15">
      <c r="A47" s="163" t="s">
        <v>1036</v>
      </c>
      <c r="B47" s="164"/>
      <c r="C47" s="2829" t="s">
        <v>23</v>
      </c>
      <c r="D47" s="2830"/>
      <c r="E47" s="2831"/>
      <c r="F47" s="2832"/>
      <c r="G47" s="2833"/>
      <c r="H47" s="2834"/>
      <c r="I47" s="2831"/>
      <c r="J47" s="2834"/>
      <c r="K47" s="1392"/>
      <c r="L47" s="2296"/>
      <c r="M47" s="2297"/>
      <c r="N47" s="2289"/>
      <c r="O47" s="2297"/>
      <c r="P47" s="3678" t="str">
        <f>A47</f>
        <v>成交单价（元/平方米）</v>
      </c>
      <c r="Q47" s="3678"/>
      <c r="R47" s="3709">
        <f>E47</f>
        <v>0</v>
      </c>
      <c r="S47" s="3709"/>
      <c r="T47" s="3709">
        <f>G47</f>
        <v>0</v>
      </c>
      <c r="U47" s="3709"/>
      <c r="V47" s="3709">
        <f>I47</f>
        <v>0</v>
      </c>
      <c r="W47" s="3709"/>
      <c r="X47" s="1364"/>
      <c r="Y47" s="1365"/>
      <c r="Z47" s="1364"/>
      <c r="AA47" s="1364"/>
      <c r="AB47" s="1364"/>
      <c r="AC47" s="1364"/>
    </row>
    <row r="48" spans="1:29" ht="15.75" thickBot="1">
      <c r="A48" s="165" t="s">
        <v>1037</v>
      </c>
      <c r="B48" s="166"/>
      <c r="C48" s="2835" t="e">
        <f>R49</f>
        <v>#DIV/0!</v>
      </c>
      <c r="D48" s="2836"/>
      <c r="E48" s="2837" t="e">
        <f>R48</f>
        <v>#DIV/0!</v>
      </c>
      <c r="F48" s="2837"/>
      <c r="G48" s="2835" t="e">
        <f>T48</f>
        <v>#DIV/0!</v>
      </c>
      <c r="H48" s="2836"/>
      <c r="I48" s="2837" t="e">
        <f>V48</f>
        <v>#DIV/0!</v>
      </c>
      <c r="J48" s="2836"/>
      <c r="K48" s="1393"/>
      <c r="L48" s="2296"/>
      <c r="M48" s="2297"/>
      <c r="N48" s="2289"/>
      <c r="O48" s="2297"/>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1364"/>
      <c r="Y48" s="1364"/>
      <c r="Z48" s="1364"/>
      <c r="AA48" s="1364"/>
      <c r="AB48" s="1364"/>
      <c r="AC48" s="1364"/>
    </row>
    <row r="49" spans="1:29" ht="15.75" thickBot="1">
      <c r="A49" s="115" t="s">
        <v>3025</v>
      </c>
      <c r="B49" s="116"/>
      <c r="C49" s="2839" t="e">
        <f>R49</f>
        <v>#DIV/0!</v>
      </c>
      <c r="D49" s="2839"/>
      <c r="E49" s="2839"/>
      <c r="F49" s="2839"/>
      <c r="G49" s="2839"/>
      <c r="H49" s="2839"/>
      <c r="I49" s="2839"/>
      <c r="J49" s="2839"/>
      <c r="K49" s="1394"/>
      <c r="L49" s="2296"/>
      <c r="M49" s="2297"/>
      <c r="N49" s="2289"/>
      <c r="O49" s="2297"/>
      <c r="P49" s="3675" t="str">
        <f>A49</f>
        <v>估价对象XX用房的比较价值（楼面单价，元/平方米）</v>
      </c>
      <c r="Q49" s="3676"/>
      <c r="R49" s="3677" t="e">
        <f>IF(F1="售价",ROUND(AVERAGE(R48:V48),0),ROUND(AVERAGE(R48:V48),1))</f>
        <v>#DIV/0!</v>
      </c>
      <c r="S49" s="3677"/>
      <c r="T49" s="3677"/>
      <c r="U49" s="3677"/>
      <c r="V49" s="3677"/>
      <c r="W49" s="3677"/>
      <c r="X49" s="1364"/>
      <c r="Y49" s="1364"/>
      <c r="Z49" s="1364"/>
      <c r="AA49" s="1364"/>
      <c r="AB49" s="1364"/>
      <c r="AC49" s="1364"/>
    </row>
    <row r="50" spans="1:29">
      <c r="A50" s="2297"/>
      <c r="B50" s="2297"/>
      <c r="C50" s="2297"/>
      <c r="D50" s="2297"/>
      <c r="E50" s="2297"/>
      <c r="F50" s="2297"/>
      <c r="G50" s="2306"/>
      <c r="H50" s="2297"/>
      <c r="I50" s="2297"/>
      <c r="J50" s="2297"/>
      <c r="K50" s="2298"/>
      <c r="L50" s="2299"/>
      <c r="M50" s="2297"/>
      <c r="N50" s="2297"/>
      <c r="O50" s="2297"/>
      <c r="P50" s="214"/>
      <c r="Q50" s="1364"/>
      <c r="R50" s="1364"/>
      <c r="S50" s="1364"/>
      <c r="T50" s="1364"/>
      <c r="U50" s="1364"/>
      <c r="V50" s="1364"/>
      <c r="W50" s="1364"/>
      <c r="X50" s="1364"/>
      <c r="Y50" s="1364"/>
      <c r="Z50" s="1364"/>
      <c r="AA50" s="1364"/>
      <c r="AB50" s="1364"/>
      <c r="AC50" s="1364"/>
    </row>
    <row r="51" spans="1:29">
      <c r="A51" s="2297"/>
      <c r="B51" s="2297"/>
      <c r="C51" s="2297"/>
      <c r="D51" s="2297"/>
      <c r="E51" s="2297"/>
      <c r="F51" s="2297"/>
      <c r="G51" s="2297"/>
      <c r="H51" s="2297"/>
      <c r="I51" s="2297"/>
      <c r="J51" s="2297"/>
      <c r="K51" s="2298"/>
      <c r="L51" s="2299"/>
      <c r="M51" s="2297"/>
      <c r="N51" s="2297"/>
      <c r="O51" s="2297"/>
      <c r="P51" s="214"/>
      <c r="Q51" s="1364"/>
      <c r="R51" s="1364"/>
      <c r="S51" s="1364"/>
      <c r="T51" s="1364"/>
      <c r="U51" s="1364"/>
      <c r="V51" s="1364"/>
      <c r="W51" s="1364"/>
      <c r="X51" s="1364"/>
      <c r="Y51" s="1364"/>
      <c r="Z51" s="1364"/>
      <c r="AA51" s="1364"/>
      <c r="AB51" s="1364"/>
      <c r="AC51" s="1364"/>
    </row>
    <row r="52" spans="1:29" ht="13.5" customHeight="1">
      <c r="A52" s="2297"/>
      <c r="B52" s="2297"/>
      <c r="C52" s="839" t="s">
        <v>1006</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298"/>
      <c r="L52" s="2299"/>
      <c r="M52" s="2297"/>
      <c r="N52" s="2297"/>
      <c r="O52" s="2297"/>
      <c r="P52" s="214"/>
      <c r="Q52" s="1364"/>
      <c r="R52" s="1364"/>
      <c r="S52" s="1364"/>
      <c r="T52" s="1364"/>
      <c r="U52" s="1364"/>
      <c r="V52" s="1364"/>
      <c r="W52" s="1364"/>
      <c r="X52" s="1364"/>
      <c r="Y52" s="1364"/>
      <c r="Z52" s="1364"/>
      <c r="AA52" s="1364"/>
      <c r="AB52" s="1364"/>
      <c r="AC52" s="1364"/>
    </row>
    <row r="53" spans="1:29" ht="13.5" customHeight="1">
      <c r="A53" s="2297"/>
      <c r="B53" s="2297"/>
      <c r="C53" s="839" t="s">
        <v>1007</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298"/>
      <c r="L53" s="2299"/>
      <c r="M53" s="2297"/>
      <c r="N53" s="2297"/>
      <c r="O53" s="2297"/>
      <c r="P53" s="214"/>
      <c r="Q53" s="1364"/>
      <c r="R53" s="1364"/>
      <c r="S53" s="1364"/>
      <c r="T53" s="1364"/>
      <c r="U53" s="1364"/>
      <c r="V53" s="1364"/>
      <c r="W53" s="1364"/>
      <c r="X53" s="1364"/>
      <c r="Y53" s="1364"/>
      <c r="Z53" s="1364"/>
      <c r="AA53" s="1364"/>
      <c r="AB53" s="1364"/>
      <c r="AC53" s="1364"/>
    </row>
    <row r="54" spans="1:29" s="119" customFormat="1" ht="13.5" customHeight="1">
      <c r="A54" s="2302"/>
      <c r="B54" s="2302"/>
      <c r="C54" s="839" t="s">
        <v>1008</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0"/>
      <c r="L54" s="2301"/>
      <c r="M54" s="2302"/>
      <c r="N54" s="2302"/>
      <c r="O54" s="2302"/>
      <c r="P54" s="1395"/>
      <c r="Q54" s="1369"/>
      <c r="R54" s="1369"/>
      <c r="S54" s="1369"/>
      <c r="T54" s="1369"/>
      <c r="U54" s="1369"/>
      <c r="V54" s="1369"/>
      <c r="W54" s="1369"/>
      <c r="X54" s="1369"/>
      <c r="Y54" s="1369"/>
      <c r="Z54" s="1369"/>
      <c r="AA54" s="1369"/>
      <c r="AB54" s="1369"/>
      <c r="AC54" s="1369"/>
    </row>
    <row r="55" spans="1:29" s="119" customFormat="1">
      <c r="A55" s="2302"/>
      <c r="B55" s="2307"/>
      <c r="C55" s="2308"/>
      <c r="D55" s="2302"/>
      <c r="E55" s="2302"/>
      <c r="F55" s="2302"/>
      <c r="G55" s="2302"/>
      <c r="H55" s="2302"/>
      <c r="I55" s="2302"/>
      <c r="J55" s="2302"/>
      <c r="K55" s="2300"/>
      <c r="L55" s="2301"/>
      <c r="M55" s="2302"/>
      <c r="N55" s="2302"/>
      <c r="O55" s="2302"/>
      <c r="P55" s="1395"/>
      <c r="Q55" s="1369"/>
      <c r="R55" s="1369"/>
      <c r="S55" s="1369"/>
      <c r="T55" s="1369"/>
      <c r="U55" s="1369"/>
      <c r="V55" s="1369"/>
      <c r="W55" s="1369"/>
      <c r="X55" s="1369"/>
      <c r="Y55" s="1369"/>
      <c r="Z55" s="1369"/>
      <c r="AA55" s="1369"/>
      <c r="AB55" s="1369"/>
      <c r="AC55" s="1369"/>
    </row>
    <row r="56" spans="1:29">
      <c r="A56" s="2297"/>
      <c r="B56" s="2307"/>
      <c r="C56" s="2308"/>
      <c r="D56" s="2297"/>
      <c r="E56" s="2297"/>
      <c r="F56" s="2297"/>
      <c r="G56" s="2297"/>
      <c r="H56" s="2297"/>
      <c r="I56" s="2297"/>
      <c r="J56" s="2297"/>
      <c r="K56" s="2298"/>
      <c r="L56" s="2299"/>
      <c r="M56" s="2297"/>
      <c r="N56" s="2297"/>
      <c r="O56" s="2297"/>
      <c r="P56" s="214"/>
      <c r="Q56" s="1364"/>
      <c r="R56" s="1364"/>
      <c r="S56" s="1364"/>
      <c r="T56" s="1364"/>
      <c r="U56" s="1364"/>
      <c r="V56" s="1364"/>
      <c r="W56" s="1364"/>
      <c r="X56" s="1364"/>
      <c r="Y56" s="1364"/>
      <c r="Z56" s="1364"/>
      <c r="AA56" s="1364"/>
      <c r="AB56" s="1364"/>
      <c r="AC56" s="1364"/>
    </row>
    <row r="57" spans="1:29" ht="21" thickBot="1">
      <c r="A57" s="1371" t="s">
        <v>1038</v>
      </c>
      <c r="B57" s="1364"/>
      <c r="C57" s="1372"/>
      <c r="D57" s="1372"/>
      <c r="E57" s="1372"/>
      <c r="F57" s="1373"/>
      <c r="G57" s="1373"/>
      <c r="H57" s="1372"/>
      <c r="I57" s="1372"/>
      <c r="J57" s="1372"/>
      <c r="K57" s="1374"/>
      <c r="L57" s="2304"/>
      <c r="M57" s="2305"/>
      <c r="N57" s="2305"/>
      <c r="O57" s="2305"/>
      <c r="P57" s="1396"/>
      <c r="Q57" s="1397"/>
      <c r="R57" s="1364"/>
      <c r="S57" s="1364"/>
      <c r="T57" s="1364"/>
      <c r="U57" s="1364"/>
      <c r="V57" s="1364"/>
      <c r="W57" s="1364"/>
      <c r="X57" s="1364"/>
      <c r="Y57" s="1364"/>
      <c r="Z57" s="1364"/>
      <c r="AA57" s="1364"/>
      <c r="AB57" s="1364"/>
      <c r="AC57" s="1364"/>
    </row>
    <row r="58" spans="1:29" s="850" customFormat="1" ht="15">
      <c r="A58" s="847" t="s">
        <v>2799</v>
      </c>
      <c r="B58" s="848"/>
      <c r="C58" s="3038" t="str">
        <f>YEAR(C7)&amp;"-"&amp;MONTH(C7)</f>
        <v>2017-7</v>
      </c>
      <c r="D58" s="3039">
        <f>EDATE(C58,-1)</f>
        <v>42887</v>
      </c>
      <c r="E58" s="3039">
        <f t="shared" ref="E58:N58" si="16">EDATE(D58,-1)</f>
        <v>42856</v>
      </c>
      <c r="F58" s="3039">
        <f t="shared" si="16"/>
        <v>42826</v>
      </c>
      <c r="G58" s="3039">
        <f t="shared" si="16"/>
        <v>42795</v>
      </c>
      <c r="H58" s="3039">
        <f t="shared" si="16"/>
        <v>42767</v>
      </c>
      <c r="I58" s="3039">
        <f t="shared" si="16"/>
        <v>42736</v>
      </c>
      <c r="J58" s="3039">
        <f t="shared" si="16"/>
        <v>42705</v>
      </c>
      <c r="K58" s="3039">
        <f t="shared" si="16"/>
        <v>42675</v>
      </c>
      <c r="L58" s="3039">
        <f t="shared" si="16"/>
        <v>42644</v>
      </c>
      <c r="M58" s="3039">
        <f t="shared" si="16"/>
        <v>42614</v>
      </c>
      <c r="N58" s="3039">
        <f t="shared" si="16"/>
        <v>42583</v>
      </c>
      <c r="O58" s="3039">
        <f>EDATE(N58,-1)</f>
        <v>42552</v>
      </c>
      <c r="P58" s="3032"/>
    </row>
    <row r="59" spans="1:29" s="40" customFormat="1" ht="14.25">
      <c r="A59" s="1044"/>
      <c r="B59" s="1045"/>
      <c r="C59" s="3036">
        <v>100</v>
      </c>
      <c r="D59" s="854"/>
      <c r="E59" s="854"/>
      <c r="F59" s="854"/>
      <c r="G59" s="854"/>
      <c r="H59" s="854"/>
      <c r="I59" s="854"/>
      <c r="J59" s="854"/>
      <c r="K59" s="854"/>
      <c r="L59" s="854"/>
      <c r="M59" s="855"/>
      <c r="N59" s="854"/>
      <c r="O59" s="855"/>
      <c r="P59" s="1376"/>
    </row>
    <row r="60" spans="1:29" s="40" customFormat="1" ht="15" thickBot="1">
      <c r="A60" s="1046" t="s">
        <v>1039</v>
      </c>
      <c r="B60" s="1047"/>
      <c r="C60" s="859"/>
      <c r="D60" s="860"/>
      <c r="E60" s="860"/>
      <c r="F60" s="860"/>
      <c r="G60" s="860"/>
      <c r="H60" s="860"/>
      <c r="I60" s="860"/>
      <c r="J60" s="860"/>
      <c r="K60" s="860"/>
      <c r="L60" s="860"/>
      <c r="M60" s="861"/>
      <c r="N60" s="860"/>
      <c r="O60" s="861"/>
      <c r="P60" s="1376"/>
      <c r="Q60" s="121"/>
    </row>
    <row r="61" spans="1:29" s="40" customFormat="1">
      <c r="A61" s="1048" t="s">
        <v>1040</v>
      </c>
      <c r="B61" s="1045"/>
      <c r="C61" s="1049" t="s">
        <v>1041</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1042</v>
      </c>
      <c r="B63" s="286" t="s">
        <v>1043</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1044</v>
      </c>
      <c r="C65" s="881" t="s">
        <v>1009</v>
      </c>
      <c r="D65" s="881" t="s">
        <v>1010</v>
      </c>
      <c r="E65" s="881" t="s">
        <v>1011</v>
      </c>
      <c r="F65" s="881" t="s">
        <v>1012</v>
      </c>
      <c r="G65" s="881" t="s">
        <v>1013</v>
      </c>
      <c r="H65" s="881" t="s">
        <v>1014</v>
      </c>
      <c r="I65" s="881" t="s">
        <v>1015</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1045</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1046</v>
      </c>
      <c r="B76" s="286" t="s">
        <v>1047</v>
      </c>
      <c r="C76" s="915" t="s">
        <v>1016</v>
      </c>
      <c r="D76" s="915" t="s">
        <v>1017</v>
      </c>
      <c r="E76" s="915" t="s">
        <v>1018</v>
      </c>
      <c r="F76" s="915" t="s">
        <v>1019</v>
      </c>
      <c r="G76" s="915" t="s">
        <v>1020</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1053</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2642</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2661</v>
      </c>
      <c r="C82" s="213" t="s">
        <v>2662</v>
      </c>
      <c r="D82" s="213" t="s">
        <v>2663</v>
      </c>
      <c r="E82" s="213" t="s">
        <v>2664</v>
      </c>
      <c r="F82" s="213" t="s">
        <v>2665</v>
      </c>
      <c r="G82" s="213" t="s">
        <v>2666</v>
      </c>
      <c r="H82" s="881"/>
      <c r="I82" s="881"/>
      <c r="J82" s="881"/>
      <c r="K82" s="881"/>
      <c r="L82" s="881"/>
      <c r="M82" s="2758"/>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1054</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1055</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1056</v>
      </c>
      <c r="B100" s="286" t="s">
        <v>1057</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1058</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1059</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1060</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1061</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2644</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1062</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1063</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1064</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1065</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1067</v>
      </c>
      <c r="C124" s="181" t="s">
        <v>1048</v>
      </c>
      <c r="D124" s="181" t="s">
        <v>1049</v>
      </c>
      <c r="E124" s="181" t="s">
        <v>1050</v>
      </c>
      <c r="F124" s="181" t="s">
        <v>1051</v>
      </c>
      <c r="G124" s="181" t="s">
        <v>1052</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6" type="noConversion"/>
  <conditionalFormatting sqref="F52 H52">
    <cfRule type="containsText" dxfId="100" priority="17" stopIfTrue="1" operator="containsText" text="超过">
      <formula>NOT(ISERROR(SEARCH("超过",F52)))</formula>
    </cfRule>
  </conditionalFormatting>
  <conditionalFormatting sqref="H54">
    <cfRule type="containsText" dxfId="99" priority="15" stopIfTrue="1" operator="containsText" text="超过">
      <formula>NOT(ISERROR(SEARCH("超过",H54)))</formula>
    </cfRule>
  </conditionalFormatting>
  <conditionalFormatting sqref="F54">
    <cfRule type="containsText" dxfId="98" priority="14" stopIfTrue="1" operator="containsText" text="超过">
      <formula>NOT(ISERROR(SEARCH("超过",F54)))</formula>
    </cfRule>
  </conditionalFormatting>
  <conditionalFormatting sqref="F53 H53">
    <cfRule type="containsText" dxfId="97" priority="13" stopIfTrue="1" operator="containsText" text="超过">
      <formula>NOT(ISERROR(SEARCH("超过",F53)))</formula>
    </cfRule>
  </conditionalFormatting>
  <conditionalFormatting sqref="E52">
    <cfRule type="expression" dxfId="96" priority="12" stopIfTrue="1">
      <formula>$F$52="超过30%"</formula>
    </cfRule>
  </conditionalFormatting>
  <conditionalFormatting sqref="E53">
    <cfRule type="expression" dxfId="95" priority="11" stopIfTrue="1">
      <formula>$F$53="超过20%"</formula>
    </cfRule>
  </conditionalFormatting>
  <conditionalFormatting sqref="E54">
    <cfRule type="expression" dxfId="94" priority="10" stopIfTrue="1">
      <formula>$F$54="超过30%"</formula>
    </cfRule>
  </conditionalFormatting>
  <conditionalFormatting sqref="G54">
    <cfRule type="expression" dxfId="93" priority="9" stopIfTrue="1">
      <formula>$H$54="超过30%"</formula>
    </cfRule>
  </conditionalFormatting>
  <conditionalFormatting sqref="G52">
    <cfRule type="expression" dxfId="92" priority="8" stopIfTrue="1">
      <formula>$H$52="超过30%"</formula>
    </cfRule>
  </conditionalFormatting>
  <conditionalFormatting sqref="G53">
    <cfRule type="expression" dxfId="91" priority="7" stopIfTrue="1">
      <formula>$H$53="超过20%"</formula>
    </cfRule>
  </conditionalFormatting>
  <conditionalFormatting sqref="J52">
    <cfRule type="containsText" dxfId="90" priority="6" stopIfTrue="1" operator="containsText" text="超过">
      <formula>NOT(ISERROR(SEARCH("超过",J52)))</formula>
    </cfRule>
  </conditionalFormatting>
  <conditionalFormatting sqref="J54">
    <cfRule type="containsText" dxfId="89" priority="5" stopIfTrue="1" operator="containsText" text="超过">
      <formula>NOT(ISERROR(SEARCH("超过",J54)))</formula>
    </cfRule>
  </conditionalFormatting>
  <conditionalFormatting sqref="J53">
    <cfRule type="containsText" dxfId="88" priority="4" stopIfTrue="1" operator="containsText" text="超过">
      <formula>NOT(ISERROR(SEARCH("超过",J53)))</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1068</v>
      </c>
      <c r="B1" s="3115" t="s">
        <v>1069</v>
      </c>
      <c r="C1" s="3109" t="s">
        <v>1070</v>
      </c>
      <c r="D1" s="3100"/>
      <c r="E1" s="3105"/>
      <c r="F1" s="3102"/>
      <c r="G1" s="3104" t="s">
        <v>1071</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1072</v>
      </c>
      <c r="B2" s="2840" t="e">
        <f ca="1">IF(C2="——",ROUND(C50*D3/10000,0),ROUND(C50*D3/10000,0)-D2)</f>
        <v>#DIV/0!</v>
      </c>
      <c r="C2" s="3094"/>
      <c r="D2" s="2717" t="e">
        <f ca="1">SUMIF(INDIRECT("'"&amp;F2&amp;"'"&amp;"!A:A"),"承租人权益价值",INDIRECT("'"&amp;F2&amp;"'"&amp;"!c:c"))</f>
        <v>#REF!</v>
      </c>
      <c r="E2" s="3095" t="s">
        <v>868</v>
      </c>
      <c r="F2" s="3096"/>
      <c r="G2" s="2311"/>
      <c r="H2" s="2311"/>
      <c r="I2" s="2311"/>
      <c r="J2" s="2311"/>
      <c r="K2" s="2311"/>
      <c r="L2" s="2312"/>
      <c r="M2" s="2313"/>
      <c r="N2" s="2313"/>
      <c r="O2" s="2313"/>
      <c r="P2" s="1333"/>
      <c r="Q2" s="1333"/>
      <c r="R2" s="1333"/>
      <c r="S2" s="1333"/>
      <c r="T2" s="1333"/>
      <c r="U2" s="1333"/>
      <c r="V2" s="1333"/>
      <c r="W2" s="1333"/>
      <c r="X2" s="1333"/>
      <c r="Y2" s="1333"/>
      <c r="Z2" s="1333"/>
      <c r="AA2" s="1333"/>
      <c r="AB2" s="1333"/>
      <c r="AC2" s="1334"/>
    </row>
    <row r="3" spans="1:29" s="90" customFormat="1" ht="28.5" customHeight="1" thickBot="1">
      <c r="A3" s="87" t="s">
        <v>1073</v>
      </c>
      <c r="B3" s="951" t="e">
        <f ca="1">IF(C2="——",C50,ROUND(B2*10000/D3,0))</f>
        <v>#DIV/0!</v>
      </c>
      <c r="C3" s="142" t="s">
        <v>1074</v>
      </c>
      <c r="D3" s="741">
        <f>IF(D1="",'数据-汇总表'!E3,SUMIF('数据-汇总表'!$C19:$C33,D1,'数据-汇总表'!$E19:$E33))</f>
        <v>88021.11</v>
      </c>
      <c r="E3" s="2309"/>
      <c r="F3" s="2310"/>
      <c r="G3" s="2311"/>
      <c r="H3" s="2311"/>
      <c r="I3" s="2311"/>
      <c r="J3" s="2311"/>
      <c r="K3" s="2314"/>
      <c r="L3" s="2312"/>
      <c r="M3" s="2313"/>
      <c r="N3" s="2313"/>
      <c r="O3" s="2313"/>
      <c r="P3" s="1333"/>
      <c r="Q3" s="1333"/>
      <c r="R3" s="1333"/>
      <c r="S3" s="1333"/>
      <c r="T3" s="1333"/>
      <c r="U3" s="1333"/>
      <c r="V3" s="1333"/>
      <c r="W3" s="1333"/>
      <c r="X3" s="1333"/>
      <c r="Y3" s="1333"/>
      <c r="Z3" s="1333"/>
      <c r="AA3" s="1333"/>
      <c r="AB3" s="1333"/>
      <c r="AC3" s="1334"/>
    </row>
    <row r="4" spans="1:29">
      <c r="A4" s="143" t="s">
        <v>1075</v>
      </c>
      <c r="B4" s="144"/>
      <c r="C4" s="3693" t="s">
        <v>1076</v>
      </c>
      <c r="D4" s="3694"/>
      <c r="E4" s="3695" t="s">
        <v>1077</v>
      </c>
      <c r="F4" s="3696"/>
      <c r="G4" s="3693" t="s">
        <v>1078</v>
      </c>
      <c r="H4" s="3694"/>
      <c r="I4" s="3693" t="s">
        <v>1079</v>
      </c>
      <c r="J4" s="3694"/>
      <c r="K4" s="187" t="s">
        <v>1080</v>
      </c>
      <c r="L4" s="2288"/>
      <c r="M4" s="2289"/>
      <c r="N4" s="2289"/>
      <c r="O4" s="2289"/>
      <c r="P4" s="3719" t="s">
        <v>1075</v>
      </c>
      <c r="Q4" s="3720"/>
      <c r="R4" s="3723" t="s">
        <v>1077</v>
      </c>
      <c r="S4" s="3724"/>
      <c r="T4" s="3723" t="s">
        <v>1078</v>
      </c>
      <c r="U4" s="3724"/>
      <c r="V4" s="3725" t="s">
        <v>1079</v>
      </c>
      <c r="W4" s="3725"/>
      <c r="X4" s="2328"/>
      <c r="Y4" s="3723" t="s">
        <v>1075</v>
      </c>
      <c r="Z4" s="3724"/>
      <c r="AA4" s="3727" t="s">
        <v>1077</v>
      </c>
      <c r="AB4" s="3727" t="s">
        <v>1078</v>
      </c>
      <c r="AC4" s="3716" t="s">
        <v>1079</v>
      </c>
    </row>
    <row r="5" spans="1:29">
      <c r="A5" s="146"/>
      <c r="B5" s="147"/>
      <c r="C5" s="3612" t="s">
        <v>1081</v>
      </c>
      <c r="D5" s="3613"/>
      <c r="E5" s="3640" t="s">
        <v>1082</v>
      </c>
      <c r="F5" s="3641"/>
      <c r="G5" s="3612" t="s">
        <v>1083</v>
      </c>
      <c r="H5" s="3613"/>
      <c r="I5" s="3612" t="s">
        <v>1084</v>
      </c>
      <c r="J5" s="3613"/>
      <c r="K5" s="187"/>
      <c r="L5" s="2288"/>
      <c r="M5" s="2289"/>
      <c r="N5" s="2289"/>
      <c r="O5" s="2289"/>
      <c r="P5" s="3721"/>
      <c r="Q5" s="3700"/>
      <c r="R5" s="3705"/>
      <c r="S5" s="3706"/>
      <c r="T5" s="3705"/>
      <c r="U5" s="3706"/>
      <c r="V5" s="3709"/>
      <c r="W5" s="3709"/>
      <c r="X5" s="2214"/>
      <c r="Y5" s="3705"/>
      <c r="Z5" s="3706"/>
      <c r="AA5" s="3691"/>
      <c r="AB5" s="3691"/>
      <c r="AC5" s="3717"/>
    </row>
    <row r="6" spans="1:29" ht="14.25" thickBot="1">
      <c r="A6" s="148"/>
      <c r="B6" s="149"/>
      <c r="C6" s="3619" t="s">
        <v>1085</v>
      </c>
      <c r="D6" s="3620"/>
      <c r="E6" s="3617" t="s">
        <v>1085</v>
      </c>
      <c r="F6" s="3618"/>
      <c r="G6" s="3619" t="s">
        <v>1085</v>
      </c>
      <c r="H6" s="3620"/>
      <c r="I6" s="3619" t="s">
        <v>1085</v>
      </c>
      <c r="J6" s="3620"/>
      <c r="K6" s="187" t="s">
        <v>1086</v>
      </c>
      <c r="L6" s="2288"/>
      <c r="M6" s="2289"/>
      <c r="N6" s="2289"/>
      <c r="O6" s="2289"/>
      <c r="P6" s="3722"/>
      <c r="Q6" s="3702"/>
      <c r="R6" s="3705"/>
      <c r="S6" s="3706"/>
      <c r="T6" s="3707"/>
      <c r="U6" s="3708"/>
      <c r="V6" s="3709"/>
      <c r="W6" s="3709"/>
      <c r="X6" s="2214"/>
      <c r="Y6" s="3707"/>
      <c r="Z6" s="3708"/>
      <c r="AA6" s="3692"/>
      <c r="AB6" s="3692"/>
      <c r="AC6" s="3718"/>
    </row>
    <row r="7" spans="1:29" s="40" customFormat="1" ht="15" thickBot="1">
      <c r="A7" s="1013" t="s">
        <v>1087</v>
      </c>
      <c r="B7" s="1014"/>
      <c r="C7" s="752">
        <f>'数据-取费表'!B2</f>
        <v>42941</v>
      </c>
      <c r="D7" s="753">
        <v>100</v>
      </c>
      <c r="E7" s="1016"/>
      <c r="F7" s="755">
        <f>SUMIF(59:59,YEAR(E7)&amp;"-"&amp;MONTH(E7),60:60)</f>
        <v>0</v>
      </c>
      <c r="G7" s="1016"/>
      <c r="H7" s="753">
        <f>SUMIF(59:59,YEAR(G7)&amp;"-"&amp;MONTH(G7),60:60)</f>
        <v>0</v>
      </c>
      <c r="I7" s="1016"/>
      <c r="J7" s="753">
        <f>SUMIF(59:59,YEAR(I7)&amp;"-"&amp;MONTH(I7),60:60)</f>
        <v>0</v>
      </c>
      <c r="K7" s="1018"/>
      <c r="L7" s="2290"/>
      <c r="M7" s="2252"/>
      <c r="N7" s="2252"/>
      <c r="O7" s="2252"/>
      <c r="P7" s="3726" t="s">
        <v>1087</v>
      </c>
      <c r="Q7" s="3712"/>
      <c r="R7" s="1341" t="s">
        <v>65</v>
      </c>
      <c r="S7" s="1342">
        <f t="shared" ref="S7:S15" si="0">F7</f>
        <v>0</v>
      </c>
      <c r="T7" s="1341" t="s">
        <v>65</v>
      </c>
      <c r="U7" s="1342">
        <f t="shared" ref="U7:U15" si="1">H7</f>
        <v>0</v>
      </c>
      <c r="V7" s="1341" t="s">
        <v>65</v>
      </c>
      <c r="W7" s="1342">
        <f t="shared" ref="W7:W15" si="2">J7</f>
        <v>0</v>
      </c>
      <c r="X7" s="287"/>
      <c r="Y7" s="3710" t="s">
        <v>1087</v>
      </c>
      <c r="Z7" s="3711"/>
      <c r="AA7" s="1343" t="e">
        <f>D7/F7</f>
        <v>#DIV/0!</v>
      </c>
      <c r="AB7" s="1343" t="e">
        <f>D7/H7</f>
        <v>#DIV/0!</v>
      </c>
      <c r="AC7" s="2329" t="e">
        <f>D7/J7</f>
        <v>#DIV/0!</v>
      </c>
    </row>
    <row r="8" spans="1:29" s="40" customFormat="1" ht="15" thickBot="1">
      <c r="A8" s="1013" t="s">
        <v>1088</v>
      </c>
      <c r="B8" s="1014"/>
      <c r="C8" s="1019" t="s">
        <v>1089</v>
      </c>
      <c r="D8" s="753">
        <v>100</v>
      </c>
      <c r="E8" s="1019"/>
      <c r="F8" s="755">
        <f>SUMIF(62:62,E8,63:63)-SUMIF(62:62,C8,63:63)+100</f>
        <v>0</v>
      </c>
      <c r="G8" s="1019"/>
      <c r="H8" s="753">
        <f>SUMIF(62:62,G8,63:63)-SUMIF(62:62,C8,63:63)+100</f>
        <v>0</v>
      </c>
      <c r="I8" s="1019"/>
      <c r="J8" s="753">
        <f>SUMIF(62:62,I8,63:63)-SUMIF(62:62,C8,63:63)+100</f>
        <v>0</v>
      </c>
      <c r="K8" s="1018"/>
      <c r="L8" s="2290"/>
      <c r="M8" s="2252"/>
      <c r="N8" s="2252"/>
      <c r="O8" s="2252"/>
      <c r="P8" s="3726" t="s">
        <v>1021</v>
      </c>
      <c r="Q8" s="3711"/>
      <c r="R8" s="1341" t="s">
        <v>65</v>
      </c>
      <c r="S8" s="1342">
        <f t="shared" si="0"/>
        <v>0</v>
      </c>
      <c r="T8" s="1341" t="s">
        <v>65</v>
      </c>
      <c r="U8" s="1342">
        <f t="shared" si="1"/>
        <v>0</v>
      </c>
      <c r="V8" s="1341" t="s">
        <v>65</v>
      </c>
      <c r="W8" s="1342">
        <f t="shared" si="2"/>
        <v>0</v>
      </c>
      <c r="X8" s="287"/>
      <c r="Y8" s="3710" t="s">
        <v>1021</v>
      </c>
      <c r="Z8" s="3711"/>
      <c r="AA8" s="1343" t="e">
        <f t="shared" ref="AA8:AA47" si="3">D8/F8</f>
        <v>#DIV/0!</v>
      </c>
      <c r="AB8" s="1343" t="e">
        <f t="shared" ref="AB8:AB47" si="4">D8/H8</f>
        <v>#DIV/0!</v>
      </c>
      <c r="AC8" s="2329" t="e">
        <f t="shared" ref="AC8:AC47" si="5">D8/J8</f>
        <v>#DIV/0!</v>
      </c>
    </row>
    <row r="9" spans="1:29" s="40" customFormat="1" ht="14.25">
      <c r="A9" s="1020" t="s">
        <v>1022</v>
      </c>
      <c r="B9" s="62" t="s">
        <v>1023</v>
      </c>
      <c r="C9" s="1345"/>
      <c r="D9" s="424">
        <v>100</v>
      </c>
      <c r="E9" s="1347"/>
      <c r="F9" s="424">
        <f>SUMIF(64:64,E9,65:65)-SUMIF(64:64,C9,65:65)+100</f>
        <v>100</v>
      </c>
      <c r="G9" s="1346"/>
      <c r="H9" s="424">
        <f>SUMIF(64:64,G9,65:65)-SUMIF(64:64,C9,65:65)+100</f>
        <v>100</v>
      </c>
      <c r="I9" s="1346"/>
      <c r="J9" s="424">
        <f>SUMIF(64:64,I9,65:65)-SUMIF(64:64,C9,65:65)+100</f>
        <v>100</v>
      </c>
      <c r="K9" s="1018"/>
      <c r="L9" s="2290"/>
      <c r="M9" s="2252"/>
      <c r="N9" s="2252"/>
      <c r="O9" s="2252"/>
      <c r="P9" s="3689" t="s">
        <v>67</v>
      </c>
      <c r="Q9" s="2205" t="str">
        <f t="shared" ref="Q9:Q15" si="6">B9</f>
        <v>用途</v>
      </c>
      <c r="R9" s="1341" t="s">
        <v>65</v>
      </c>
      <c r="S9" s="1342">
        <f t="shared" si="0"/>
        <v>100</v>
      </c>
      <c r="T9" s="1341" t="s">
        <v>65</v>
      </c>
      <c r="U9" s="1342">
        <f t="shared" si="1"/>
        <v>100</v>
      </c>
      <c r="V9" s="1341" t="s">
        <v>65</v>
      </c>
      <c r="W9" s="1342">
        <f t="shared" si="2"/>
        <v>100</v>
      </c>
      <c r="X9" s="287"/>
      <c r="Y9" s="3446" t="s">
        <v>67</v>
      </c>
      <c r="Z9" s="2204" t="str">
        <f t="shared" ref="Z9:Z15" si="7">Q9</f>
        <v>用途</v>
      </c>
      <c r="AA9" s="1343">
        <f t="shared" si="3"/>
        <v>1</v>
      </c>
      <c r="AB9" s="1343">
        <f t="shared" si="4"/>
        <v>1</v>
      </c>
      <c r="AC9" s="2329">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1"/>
      <c r="M10" s="2292"/>
      <c r="N10" s="2292"/>
      <c r="O10" s="2292"/>
      <c r="P10" s="3689"/>
      <c r="Q10" s="2205" t="str">
        <f t="shared" si="6"/>
        <v>土地使用年限（年）</v>
      </c>
      <c r="R10" s="1341" t="s">
        <v>65</v>
      </c>
      <c r="S10" s="1342">
        <f t="shared" si="0"/>
        <v>100</v>
      </c>
      <c r="T10" s="1341" t="s">
        <v>65</v>
      </c>
      <c r="U10" s="1342">
        <f t="shared" si="1"/>
        <v>100</v>
      </c>
      <c r="V10" s="1341" t="s">
        <v>65</v>
      </c>
      <c r="W10" s="1342">
        <f t="shared" si="2"/>
        <v>100</v>
      </c>
      <c r="X10" s="287"/>
      <c r="Y10" s="3446"/>
      <c r="Z10" s="2204" t="str">
        <f t="shared" si="7"/>
        <v>土地使用年限（年）</v>
      </c>
      <c r="AA10" s="1343">
        <f t="shared" si="3"/>
        <v>1</v>
      </c>
      <c r="AB10" s="1343">
        <f t="shared" si="4"/>
        <v>1</v>
      </c>
      <c r="AC10" s="2329">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3"/>
      <c r="M11" s="2289"/>
      <c r="N11" s="2289"/>
      <c r="O11" s="2289"/>
      <c r="P11" s="3689"/>
      <c r="Q11" s="2205" t="str">
        <f t="shared" si="6"/>
        <v>容积率</v>
      </c>
      <c r="R11" s="1341" t="s">
        <v>65</v>
      </c>
      <c r="S11" s="1342" t="e">
        <f t="shared" si="0"/>
        <v>#N/A</v>
      </c>
      <c r="T11" s="1341" t="s">
        <v>65</v>
      </c>
      <c r="U11" s="1342" t="e">
        <f t="shared" si="1"/>
        <v>#N/A</v>
      </c>
      <c r="V11" s="1341" t="s">
        <v>65</v>
      </c>
      <c r="W11" s="1342" t="e">
        <f t="shared" si="2"/>
        <v>#N/A</v>
      </c>
      <c r="X11" s="287"/>
      <c r="Y11" s="3446"/>
      <c r="Z11" s="2204" t="str">
        <f t="shared" si="7"/>
        <v>容积率</v>
      </c>
      <c r="AA11" s="1343" t="e">
        <f t="shared" si="3"/>
        <v>#N/A</v>
      </c>
      <c r="AB11" s="1343" t="e">
        <f t="shared" si="4"/>
        <v>#N/A</v>
      </c>
      <c r="AC11" s="2329"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0"/>
      <c r="M12" s="2252"/>
      <c r="N12" s="2252"/>
      <c r="O12" s="2252"/>
      <c r="P12" s="3689"/>
      <c r="Q12" s="2205">
        <f t="shared" si="6"/>
        <v>111</v>
      </c>
      <c r="R12" s="1341" t="s">
        <v>65</v>
      </c>
      <c r="S12" s="1342">
        <f t="shared" si="0"/>
        <v>100</v>
      </c>
      <c r="T12" s="1341" t="s">
        <v>65</v>
      </c>
      <c r="U12" s="1342">
        <f t="shared" si="1"/>
        <v>100</v>
      </c>
      <c r="V12" s="1341" t="s">
        <v>65</v>
      </c>
      <c r="W12" s="1342">
        <f t="shared" si="2"/>
        <v>100</v>
      </c>
      <c r="X12" s="287"/>
      <c r="Y12" s="3446"/>
      <c r="Z12" s="2204">
        <f t="shared" si="7"/>
        <v>111</v>
      </c>
      <c r="AA12" s="1343">
        <f>D12/F12</f>
        <v>1</v>
      </c>
      <c r="AB12" s="1343">
        <f>D12/H12</f>
        <v>1</v>
      </c>
      <c r="AC12" s="2329">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294"/>
      <c r="M13" s="2289"/>
      <c r="N13" s="2289"/>
      <c r="O13" s="2289"/>
      <c r="P13" s="3689"/>
      <c r="Q13" s="2205">
        <f t="shared" si="6"/>
        <v>111</v>
      </c>
      <c r="R13" s="1341" t="s">
        <v>65</v>
      </c>
      <c r="S13" s="1342">
        <f t="shared" si="0"/>
        <v>100</v>
      </c>
      <c r="T13" s="1341" t="s">
        <v>65</v>
      </c>
      <c r="U13" s="1342">
        <f t="shared" si="1"/>
        <v>100</v>
      </c>
      <c r="V13" s="1341" t="s">
        <v>65</v>
      </c>
      <c r="W13" s="1342">
        <f t="shared" si="2"/>
        <v>100</v>
      </c>
      <c r="X13" s="287"/>
      <c r="Y13" s="3446"/>
      <c r="Z13" s="2204">
        <f t="shared" si="7"/>
        <v>111</v>
      </c>
      <c r="AA13" s="1343">
        <f t="shared" si="3"/>
        <v>1</v>
      </c>
      <c r="AB13" s="1343">
        <f t="shared" si="4"/>
        <v>1</v>
      </c>
      <c r="AC13" s="2329">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4"/>
      <c r="M14" s="2289"/>
      <c r="N14" s="2289"/>
      <c r="O14" s="2289"/>
      <c r="P14" s="3689"/>
      <c r="Q14" s="2205">
        <f t="shared" si="6"/>
        <v>111</v>
      </c>
      <c r="R14" s="1341" t="s">
        <v>65</v>
      </c>
      <c r="S14" s="1342">
        <f t="shared" si="0"/>
        <v>100</v>
      </c>
      <c r="T14" s="1341" t="s">
        <v>65</v>
      </c>
      <c r="U14" s="1342">
        <f t="shared" si="1"/>
        <v>100</v>
      </c>
      <c r="V14" s="1341" t="s">
        <v>65</v>
      </c>
      <c r="W14" s="1342">
        <f t="shared" si="2"/>
        <v>100</v>
      </c>
      <c r="X14" s="287"/>
      <c r="Y14" s="3446"/>
      <c r="Z14" s="2204">
        <f t="shared" si="7"/>
        <v>111</v>
      </c>
      <c r="AA14" s="1343">
        <f t="shared" si="3"/>
        <v>1</v>
      </c>
      <c r="AB14" s="1343">
        <f t="shared" si="4"/>
        <v>1</v>
      </c>
      <c r="AC14" s="2329">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4"/>
      <c r="M15" s="2289"/>
      <c r="N15" s="2289"/>
      <c r="O15" s="2289"/>
      <c r="P15" s="3687" t="s">
        <v>69</v>
      </c>
      <c r="Q15" s="2212" t="str">
        <f t="shared" si="6"/>
        <v>办公集聚程度</v>
      </c>
      <c r="R15" s="1351" t="s">
        <v>65</v>
      </c>
      <c r="S15" s="1352">
        <f t="shared" si="0"/>
        <v>100</v>
      </c>
      <c r="T15" s="1351" t="s">
        <v>65</v>
      </c>
      <c r="U15" s="1352">
        <f t="shared" si="1"/>
        <v>100</v>
      </c>
      <c r="V15" s="1351" t="s">
        <v>65</v>
      </c>
      <c r="W15" s="1352">
        <f t="shared" si="2"/>
        <v>100</v>
      </c>
      <c r="X15" s="2214"/>
      <c r="Y15" s="3680" t="s">
        <v>69</v>
      </c>
      <c r="Z15" s="2213" t="str">
        <f t="shared" si="7"/>
        <v>办公集聚程度</v>
      </c>
      <c r="AA15" s="1354">
        <f t="shared" si="3"/>
        <v>1</v>
      </c>
      <c r="AB15" s="1354">
        <f t="shared" si="4"/>
        <v>1</v>
      </c>
      <c r="AC15" s="2330">
        <f t="shared" si="5"/>
        <v>1</v>
      </c>
    </row>
    <row r="16" spans="1:29" ht="14.25">
      <c r="A16" s="151"/>
      <c r="B16" s="209"/>
      <c r="C16" s="192"/>
      <c r="D16" s="790"/>
      <c r="E16" s="97"/>
      <c r="F16" s="790"/>
      <c r="G16" s="192"/>
      <c r="H16" s="792"/>
      <c r="I16" s="97"/>
      <c r="J16" s="790"/>
      <c r="K16" s="189"/>
      <c r="L16" s="2294"/>
      <c r="M16" s="2289"/>
      <c r="N16" s="2289"/>
      <c r="O16" s="2289"/>
      <c r="P16" s="3688"/>
      <c r="Q16" s="2212"/>
      <c r="R16" s="1351"/>
      <c r="S16" s="1352"/>
      <c r="T16" s="1351"/>
      <c r="U16" s="1352"/>
      <c r="V16" s="1351"/>
      <c r="W16" s="1352"/>
      <c r="X16" s="2214"/>
      <c r="Y16" s="3681"/>
      <c r="Z16" s="2213"/>
      <c r="AA16" s="1354">
        <v>1</v>
      </c>
      <c r="AB16" s="1354">
        <v>1</v>
      </c>
      <c r="AC16" s="2330">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4"/>
      <c r="M17" s="2289"/>
      <c r="N17" s="2289"/>
      <c r="O17" s="2289"/>
      <c r="P17" s="3688"/>
      <c r="Q17" s="2212" t="str">
        <f>B17</f>
        <v>交通便捷度</v>
      </c>
      <c r="R17" s="1351" t="s">
        <v>65</v>
      </c>
      <c r="S17" s="1352">
        <f>F17</f>
        <v>100</v>
      </c>
      <c r="T17" s="1351" t="s">
        <v>65</v>
      </c>
      <c r="U17" s="1352">
        <f>H17</f>
        <v>100</v>
      </c>
      <c r="V17" s="1351" t="s">
        <v>65</v>
      </c>
      <c r="W17" s="1352">
        <f>J17</f>
        <v>100</v>
      </c>
      <c r="X17" s="2214"/>
      <c r="Y17" s="3681"/>
      <c r="Z17" s="2213" t="str">
        <f>Q17</f>
        <v>交通便捷度</v>
      </c>
      <c r="AA17" s="1354">
        <f t="shared" si="3"/>
        <v>1</v>
      </c>
      <c r="AB17" s="1354">
        <f t="shared" si="4"/>
        <v>1</v>
      </c>
      <c r="AC17" s="2330">
        <f t="shared" si="5"/>
        <v>1</v>
      </c>
    </row>
    <row r="18" spans="1:29" ht="14.25">
      <c r="A18" s="151"/>
      <c r="B18" s="1034"/>
      <c r="C18" s="193"/>
      <c r="D18" s="792"/>
      <c r="E18" s="104"/>
      <c r="F18" s="792"/>
      <c r="G18" s="103"/>
      <c r="H18" s="790"/>
      <c r="I18" s="103"/>
      <c r="J18" s="790"/>
      <c r="K18" s="189"/>
      <c r="L18" s="2294"/>
      <c r="M18" s="2289"/>
      <c r="N18" s="2289"/>
      <c r="O18" s="2289"/>
      <c r="P18" s="3688"/>
      <c r="Q18" s="2212"/>
      <c r="R18" s="1351"/>
      <c r="S18" s="1352"/>
      <c r="T18" s="1351"/>
      <c r="U18" s="1352"/>
      <c r="V18" s="1351"/>
      <c r="W18" s="1352"/>
      <c r="X18" s="2214"/>
      <c r="Y18" s="3681"/>
      <c r="Z18" s="2213"/>
      <c r="AA18" s="1354">
        <v>1</v>
      </c>
      <c r="AB18" s="1354">
        <v>1</v>
      </c>
      <c r="AC18" s="2330">
        <v>1</v>
      </c>
    </row>
    <row r="19" spans="1:29" ht="40.5">
      <c r="A19" s="151"/>
      <c r="B19" s="1033" t="s">
        <v>2667</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294"/>
      <c r="M19" s="2289"/>
      <c r="N19" s="2289"/>
      <c r="O19" s="2289"/>
      <c r="P19" s="3688"/>
      <c r="Q19" s="2212" t="str">
        <f>B19</f>
        <v>公共配套设施</v>
      </c>
      <c r="R19" s="1351" t="s">
        <v>65</v>
      </c>
      <c r="S19" s="1352">
        <f>F19</f>
        <v>100</v>
      </c>
      <c r="T19" s="1351" t="s">
        <v>65</v>
      </c>
      <c r="U19" s="1352">
        <f>H19</f>
        <v>100</v>
      </c>
      <c r="V19" s="1351" t="s">
        <v>65</v>
      </c>
      <c r="W19" s="1352">
        <f>J19</f>
        <v>100</v>
      </c>
      <c r="X19" s="2214"/>
      <c r="Y19" s="3681"/>
      <c r="Z19" s="2213" t="str">
        <f>Q19</f>
        <v>公共配套设施</v>
      </c>
      <c r="AA19" s="1354">
        <f t="shared" si="3"/>
        <v>1</v>
      </c>
      <c r="AB19" s="1354">
        <f t="shared" si="4"/>
        <v>1</v>
      </c>
      <c r="AC19" s="2330">
        <f t="shared" si="5"/>
        <v>1</v>
      </c>
    </row>
    <row r="20" spans="1:29" ht="14.25">
      <c r="A20" s="151"/>
      <c r="B20" s="1034"/>
      <c r="C20" s="192"/>
      <c r="D20" s="790"/>
      <c r="E20" s="99"/>
      <c r="F20" s="790"/>
      <c r="G20" s="98"/>
      <c r="H20" s="790"/>
      <c r="I20" s="98"/>
      <c r="J20" s="790"/>
      <c r="K20" s="189"/>
      <c r="L20" s="2294"/>
      <c r="M20" s="2289"/>
      <c r="N20" s="2289"/>
      <c r="O20" s="2289"/>
      <c r="P20" s="3688"/>
      <c r="Q20" s="2212"/>
      <c r="R20" s="1351"/>
      <c r="S20" s="1352"/>
      <c r="T20" s="1351"/>
      <c r="U20" s="1352"/>
      <c r="V20" s="1351"/>
      <c r="W20" s="1352"/>
      <c r="X20" s="2214"/>
      <c r="Y20" s="3681"/>
      <c r="Z20" s="2213"/>
      <c r="AA20" s="1354">
        <v>1</v>
      </c>
      <c r="AB20" s="1354">
        <v>1</v>
      </c>
      <c r="AC20" s="2330">
        <v>1</v>
      </c>
    </row>
    <row r="21" spans="1:29" ht="27">
      <c r="A21" s="151"/>
      <c r="B21" s="1035" t="s">
        <v>2668</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294"/>
      <c r="M21" s="2289"/>
      <c r="N21" s="2289"/>
      <c r="O21" s="2289"/>
      <c r="P21" s="3688"/>
      <c r="Q21" s="2739" t="str">
        <f>B21</f>
        <v>基础设施水平</v>
      </c>
      <c r="R21" s="1351" t="s">
        <v>65</v>
      </c>
      <c r="S21" s="1352">
        <f>F21</f>
        <v>100</v>
      </c>
      <c r="T21" s="1351" t="s">
        <v>65</v>
      </c>
      <c r="U21" s="1352">
        <f>H21</f>
        <v>100</v>
      </c>
      <c r="V21" s="1351" t="s">
        <v>65</v>
      </c>
      <c r="W21" s="1352">
        <f>J21</f>
        <v>100</v>
      </c>
      <c r="X21" s="2741"/>
      <c r="Y21" s="3681"/>
      <c r="Z21" s="2740" t="str">
        <f>Q21</f>
        <v>基础设施水平</v>
      </c>
      <c r="AA21" s="1354">
        <f t="shared" ref="AA21" si="8">D21/F21</f>
        <v>1</v>
      </c>
      <c r="AB21" s="1354">
        <f t="shared" ref="AB21" si="9">D21/H21</f>
        <v>1</v>
      </c>
      <c r="AC21" s="2330">
        <f t="shared" ref="AC21" si="10">D21/J21</f>
        <v>1</v>
      </c>
    </row>
    <row r="22" spans="1:29" ht="14.25">
      <c r="A22" s="151"/>
      <c r="B22" s="1035"/>
      <c r="C22" s="193"/>
      <c r="D22" s="790"/>
      <c r="E22" s="97"/>
      <c r="F22" s="790"/>
      <c r="G22" s="192"/>
      <c r="H22" s="790"/>
      <c r="I22" s="192"/>
      <c r="J22" s="790"/>
      <c r="K22" s="2759"/>
      <c r="L22" s="2294"/>
      <c r="M22" s="2289"/>
      <c r="N22" s="2289"/>
      <c r="O22" s="2289"/>
      <c r="P22" s="3688"/>
      <c r="Q22" s="2739"/>
      <c r="R22" s="1351"/>
      <c r="S22" s="1352"/>
      <c r="T22" s="1351"/>
      <c r="U22" s="1352"/>
      <c r="V22" s="1351"/>
      <c r="W22" s="1352"/>
      <c r="X22" s="2741"/>
      <c r="Y22" s="3681"/>
      <c r="Z22" s="2740"/>
      <c r="AA22" s="1354">
        <v>1</v>
      </c>
      <c r="AB22" s="1354">
        <v>1</v>
      </c>
      <c r="AC22" s="2330">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294"/>
      <c r="M23" s="2289"/>
      <c r="N23" s="2289"/>
      <c r="O23" s="2289"/>
      <c r="P23" s="3688"/>
      <c r="Q23" s="2212" t="str">
        <f>B23</f>
        <v>环境质量</v>
      </c>
      <c r="R23" s="1351" t="s">
        <v>65</v>
      </c>
      <c r="S23" s="1352">
        <f>F23</f>
        <v>100</v>
      </c>
      <c r="T23" s="1351" t="s">
        <v>65</v>
      </c>
      <c r="U23" s="1352">
        <f>H23</f>
        <v>100</v>
      </c>
      <c r="V23" s="1351" t="s">
        <v>65</v>
      </c>
      <c r="W23" s="1352">
        <f>J23</f>
        <v>100</v>
      </c>
      <c r="X23" s="2214"/>
      <c r="Y23" s="3681"/>
      <c r="Z23" s="2213" t="str">
        <f>Q23</f>
        <v>环境质量</v>
      </c>
      <c r="AA23" s="1354">
        <f t="shared" si="3"/>
        <v>1</v>
      </c>
      <c r="AB23" s="1354">
        <f t="shared" si="4"/>
        <v>1</v>
      </c>
      <c r="AC23" s="2330">
        <f t="shared" si="5"/>
        <v>1</v>
      </c>
    </row>
    <row r="24" spans="1:29" ht="14.25">
      <c r="A24" s="151"/>
      <c r="B24" s="1035"/>
      <c r="C24" s="192"/>
      <c r="D24" s="790"/>
      <c r="E24" s="99"/>
      <c r="F24" s="790"/>
      <c r="G24" s="98"/>
      <c r="H24" s="790"/>
      <c r="I24" s="98"/>
      <c r="J24" s="790"/>
      <c r="K24" s="189"/>
      <c r="L24" s="2294"/>
      <c r="M24" s="2289"/>
      <c r="N24" s="2289"/>
      <c r="O24" s="2289"/>
      <c r="P24" s="3688"/>
      <c r="Q24" s="2212"/>
      <c r="R24" s="1351"/>
      <c r="S24" s="1352"/>
      <c r="T24" s="1351"/>
      <c r="U24" s="1352"/>
      <c r="V24" s="1351"/>
      <c r="W24" s="1352"/>
      <c r="X24" s="2214"/>
      <c r="Y24" s="3681"/>
      <c r="Z24" s="2213"/>
      <c r="AA24" s="1354">
        <v>1</v>
      </c>
      <c r="AB24" s="1354">
        <v>1</v>
      </c>
      <c r="AC24" s="2330">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4"/>
      <c r="M25" s="2289"/>
      <c r="N25" s="2289"/>
      <c r="O25" s="2289"/>
      <c r="P25" s="3688"/>
      <c r="Q25" s="2212" t="str">
        <f>B25</f>
        <v>毗邻道路的类型与等级</v>
      </c>
      <c r="R25" s="1351" t="s">
        <v>65</v>
      </c>
      <c r="S25" s="1352">
        <f>F25</f>
        <v>100</v>
      </c>
      <c r="T25" s="1351" t="s">
        <v>65</v>
      </c>
      <c r="U25" s="1352">
        <f>H25</f>
        <v>100</v>
      </c>
      <c r="V25" s="1351" t="s">
        <v>65</v>
      </c>
      <c r="W25" s="1352">
        <f>J25</f>
        <v>100</v>
      </c>
      <c r="X25" s="2214"/>
      <c r="Y25" s="3681"/>
      <c r="Z25" s="2213" t="str">
        <f>Q25</f>
        <v>毗邻道路的类型与等级</v>
      </c>
      <c r="AA25" s="1354">
        <f t="shared" si="3"/>
        <v>1</v>
      </c>
      <c r="AB25" s="1354">
        <f t="shared" si="4"/>
        <v>1</v>
      </c>
      <c r="AC25" s="2330">
        <f t="shared" si="5"/>
        <v>1</v>
      </c>
    </row>
    <row r="26" spans="1:29" ht="14.25">
      <c r="A26" s="146"/>
      <c r="B26" s="1034"/>
      <c r="C26" s="195"/>
      <c r="D26" s="777"/>
      <c r="E26" s="182"/>
      <c r="F26" s="777"/>
      <c r="G26" s="195"/>
      <c r="H26" s="777"/>
      <c r="I26" s="182"/>
      <c r="J26" s="777"/>
      <c r="K26" s="189"/>
      <c r="L26" s="2294"/>
      <c r="M26" s="2289"/>
      <c r="N26" s="2289"/>
      <c r="O26" s="2289"/>
      <c r="P26" s="3688"/>
      <c r="Q26" s="2212"/>
      <c r="R26" s="1351"/>
      <c r="S26" s="1352"/>
      <c r="T26" s="1351"/>
      <c r="U26" s="1352"/>
      <c r="V26" s="1351"/>
      <c r="W26" s="1352"/>
      <c r="X26" s="2214"/>
      <c r="Y26" s="3681"/>
      <c r="Z26" s="2213"/>
      <c r="AA26" s="1354">
        <v>1</v>
      </c>
      <c r="AB26" s="1354">
        <v>1</v>
      </c>
      <c r="AC26" s="2330">
        <v>1</v>
      </c>
    </row>
    <row r="27" spans="1:29" ht="15">
      <c r="A27" s="151"/>
      <c r="B27" s="1034" t="s">
        <v>1090</v>
      </c>
      <c r="C27" s="195"/>
      <c r="D27" s="777">
        <v>100</v>
      </c>
      <c r="E27" s="182"/>
      <c r="F27" s="777">
        <f>SUMIF(89:89,E27,90:90)-SUMIF(89:89,C27,90:90)+100</f>
        <v>100</v>
      </c>
      <c r="G27" s="195"/>
      <c r="H27" s="777">
        <f>SUMIF(89:89,G27,90:90)-SUMIF(89:89,C27,90:90)+100</f>
        <v>100</v>
      </c>
      <c r="I27" s="182"/>
      <c r="J27" s="777">
        <f>SUMIF(89:89,I27,90:90)-SUMIF(89:89,C27,90:90)+100</f>
        <v>100</v>
      </c>
      <c r="K27" s="954"/>
      <c r="L27" s="2294"/>
      <c r="M27" s="2289"/>
      <c r="N27" s="2289"/>
      <c r="O27" s="2289"/>
      <c r="P27" s="3688"/>
      <c r="Q27" s="2212" t="str">
        <f t="shared" ref="Q27:Q47" si="11">B27</f>
        <v>楼层</v>
      </c>
      <c r="R27" s="1351" t="s">
        <v>65</v>
      </c>
      <c r="S27" s="1352">
        <f>F27</f>
        <v>100</v>
      </c>
      <c r="T27" s="1351" t="s">
        <v>65</v>
      </c>
      <c r="U27" s="1352">
        <f>H27</f>
        <v>100</v>
      </c>
      <c r="V27" s="1351" t="s">
        <v>65</v>
      </c>
      <c r="W27" s="1352">
        <f>J27</f>
        <v>100</v>
      </c>
      <c r="X27" s="2214"/>
      <c r="Y27" s="3681"/>
      <c r="Z27" s="2213" t="str">
        <f>Q27</f>
        <v>楼层</v>
      </c>
      <c r="AA27" s="1354">
        <f t="shared" si="3"/>
        <v>1</v>
      </c>
      <c r="AB27" s="1354">
        <f t="shared" si="4"/>
        <v>1</v>
      </c>
      <c r="AC27" s="2330">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0"/>
      <c r="M28" s="2252"/>
      <c r="N28" s="2252"/>
      <c r="O28" s="2252"/>
      <c r="P28" s="3688"/>
      <c r="Q28" s="2205" t="str">
        <f t="shared" si="11"/>
        <v>朝向</v>
      </c>
      <c r="R28" s="1341" t="s">
        <v>65</v>
      </c>
      <c r="S28" s="1342">
        <f>F28</f>
        <v>100</v>
      </c>
      <c r="T28" s="1341" t="s">
        <v>65</v>
      </c>
      <c r="U28" s="1342">
        <f>H28</f>
        <v>100</v>
      </c>
      <c r="V28" s="1341" t="s">
        <v>65</v>
      </c>
      <c r="W28" s="1342">
        <f>J28</f>
        <v>100</v>
      </c>
      <c r="X28" s="287"/>
      <c r="Y28" s="3681"/>
      <c r="Z28" s="2204" t="str">
        <f>Q28</f>
        <v>朝向</v>
      </c>
      <c r="AA28" s="1354">
        <f>D28/F28</f>
        <v>1</v>
      </c>
      <c r="AB28" s="1354">
        <f>D28/H28</f>
        <v>1</v>
      </c>
      <c r="AC28" s="2330">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4"/>
      <c r="M29" s="2289"/>
      <c r="N29" s="2289"/>
      <c r="O29" s="2289"/>
      <c r="P29" s="3688"/>
      <c r="Q29" s="2212">
        <f t="shared" si="11"/>
        <v>111</v>
      </c>
      <c r="R29" s="1351" t="s">
        <v>65</v>
      </c>
      <c r="S29" s="1352">
        <f t="shared" ref="S29:S47" si="12">F29</f>
        <v>100</v>
      </c>
      <c r="T29" s="1351" t="s">
        <v>65</v>
      </c>
      <c r="U29" s="1352">
        <f t="shared" ref="U29:U47" si="13">H29</f>
        <v>100</v>
      </c>
      <c r="V29" s="1351" t="s">
        <v>65</v>
      </c>
      <c r="W29" s="1352">
        <f t="shared" ref="W29:W47" si="14">J29</f>
        <v>100</v>
      </c>
      <c r="X29" s="2214"/>
      <c r="Y29" s="3681"/>
      <c r="Z29" s="2213">
        <f t="shared" ref="Z29:Z47" si="15">Q29</f>
        <v>111</v>
      </c>
      <c r="AA29" s="1354">
        <f t="shared" si="3"/>
        <v>1</v>
      </c>
      <c r="AB29" s="1354">
        <f t="shared" si="4"/>
        <v>1</v>
      </c>
      <c r="AC29" s="2330">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4"/>
      <c r="M30" s="2289"/>
      <c r="N30" s="2289"/>
      <c r="O30" s="2289"/>
      <c r="P30" s="3688"/>
      <c r="Q30" s="2212">
        <f t="shared" si="11"/>
        <v>111</v>
      </c>
      <c r="R30" s="1351" t="s">
        <v>65</v>
      </c>
      <c r="S30" s="1352">
        <f t="shared" si="12"/>
        <v>100</v>
      </c>
      <c r="T30" s="1351" t="s">
        <v>65</v>
      </c>
      <c r="U30" s="1352">
        <f t="shared" si="13"/>
        <v>100</v>
      </c>
      <c r="V30" s="1351" t="s">
        <v>65</v>
      </c>
      <c r="W30" s="1352">
        <f t="shared" si="14"/>
        <v>100</v>
      </c>
      <c r="X30" s="2214"/>
      <c r="Y30" s="3681"/>
      <c r="Z30" s="2213">
        <f t="shared" si="15"/>
        <v>111</v>
      </c>
      <c r="AA30" s="1354">
        <f t="shared" si="3"/>
        <v>1</v>
      </c>
      <c r="AB30" s="1354">
        <f t="shared" si="4"/>
        <v>1</v>
      </c>
      <c r="AC30" s="2330">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4"/>
      <c r="M31" s="2289"/>
      <c r="N31" s="2289"/>
      <c r="O31" s="2289"/>
      <c r="P31" s="3688"/>
      <c r="Q31" s="2212">
        <f t="shared" si="11"/>
        <v>111</v>
      </c>
      <c r="R31" s="1351" t="s">
        <v>65</v>
      </c>
      <c r="S31" s="1352">
        <f t="shared" si="12"/>
        <v>100</v>
      </c>
      <c r="T31" s="1351" t="s">
        <v>65</v>
      </c>
      <c r="U31" s="1352">
        <f t="shared" si="13"/>
        <v>100</v>
      </c>
      <c r="V31" s="1351" t="s">
        <v>65</v>
      </c>
      <c r="W31" s="1352">
        <f t="shared" si="14"/>
        <v>100</v>
      </c>
      <c r="X31" s="2214"/>
      <c r="Y31" s="3681"/>
      <c r="Z31" s="2213">
        <f t="shared" si="15"/>
        <v>111</v>
      </c>
      <c r="AA31" s="1354">
        <f t="shared" si="3"/>
        <v>1</v>
      </c>
      <c r="AB31" s="1354">
        <f t="shared" si="4"/>
        <v>1</v>
      </c>
      <c r="AC31" s="2330">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4"/>
      <c r="M32" s="2289"/>
      <c r="N32" s="2289"/>
      <c r="O32" s="2289"/>
      <c r="P32" s="3688"/>
      <c r="Q32" s="2212">
        <f t="shared" si="11"/>
        <v>111</v>
      </c>
      <c r="R32" s="1351" t="s">
        <v>65</v>
      </c>
      <c r="S32" s="1352">
        <f t="shared" si="12"/>
        <v>100</v>
      </c>
      <c r="T32" s="1351" t="s">
        <v>65</v>
      </c>
      <c r="U32" s="1352">
        <f t="shared" si="13"/>
        <v>100</v>
      </c>
      <c r="V32" s="1351" t="s">
        <v>65</v>
      </c>
      <c r="W32" s="1352">
        <f t="shared" si="14"/>
        <v>100</v>
      </c>
      <c r="X32" s="2214"/>
      <c r="Y32" s="3681"/>
      <c r="Z32" s="2213">
        <f t="shared" si="15"/>
        <v>111</v>
      </c>
      <c r="AA32" s="1354">
        <f t="shared" si="3"/>
        <v>1</v>
      </c>
      <c r="AB32" s="1354">
        <f t="shared" si="4"/>
        <v>1</v>
      </c>
      <c r="AC32" s="2330">
        <f t="shared" si="5"/>
        <v>1</v>
      </c>
    </row>
    <row r="33" spans="1:29" ht="15">
      <c r="A33" s="155" t="s">
        <v>1091</v>
      </c>
      <c r="B33" s="62" t="s">
        <v>1092</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4"/>
      <c r="M33" s="2289"/>
      <c r="N33" s="2289"/>
      <c r="O33" s="2289"/>
      <c r="P33" s="3682" t="s">
        <v>1093</v>
      </c>
      <c r="Q33" s="2212" t="str">
        <f t="shared" si="11"/>
        <v>建筑类型</v>
      </c>
      <c r="R33" s="1351" t="s">
        <v>65</v>
      </c>
      <c r="S33" s="1352">
        <f t="shared" si="12"/>
        <v>100</v>
      </c>
      <c r="T33" s="1351" t="s">
        <v>65</v>
      </c>
      <c r="U33" s="1352">
        <f t="shared" si="13"/>
        <v>100</v>
      </c>
      <c r="V33" s="1351" t="s">
        <v>65</v>
      </c>
      <c r="W33" s="1352">
        <f t="shared" si="14"/>
        <v>100</v>
      </c>
      <c r="X33" s="2214"/>
      <c r="Y33" s="3685" t="s">
        <v>1093</v>
      </c>
      <c r="Z33" s="2213" t="str">
        <f t="shared" si="15"/>
        <v>建筑类型</v>
      </c>
      <c r="AA33" s="1354">
        <f t="shared" si="3"/>
        <v>1</v>
      </c>
      <c r="AB33" s="1354">
        <f t="shared" si="4"/>
        <v>1</v>
      </c>
      <c r="AC33" s="2330">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3"/>
      <c r="M34" s="2295"/>
      <c r="N34" s="2295"/>
      <c r="O34" s="2295"/>
      <c r="P34" s="3683"/>
      <c r="Q34" s="1358" t="str">
        <f t="shared" si="11"/>
        <v>项目建筑规模</v>
      </c>
      <c r="R34" s="1359" t="s">
        <v>65</v>
      </c>
      <c r="S34" s="1360" t="e">
        <f t="shared" si="12"/>
        <v>#N/A</v>
      </c>
      <c r="T34" s="1359" t="s">
        <v>65</v>
      </c>
      <c r="U34" s="1360" t="e">
        <f t="shared" si="13"/>
        <v>#N/A</v>
      </c>
      <c r="V34" s="1359" t="s">
        <v>65</v>
      </c>
      <c r="W34" s="1360" t="e">
        <f t="shared" si="14"/>
        <v>#N/A</v>
      </c>
      <c r="X34" s="1361"/>
      <c r="Y34" s="3685"/>
      <c r="Z34" s="1362" t="str">
        <f t="shared" si="15"/>
        <v>项目建筑规模</v>
      </c>
      <c r="AA34" s="1354" t="e">
        <f t="shared" si="3"/>
        <v>#N/A</v>
      </c>
      <c r="AB34" s="1354" t="e">
        <f t="shared" si="4"/>
        <v>#N/A</v>
      </c>
      <c r="AC34" s="2330"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4"/>
      <c r="M35" s="2289"/>
      <c r="N35" s="2289"/>
      <c r="O35" s="2289"/>
      <c r="P35" s="3683"/>
      <c r="Q35" s="2212" t="str">
        <f t="shared" si="11"/>
        <v>建筑结构</v>
      </c>
      <c r="R35" s="1351" t="s">
        <v>65</v>
      </c>
      <c r="S35" s="1352">
        <f t="shared" si="12"/>
        <v>100</v>
      </c>
      <c r="T35" s="1351" t="s">
        <v>65</v>
      </c>
      <c r="U35" s="1352">
        <f t="shared" si="13"/>
        <v>100</v>
      </c>
      <c r="V35" s="1351" t="s">
        <v>65</v>
      </c>
      <c r="W35" s="1352">
        <f t="shared" si="14"/>
        <v>100</v>
      </c>
      <c r="X35" s="2214"/>
      <c r="Y35" s="3685"/>
      <c r="Z35" s="2213" t="str">
        <f t="shared" si="15"/>
        <v>建筑结构</v>
      </c>
      <c r="AA35" s="1354">
        <f t="shared" si="3"/>
        <v>1</v>
      </c>
      <c r="AB35" s="1354">
        <f t="shared" si="4"/>
        <v>1</v>
      </c>
      <c r="AC35" s="2330">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4"/>
      <c r="M36" s="2289"/>
      <c r="N36" s="2289"/>
      <c r="O36" s="2289"/>
      <c r="P36" s="3683"/>
      <c r="Q36" s="2212" t="str">
        <f t="shared" si="11"/>
        <v>公共部分装修</v>
      </c>
      <c r="R36" s="1351" t="s">
        <v>65</v>
      </c>
      <c r="S36" s="1352">
        <f t="shared" si="12"/>
        <v>100</v>
      </c>
      <c r="T36" s="1351" t="s">
        <v>65</v>
      </c>
      <c r="U36" s="1352">
        <f t="shared" si="13"/>
        <v>100</v>
      </c>
      <c r="V36" s="1351" t="s">
        <v>65</v>
      </c>
      <c r="W36" s="1352">
        <f t="shared" si="14"/>
        <v>100</v>
      </c>
      <c r="X36" s="2214"/>
      <c r="Y36" s="3685"/>
      <c r="Z36" s="2213" t="str">
        <f t="shared" si="15"/>
        <v>公共部分装修</v>
      </c>
      <c r="AA36" s="1354">
        <f t="shared" si="3"/>
        <v>1</v>
      </c>
      <c r="AB36" s="1354">
        <f t="shared" si="4"/>
        <v>1</v>
      </c>
      <c r="AC36" s="2330">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4"/>
      <c r="M37" s="2289"/>
      <c r="N37" s="2289"/>
      <c r="O37" s="2289"/>
      <c r="P37" s="3683"/>
      <c r="Q37" s="2212" t="str">
        <f t="shared" si="11"/>
        <v>成新度</v>
      </c>
      <c r="R37" s="1351" t="s">
        <v>65</v>
      </c>
      <c r="S37" s="1352" t="e">
        <f t="shared" si="12"/>
        <v>#N/A</v>
      </c>
      <c r="T37" s="1351" t="s">
        <v>65</v>
      </c>
      <c r="U37" s="1352" t="e">
        <f t="shared" si="13"/>
        <v>#N/A</v>
      </c>
      <c r="V37" s="1351" t="s">
        <v>65</v>
      </c>
      <c r="W37" s="1352" t="e">
        <f t="shared" si="14"/>
        <v>#N/A</v>
      </c>
      <c r="X37" s="2214"/>
      <c r="Y37" s="3685"/>
      <c r="Z37" s="2213" t="str">
        <f t="shared" si="15"/>
        <v>成新度</v>
      </c>
      <c r="AA37" s="1354" t="e">
        <f t="shared" si="3"/>
        <v>#N/A</v>
      </c>
      <c r="AB37" s="1354" t="e">
        <f t="shared" si="4"/>
        <v>#N/A</v>
      </c>
      <c r="AC37" s="2330"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0"/>
      <c r="M38" s="2252"/>
      <c r="N38" s="2252"/>
      <c r="O38" s="2252"/>
      <c r="P38" s="3683"/>
      <c r="Q38" s="2205" t="str">
        <f t="shared" si="11"/>
        <v>写字楼等级</v>
      </c>
      <c r="R38" s="1341" t="s">
        <v>65</v>
      </c>
      <c r="S38" s="1342">
        <f t="shared" si="12"/>
        <v>100</v>
      </c>
      <c r="T38" s="1341" t="s">
        <v>65</v>
      </c>
      <c r="U38" s="1342">
        <f t="shared" si="13"/>
        <v>100</v>
      </c>
      <c r="V38" s="1341" t="s">
        <v>65</v>
      </c>
      <c r="W38" s="1342">
        <f t="shared" si="14"/>
        <v>100</v>
      </c>
      <c r="X38" s="287"/>
      <c r="Y38" s="3685"/>
      <c r="Z38" s="2204" t="str">
        <f t="shared" si="15"/>
        <v>写字楼等级</v>
      </c>
      <c r="AA38" s="1343">
        <f t="shared" si="3"/>
        <v>1</v>
      </c>
      <c r="AB38" s="1343">
        <f t="shared" si="4"/>
        <v>1</v>
      </c>
      <c r="AC38" s="2329">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4"/>
      <c r="M39" s="2289"/>
      <c r="N39" s="2289"/>
      <c r="O39" s="2289"/>
      <c r="P39" s="3683" t="s">
        <v>70</v>
      </c>
      <c r="Q39" s="2212" t="str">
        <f t="shared" si="11"/>
        <v>物业管理</v>
      </c>
      <c r="R39" s="1351" t="s">
        <v>65</v>
      </c>
      <c r="S39" s="1352">
        <f t="shared" si="12"/>
        <v>100</v>
      </c>
      <c r="T39" s="1351" t="s">
        <v>65</v>
      </c>
      <c r="U39" s="1352">
        <f t="shared" si="13"/>
        <v>100</v>
      </c>
      <c r="V39" s="1351" t="s">
        <v>65</v>
      </c>
      <c r="W39" s="1352">
        <f t="shared" si="14"/>
        <v>100</v>
      </c>
      <c r="X39" s="2214"/>
      <c r="Y39" s="3685" t="s">
        <v>70</v>
      </c>
      <c r="Z39" s="2213" t="str">
        <f t="shared" si="15"/>
        <v>物业管理</v>
      </c>
      <c r="AA39" s="1354">
        <f t="shared" si="3"/>
        <v>1</v>
      </c>
      <c r="AB39" s="1354">
        <f t="shared" si="4"/>
        <v>1</v>
      </c>
      <c r="AC39" s="2330">
        <f t="shared" si="5"/>
        <v>1</v>
      </c>
    </row>
    <row r="40" spans="1:29" ht="15">
      <c r="A40" s="161"/>
      <c r="B40" s="12" t="s">
        <v>2660</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4"/>
      <c r="M40" s="2289"/>
      <c r="N40" s="2289"/>
      <c r="O40" s="2289"/>
      <c r="P40" s="3683"/>
      <c r="Q40" s="2212" t="str">
        <f t="shared" si="11"/>
        <v>市政基础设施</v>
      </c>
      <c r="R40" s="1351" t="s">
        <v>65</v>
      </c>
      <c r="S40" s="1352">
        <f t="shared" si="12"/>
        <v>100</v>
      </c>
      <c r="T40" s="1351" t="s">
        <v>65</v>
      </c>
      <c r="U40" s="1352">
        <f t="shared" si="13"/>
        <v>100</v>
      </c>
      <c r="V40" s="1351" t="s">
        <v>65</v>
      </c>
      <c r="W40" s="1352">
        <f t="shared" si="14"/>
        <v>100</v>
      </c>
      <c r="X40" s="2214"/>
      <c r="Y40" s="3685"/>
      <c r="Z40" s="2213" t="str">
        <f t="shared" si="15"/>
        <v>市政基础设施</v>
      </c>
      <c r="AA40" s="1354">
        <f t="shared" si="3"/>
        <v>1</v>
      </c>
      <c r="AB40" s="1354">
        <f t="shared" si="4"/>
        <v>1</v>
      </c>
      <c r="AC40" s="2330">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4"/>
      <c r="M41" s="2289"/>
      <c r="N41" s="2289"/>
      <c r="O41" s="2289"/>
      <c r="P41" s="3683"/>
      <c r="Q41" s="2212" t="str">
        <f t="shared" si="11"/>
        <v>层高</v>
      </c>
      <c r="R41" s="1351" t="s">
        <v>65</v>
      </c>
      <c r="S41" s="1352">
        <f t="shared" si="12"/>
        <v>100</v>
      </c>
      <c r="T41" s="1351" t="s">
        <v>65</v>
      </c>
      <c r="U41" s="1352">
        <f t="shared" si="13"/>
        <v>100</v>
      </c>
      <c r="V41" s="1351" t="s">
        <v>65</v>
      </c>
      <c r="W41" s="1352">
        <f t="shared" si="14"/>
        <v>100</v>
      </c>
      <c r="X41" s="2214"/>
      <c r="Y41" s="3685"/>
      <c r="Z41" s="2213" t="str">
        <f t="shared" si="15"/>
        <v>层高</v>
      </c>
      <c r="AA41" s="1354">
        <f t="shared" si="3"/>
        <v>1</v>
      </c>
      <c r="AB41" s="1354">
        <f t="shared" si="4"/>
        <v>1</v>
      </c>
      <c r="AC41" s="2330">
        <f t="shared" si="5"/>
        <v>1</v>
      </c>
    </row>
    <row r="42" spans="1:29" s="1038" customFormat="1" ht="14.25">
      <c r="A42" s="1042"/>
      <c r="B42" s="191" t="s">
        <v>1094</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3"/>
      <c r="M42" s="2295"/>
      <c r="N42" s="2295"/>
      <c r="O42" s="2295"/>
      <c r="P42" s="3683"/>
      <c r="Q42" s="1358" t="str">
        <f t="shared" si="11"/>
        <v>单套建筑面积</v>
      </c>
      <c r="R42" s="1359" t="s">
        <v>65</v>
      </c>
      <c r="S42" s="1360">
        <f t="shared" si="12"/>
        <v>100</v>
      </c>
      <c r="T42" s="1359" t="s">
        <v>65</v>
      </c>
      <c r="U42" s="1360">
        <f t="shared" si="13"/>
        <v>100</v>
      </c>
      <c r="V42" s="1359" t="s">
        <v>65</v>
      </c>
      <c r="W42" s="1360">
        <f t="shared" si="14"/>
        <v>100</v>
      </c>
      <c r="X42" s="1361"/>
      <c r="Y42" s="3685"/>
      <c r="Z42" s="1362" t="str">
        <f t="shared" si="15"/>
        <v>单套建筑面积</v>
      </c>
      <c r="AA42" s="1354">
        <f t="shared" si="3"/>
        <v>1</v>
      </c>
      <c r="AB42" s="1354">
        <f t="shared" si="4"/>
        <v>1</v>
      </c>
      <c r="AC42" s="2330">
        <f t="shared" si="5"/>
        <v>1</v>
      </c>
    </row>
    <row r="43" spans="1:29" ht="15">
      <c r="A43" s="161"/>
      <c r="B43" s="12" t="s">
        <v>1095</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4"/>
      <c r="M43" s="2289"/>
      <c r="N43" s="2289"/>
      <c r="O43" s="2289"/>
      <c r="P43" s="3683"/>
      <c r="Q43" s="2212" t="str">
        <f t="shared" si="11"/>
        <v>内部装修</v>
      </c>
      <c r="R43" s="1351" t="s">
        <v>65</v>
      </c>
      <c r="S43" s="1352">
        <f t="shared" si="12"/>
        <v>100</v>
      </c>
      <c r="T43" s="1351" t="s">
        <v>65</v>
      </c>
      <c r="U43" s="1352">
        <f t="shared" si="13"/>
        <v>100</v>
      </c>
      <c r="V43" s="1351" t="s">
        <v>65</v>
      </c>
      <c r="W43" s="1352">
        <f t="shared" si="14"/>
        <v>100</v>
      </c>
      <c r="X43" s="2214"/>
      <c r="Y43" s="3685"/>
      <c r="Z43" s="2213" t="str">
        <f t="shared" si="15"/>
        <v>内部装修</v>
      </c>
      <c r="AA43" s="1354">
        <f t="shared" si="3"/>
        <v>1</v>
      </c>
      <c r="AB43" s="1354">
        <f t="shared" si="4"/>
        <v>1</v>
      </c>
      <c r="AC43" s="2330">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4"/>
      <c r="M44" s="2289"/>
      <c r="N44" s="2289"/>
      <c r="O44" s="2289"/>
      <c r="P44" s="3683"/>
      <c r="Q44" s="2212" t="str">
        <f t="shared" si="11"/>
        <v>内部装修维护情况</v>
      </c>
      <c r="R44" s="1351" t="s">
        <v>65</v>
      </c>
      <c r="S44" s="1352">
        <f t="shared" si="12"/>
        <v>100</v>
      </c>
      <c r="T44" s="1351" t="s">
        <v>65</v>
      </c>
      <c r="U44" s="1352">
        <f t="shared" si="13"/>
        <v>100</v>
      </c>
      <c r="V44" s="1351" t="s">
        <v>65</v>
      </c>
      <c r="W44" s="1352">
        <f t="shared" si="14"/>
        <v>100</v>
      </c>
      <c r="X44" s="2214"/>
      <c r="Y44" s="3685"/>
      <c r="Z44" s="2213" t="str">
        <f t="shared" si="15"/>
        <v>内部装修维护情况</v>
      </c>
      <c r="AA44" s="1354">
        <f t="shared" si="3"/>
        <v>1</v>
      </c>
      <c r="AB44" s="1354">
        <f t="shared" si="4"/>
        <v>1</v>
      </c>
      <c r="AC44" s="2330">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0"/>
      <c r="M45" s="2252"/>
      <c r="N45" s="2252"/>
      <c r="O45" s="2252"/>
      <c r="P45" s="3683"/>
      <c r="Q45" s="2205">
        <f t="shared" si="11"/>
        <v>111</v>
      </c>
      <c r="R45" s="1341" t="s">
        <v>65</v>
      </c>
      <c r="S45" s="1342">
        <f t="shared" si="12"/>
        <v>100</v>
      </c>
      <c r="T45" s="1341" t="s">
        <v>65</v>
      </c>
      <c r="U45" s="1342">
        <f t="shared" si="13"/>
        <v>100</v>
      </c>
      <c r="V45" s="1341" t="s">
        <v>65</v>
      </c>
      <c r="W45" s="1342">
        <f t="shared" si="14"/>
        <v>100</v>
      </c>
      <c r="X45" s="287"/>
      <c r="Y45" s="3685"/>
      <c r="Z45" s="2204">
        <f t="shared" si="15"/>
        <v>111</v>
      </c>
      <c r="AA45" s="1343">
        <f t="shared" si="3"/>
        <v>1</v>
      </c>
      <c r="AB45" s="1343">
        <f t="shared" si="4"/>
        <v>1</v>
      </c>
      <c r="AC45" s="2329">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4"/>
      <c r="M46" s="2289"/>
      <c r="N46" s="2289"/>
      <c r="O46" s="2289"/>
      <c r="P46" s="3683"/>
      <c r="Q46" s="2212">
        <f t="shared" si="11"/>
        <v>111</v>
      </c>
      <c r="R46" s="1351" t="s">
        <v>65</v>
      </c>
      <c r="S46" s="1352">
        <f t="shared" si="12"/>
        <v>100</v>
      </c>
      <c r="T46" s="1351" t="s">
        <v>65</v>
      </c>
      <c r="U46" s="1352">
        <f t="shared" si="13"/>
        <v>100</v>
      </c>
      <c r="V46" s="1351" t="s">
        <v>65</v>
      </c>
      <c r="W46" s="1352">
        <f t="shared" si="14"/>
        <v>100</v>
      </c>
      <c r="X46" s="2214"/>
      <c r="Y46" s="3685"/>
      <c r="Z46" s="2213">
        <f t="shared" si="15"/>
        <v>111</v>
      </c>
      <c r="AA46" s="1354">
        <f t="shared" si="3"/>
        <v>1</v>
      </c>
      <c r="AB46" s="1354">
        <f t="shared" si="4"/>
        <v>1</v>
      </c>
      <c r="AC46" s="2330">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4"/>
      <c r="M47" s="2289"/>
      <c r="N47" s="2289"/>
      <c r="O47" s="2289"/>
      <c r="P47" s="3684"/>
      <c r="Q47" s="2212">
        <f t="shared" si="11"/>
        <v>111</v>
      </c>
      <c r="R47" s="1351" t="s">
        <v>65</v>
      </c>
      <c r="S47" s="1352">
        <f t="shared" si="12"/>
        <v>100</v>
      </c>
      <c r="T47" s="1351" t="s">
        <v>65</v>
      </c>
      <c r="U47" s="1352">
        <f t="shared" si="13"/>
        <v>100</v>
      </c>
      <c r="V47" s="1351" t="s">
        <v>65</v>
      </c>
      <c r="W47" s="1352">
        <f t="shared" si="14"/>
        <v>100</v>
      </c>
      <c r="X47" s="2214"/>
      <c r="Y47" s="3686"/>
      <c r="Z47" s="2213">
        <f t="shared" si="15"/>
        <v>111</v>
      </c>
      <c r="AA47" s="1354">
        <f t="shared" si="3"/>
        <v>1</v>
      </c>
      <c r="AB47" s="1354">
        <f t="shared" si="4"/>
        <v>1</v>
      </c>
      <c r="AC47" s="2330">
        <f t="shared" si="5"/>
        <v>1</v>
      </c>
    </row>
    <row r="48" spans="1:29" ht="15">
      <c r="A48" s="163" t="s">
        <v>1036</v>
      </c>
      <c r="B48" s="164"/>
      <c r="C48" s="2829" t="s">
        <v>23</v>
      </c>
      <c r="D48" s="2830"/>
      <c r="E48" s="2831"/>
      <c r="F48" s="2832"/>
      <c r="G48" s="2833"/>
      <c r="H48" s="2834"/>
      <c r="I48" s="2831"/>
      <c r="J48" s="827"/>
      <c r="K48" s="1392"/>
      <c r="L48" s="2296"/>
      <c r="M48" s="2289"/>
      <c r="N48" s="2289"/>
      <c r="O48" s="2289"/>
      <c r="P48" s="3689" t="str">
        <f>A48</f>
        <v>成交单价（元/平方米）</v>
      </c>
      <c r="Q48" s="3678"/>
      <c r="R48" s="3679">
        <f>E48</f>
        <v>0</v>
      </c>
      <c r="S48" s="3679"/>
      <c r="T48" s="3679">
        <f>G48</f>
        <v>0</v>
      </c>
      <c r="U48" s="3679"/>
      <c r="V48" s="3679">
        <f>I48</f>
        <v>0</v>
      </c>
      <c r="W48" s="3679"/>
      <c r="X48" s="156"/>
      <c r="Y48" s="1365"/>
      <c r="Z48" s="156"/>
      <c r="AA48" s="156"/>
      <c r="AB48" s="156"/>
      <c r="AC48" s="209"/>
    </row>
    <row r="49" spans="1:29" ht="15.75" thickBot="1">
      <c r="A49" s="165" t="s">
        <v>1037</v>
      </c>
      <c r="B49" s="166"/>
      <c r="C49" s="2835" t="e">
        <f>R50</f>
        <v>#DIV/0!</v>
      </c>
      <c r="D49" s="2836"/>
      <c r="E49" s="2837" t="e">
        <f>R49</f>
        <v>#DIV/0!</v>
      </c>
      <c r="F49" s="2837"/>
      <c r="G49" s="2835" t="e">
        <f>T49</f>
        <v>#DIV/0!</v>
      </c>
      <c r="H49" s="2836"/>
      <c r="I49" s="2837" t="e">
        <f>V49</f>
        <v>#DIV/0!</v>
      </c>
      <c r="J49" s="831"/>
      <c r="K49" s="1393"/>
      <c r="L49" s="2296"/>
      <c r="M49" s="2289"/>
      <c r="N49" s="2289"/>
      <c r="O49" s="2289"/>
      <c r="P49" s="3689" t="str">
        <f>A49</f>
        <v>比较价值（元/平方米）</v>
      </c>
      <c r="Q49" s="3678"/>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156"/>
      <c r="Y49" s="156"/>
      <c r="Z49" s="156"/>
      <c r="AA49" s="156"/>
      <c r="AB49" s="156"/>
      <c r="AC49" s="209"/>
    </row>
    <row r="50" spans="1:29" ht="15.75" thickBot="1">
      <c r="A50" s="115" t="s">
        <v>3025</v>
      </c>
      <c r="B50" s="116"/>
      <c r="C50" s="2839" t="e">
        <f>R50</f>
        <v>#DIV/0!</v>
      </c>
      <c r="D50" s="2839"/>
      <c r="E50" s="2839"/>
      <c r="F50" s="2839"/>
      <c r="G50" s="2839"/>
      <c r="H50" s="2839"/>
      <c r="I50" s="2839"/>
      <c r="J50" s="836"/>
      <c r="K50" s="1394"/>
      <c r="L50" s="2296"/>
      <c r="M50" s="2289"/>
      <c r="N50" s="2289"/>
      <c r="O50" s="2289"/>
      <c r="P50" s="3713" t="str">
        <f>A50</f>
        <v>估价对象XX用房的比较价值（楼面单价，元/平方米）</v>
      </c>
      <c r="Q50" s="3714"/>
      <c r="R50" s="3715" t="e">
        <f>IF(F1="售价",ROUND(AVERAGE(R49:V49),0),ROUND(AVERAGE(R49:V49),1))</f>
        <v>#DIV/0!</v>
      </c>
      <c r="S50" s="3715"/>
      <c r="T50" s="3715"/>
      <c r="U50" s="3715"/>
      <c r="V50" s="3715"/>
      <c r="W50" s="3715"/>
      <c r="X50" s="2170"/>
      <c r="Y50" s="2170"/>
      <c r="Z50" s="2170"/>
      <c r="AA50" s="2170"/>
      <c r="AB50" s="2170"/>
      <c r="AC50" s="2171"/>
    </row>
    <row r="51" spans="1:29">
      <c r="A51" s="2297"/>
      <c r="B51" s="2297"/>
      <c r="C51" s="2297"/>
      <c r="D51" s="2297"/>
      <c r="E51" s="2297"/>
      <c r="F51" s="2297"/>
      <c r="G51" s="2306"/>
      <c r="H51" s="2297"/>
      <c r="I51" s="2297"/>
      <c r="J51" s="2297"/>
      <c r="K51" s="2298"/>
      <c r="L51" s="2299"/>
      <c r="M51" s="2297"/>
      <c r="N51" s="2297"/>
      <c r="O51" s="2297"/>
    </row>
    <row r="52" spans="1:29">
      <c r="A52" s="2297"/>
      <c r="B52" s="2297"/>
      <c r="C52" s="2297"/>
      <c r="D52" s="2297"/>
      <c r="E52" s="2297"/>
      <c r="F52" s="2297"/>
      <c r="G52" s="2297"/>
      <c r="H52" s="2297"/>
      <c r="I52" s="2297"/>
      <c r="J52" s="2297"/>
      <c r="K52" s="2298"/>
      <c r="L52" s="2299"/>
      <c r="M52" s="2297"/>
      <c r="N52" s="2297"/>
      <c r="O52" s="2297"/>
    </row>
    <row r="53" spans="1:29" ht="13.5" customHeight="1">
      <c r="A53" s="2297"/>
      <c r="B53" s="2297"/>
      <c r="C53" s="839" t="s">
        <v>1006</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298"/>
      <c r="L53" s="2299"/>
      <c r="M53" s="2297"/>
      <c r="N53" s="2297"/>
      <c r="O53" s="2297"/>
    </row>
    <row r="54" spans="1:29" ht="13.5" customHeight="1">
      <c r="A54" s="2297"/>
      <c r="B54" s="2297"/>
      <c r="C54" s="839" t="s">
        <v>1007</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298"/>
      <c r="L54" s="2299"/>
      <c r="M54" s="2297"/>
      <c r="N54" s="2297"/>
      <c r="O54" s="2297"/>
    </row>
    <row r="55" spans="1:29" s="119" customFormat="1" ht="13.5" customHeight="1">
      <c r="A55" s="2302"/>
      <c r="B55" s="2302"/>
      <c r="C55" s="839" t="s">
        <v>1008</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0"/>
      <c r="L55" s="2301"/>
      <c r="M55" s="2302"/>
      <c r="N55" s="2302"/>
      <c r="O55" s="2302"/>
      <c r="P55" s="2318"/>
    </row>
    <row r="56" spans="1:29" s="119" customFormat="1">
      <c r="A56" s="2302"/>
      <c r="B56" s="2307"/>
      <c r="C56" s="2308"/>
      <c r="D56" s="2302"/>
      <c r="E56" s="2302"/>
      <c r="F56" s="2302"/>
      <c r="G56" s="2302"/>
      <c r="H56" s="2302"/>
      <c r="I56" s="2302"/>
      <c r="J56" s="2302"/>
      <c r="K56" s="2300"/>
      <c r="L56" s="2301"/>
      <c r="M56" s="2302"/>
      <c r="N56" s="2302"/>
      <c r="O56" s="2302"/>
      <c r="P56" s="2318"/>
    </row>
    <row r="57" spans="1:29">
      <c r="A57" s="2297"/>
      <c r="B57" s="2307"/>
      <c r="C57" s="2308"/>
      <c r="D57" s="2297"/>
      <c r="E57" s="2297"/>
      <c r="F57" s="2297"/>
      <c r="G57" s="2297"/>
      <c r="H57" s="2297"/>
      <c r="I57" s="2297"/>
      <c r="J57" s="2297"/>
      <c r="K57" s="2298"/>
      <c r="L57" s="2299"/>
      <c r="M57" s="2297"/>
      <c r="N57" s="2297"/>
      <c r="O57" s="2297"/>
    </row>
    <row r="58" spans="1:29" ht="21" thickBot="1">
      <c r="A58" s="1371" t="s">
        <v>1038</v>
      </c>
      <c r="B58" s="1364"/>
      <c r="C58" s="1372"/>
      <c r="D58" s="1372"/>
      <c r="E58" s="1372"/>
      <c r="F58" s="1373"/>
      <c r="G58" s="1373"/>
      <c r="H58" s="1372"/>
      <c r="I58" s="1372"/>
      <c r="J58" s="1372"/>
      <c r="K58" s="1374"/>
      <c r="L58" s="2304"/>
      <c r="M58" s="2305"/>
      <c r="N58" s="2305"/>
      <c r="O58" s="2305"/>
      <c r="P58" s="2319"/>
      <c r="Q58" s="121"/>
    </row>
    <row r="59" spans="1:29" s="850" customFormat="1" ht="15">
      <c r="A59" s="847" t="s">
        <v>2800</v>
      </c>
      <c r="B59" s="848"/>
      <c r="C59" s="3038" t="str">
        <f>YEAR(C7)&amp;"-"&amp;MONTH(C7)</f>
        <v>2017-7</v>
      </c>
      <c r="D59" s="3039">
        <f>EDATE(C59,-1)</f>
        <v>42887</v>
      </c>
      <c r="E59" s="3039">
        <f>EDATE(D59,-1)</f>
        <v>42856</v>
      </c>
      <c r="F59" s="3039">
        <f t="shared" ref="F59:O59" si="16">EDATE(E59,-1)</f>
        <v>42826</v>
      </c>
      <c r="G59" s="3039">
        <f t="shared" si="16"/>
        <v>42795</v>
      </c>
      <c r="H59" s="3039">
        <f t="shared" si="16"/>
        <v>42767</v>
      </c>
      <c r="I59" s="3039">
        <f t="shared" si="16"/>
        <v>42736</v>
      </c>
      <c r="J59" s="3039">
        <f t="shared" si="16"/>
        <v>42705</v>
      </c>
      <c r="K59" s="3039">
        <f t="shared" si="16"/>
        <v>42675</v>
      </c>
      <c r="L59" s="3039">
        <f t="shared" si="16"/>
        <v>42644</v>
      </c>
      <c r="M59" s="3039">
        <f t="shared" si="16"/>
        <v>42614</v>
      </c>
      <c r="N59" s="3039">
        <f t="shared" si="16"/>
        <v>42583</v>
      </c>
      <c r="O59" s="3039">
        <f t="shared" si="16"/>
        <v>42552</v>
      </c>
      <c r="P59" s="3033"/>
    </row>
    <row r="60" spans="1:29" s="40" customFormat="1" ht="14.25">
      <c r="A60" s="1044"/>
      <c r="B60" s="1045"/>
      <c r="C60" s="3036">
        <v>100</v>
      </c>
      <c r="D60" s="854"/>
      <c r="E60" s="854"/>
      <c r="F60" s="854"/>
      <c r="G60" s="854"/>
      <c r="H60" s="854"/>
      <c r="I60" s="854"/>
      <c r="J60" s="854"/>
      <c r="K60" s="854"/>
      <c r="L60" s="854"/>
      <c r="M60" s="855"/>
      <c r="N60" s="854"/>
      <c r="O60" s="855"/>
      <c r="P60" s="2320"/>
    </row>
    <row r="61" spans="1:29" s="40" customFormat="1" ht="15" thickBot="1">
      <c r="A61" s="1046" t="s">
        <v>1039</v>
      </c>
      <c r="B61" s="1047"/>
      <c r="C61" s="859"/>
      <c r="D61" s="860"/>
      <c r="E61" s="860"/>
      <c r="F61" s="860"/>
      <c r="G61" s="860"/>
      <c r="H61" s="860"/>
      <c r="I61" s="860"/>
      <c r="J61" s="860"/>
      <c r="K61" s="860"/>
      <c r="L61" s="860"/>
      <c r="M61" s="861"/>
      <c r="N61" s="860"/>
      <c r="O61" s="861"/>
      <c r="P61" s="2320"/>
      <c r="Q61" s="121"/>
    </row>
    <row r="62" spans="1:29" s="40" customFormat="1">
      <c r="A62" s="1048" t="s">
        <v>1040</v>
      </c>
      <c r="B62" s="1045"/>
      <c r="C62" s="1049" t="s">
        <v>1041</v>
      </c>
      <c r="D62" s="140"/>
      <c r="E62" s="140"/>
      <c r="F62" s="140"/>
      <c r="G62" s="140"/>
      <c r="H62" s="140"/>
      <c r="I62" s="140"/>
      <c r="J62" s="140"/>
      <c r="K62" s="140"/>
      <c r="L62" s="141"/>
      <c r="M62" s="1050"/>
      <c r="N62" s="1387"/>
      <c r="O62" s="1387"/>
      <c r="P62" s="2321"/>
      <c r="Q62" s="121"/>
    </row>
    <row r="63" spans="1:29" s="40" customFormat="1" ht="15" thickBot="1">
      <c r="A63" s="1048"/>
      <c r="B63" s="1045"/>
      <c r="C63" s="853">
        <v>100</v>
      </c>
      <c r="D63" s="854"/>
      <c r="E63" s="854"/>
      <c r="F63" s="854"/>
      <c r="G63" s="854"/>
      <c r="H63" s="854"/>
      <c r="I63" s="854"/>
      <c r="J63" s="854"/>
      <c r="K63" s="854"/>
      <c r="L63" s="854"/>
      <c r="M63" s="856"/>
      <c r="N63" s="1387"/>
      <c r="O63" s="1387"/>
      <c r="P63" s="2320"/>
      <c r="Q63" s="121"/>
    </row>
    <row r="64" spans="1:29">
      <c r="A64" s="172" t="s">
        <v>1042</v>
      </c>
      <c r="B64" s="286" t="s">
        <v>1043</v>
      </c>
      <c r="C64" s="176">
        <f>C9</f>
        <v>0</v>
      </c>
      <c r="D64" s="122"/>
      <c r="E64" s="122"/>
      <c r="F64" s="122"/>
      <c r="G64" s="122"/>
      <c r="H64" s="122"/>
      <c r="I64" s="122"/>
      <c r="J64" s="122"/>
      <c r="K64" s="123"/>
      <c r="L64" s="124"/>
      <c r="M64" s="125"/>
      <c r="N64" s="1388"/>
      <c r="O64" s="1388"/>
      <c r="P64" s="2322"/>
      <c r="Q64" s="121"/>
    </row>
    <row r="65" spans="1:17" ht="15" thickBot="1">
      <c r="A65" s="173"/>
      <c r="B65" s="1052"/>
      <c r="C65" s="878">
        <v>100</v>
      </c>
      <c r="D65" s="878"/>
      <c r="E65" s="878"/>
      <c r="F65" s="878"/>
      <c r="G65" s="878"/>
      <c r="H65" s="878"/>
      <c r="I65" s="878"/>
      <c r="J65" s="878"/>
      <c r="K65" s="878"/>
      <c r="L65" s="878"/>
      <c r="M65" s="879"/>
      <c r="N65" s="1389"/>
      <c r="O65" s="1389"/>
      <c r="P65" s="2322"/>
      <c r="Q65" s="121"/>
    </row>
    <row r="66" spans="1:17" ht="27.75" thickTop="1">
      <c r="A66" s="173"/>
      <c r="B66" s="1053" t="s">
        <v>1044</v>
      </c>
      <c r="C66" s="881" t="s">
        <v>1009</v>
      </c>
      <c r="D66" s="881" t="s">
        <v>1010</v>
      </c>
      <c r="E66" s="881" t="s">
        <v>1011</v>
      </c>
      <c r="F66" s="881" t="s">
        <v>1012</v>
      </c>
      <c r="G66" s="881" t="s">
        <v>1013</v>
      </c>
      <c r="H66" s="881" t="s">
        <v>1014</v>
      </c>
      <c r="I66" s="881" t="s">
        <v>1015</v>
      </c>
      <c r="J66" s="881"/>
      <c r="K66" s="882"/>
      <c r="L66" s="883"/>
      <c r="M66" s="884"/>
      <c r="N66" s="1388"/>
      <c r="O66" s="1388"/>
      <c r="P66" s="2322"/>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2"/>
      <c r="Q67" s="121"/>
    </row>
    <row r="68" spans="1:17" ht="15" thickTop="1">
      <c r="A68" s="173"/>
      <c r="B68" s="1055" t="s">
        <v>1045</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2"/>
      <c r="Q68" s="121"/>
    </row>
    <row r="69" spans="1:17" ht="14.25">
      <c r="A69" s="173"/>
      <c r="B69" s="1056"/>
      <c r="C69" s="891"/>
      <c r="D69" s="891"/>
      <c r="E69" s="891"/>
      <c r="F69" s="891"/>
      <c r="G69" s="891"/>
      <c r="H69" s="891"/>
      <c r="I69" s="891"/>
      <c r="J69" s="891"/>
      <c r="K69" s="892"/>
      <c r="L69" s="893"/>
      <c r="M69" s="894"/>
      <c r="N69" s="1388"/>
      <c r="O69" s="1388"/>
      <c r="P69" s="2322"/>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2"/>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3"/>
      <c r="Q71" s="1062"/>
    </row>
    <row r="72" spans="1:17" s="1038" customFormat="1" ht="15" thickBot="1">
      <c r="A72" s="1057"/>
      <c r="B72" s="1054"/>
      <c r="C72" s="902"/>
      <c r="D72" s="878"/>
      <c r="E72" s="878"/>
      <c r="F72" s="878"/>
      <c r="G72" s="878"/>
      <c r="H72" s="878"/>
      <c r="I72" s="878"/>
      <c r="J72" s="878"/>
      <c r="K72" s="878"/>
      <c r="L72" s="878"/>
      <c r="M72" s="879"/>
      <c r="N72" s="1389"/>
      <c r="O72" s="1389"/>
      <c r="P72" s="2323"/>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4"/>
      <c r="Q73" s="1064"/>
    </row>
    <row r="74" spans="1:17" s="1038" customFormat="1" ht="15" thickBot="1">
      <c r="A74" s="1057"/>
      <c r="B74" s="1054"/>
      <c r="C74" s="902"/>
      <c r="D74" s="902"/>
      <c r="E74" s="902"/>
      <c r="F74" s="902"/>
      <c r="G74" s="902"/>
      <c r="H74" s="904"/>
      <c r="I74" s="904"/>
      <c r="J74" s="904"/>
      <c r="K74" s="904"/>
      <c r="L74" s="904"/>
      <c r="M74" s="905"/>
      <c r="N74" s="1390"/>
      <c r="O74" s="1390"/>
      <c r="P74" s="2323"/>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25"/>
      <c r="Q75" s="1062"/>
    </row>
    <row r="76" spans="1:17" s="1038" customFormat="1" ht="15" thickBot="1">
      <c r="A76" s="1069"/>
      <c r="B76" s="1070"/>
      <c r="C76" s="912"/>
      <c r="D76" s="912"/>
      <c r="E76" s="912"/>
      <c r="F76" s="912"/>
      <c r="G76" s="912"/>
      <c r="H76" s="913"/>
      <c r="I76" s="913"/>
      <c r="J76" s="913"/>
      <c r="K76" s="913"/>
      <c r="L76" s="913"/>
      <c r="M76" s="914"/>
      <c r="N76" s="1390"/>
      <c r="O76" s="1390"/>
      <c r="P76" s="2323"/>
      <c r="Q76" s="1062"/>
    </row>
    <row r="77" spans="1:17" ht="14.25">
      <c r="A77" s="172" t="s">
        <v>1046</v>
      </c>
      <c r="B77" s="286" t="s">
        <v>1096</v>
      </c>
      <c r="C77" s="915" t="s">
        <v>1016</v>
      </c>
      <c r="D77" s="915" t="s">
        <v>1017</v>
      </c>
      <c r="E77" s="915" t="s">
        <v>1018</v>
      </c>
      <c r="F77" s="915" t="s">
        <v>1019</v>
      </c>
      <c r="G77" s="915" t="s">
        <v>1020</v>
      </c>
      <c r="H77" s="871"/>
      <c r="I77" s="871"/>
      <c r="J77" s="871"/>
      <c r="K77" s="916"/>
      <c r="L77" s="917"/>
      <c r="M77" s="918"/>
      <c r="N77" s="1388"/>
      <c r="O77" s="1388"/>
      <c r="P77" s="2326"/>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2"/>
      <c r="Q78" s="121"/>
    </row>
    <row r="79" spans="1:17" ht="15" thickTop="1">
      <c r="A79" s="173"/>
      <c r="B79" s="1053" t="s">
        <v>1053</v>
      </c>
      <c r="C79" s="920" t="s">
        <v>1016</v>
      </c>
      <c r="D79" s="920" t="s">
        <v>1017</v>
      </c>
      <c r="E79" s="920" t="s">
        <v>1018</v>
      </c>
      <c r="F79" s="920" t="s">
        <v>1105</v>
      </c>
      <c r="G79" s="920" t="s">
        <v>1020</v>
      </c>
      <c r="H79" s="881"/>
      <c r="I79" s="881"/>
      <c r="J79" s="881"/>
      <c r="K79" s="882"/>
      <c r="L79" s="883"/>
      <c r="M79" s="884"/>
      <c r="N79" s="1388"/>
      <c r="O79" s="1388"/>
      <c r="P79" s="2322"/>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2"/>
      <c r="Q80" s="121"/>
    </row>
    <row r="81" spans="1:17" ht="15" thickTop="1">
      <c r="A81" s="173"/>
      <c r="B81" s="1053" t="s">
        <v>31</v>
      </c>
      <c r="C81" s="920" t="s">
        <v>1016</v>
      </c>
      <c r="D81" s="920" t="s">
        <v>1017</v>
      </c>
      <c r="E81" s="920" t="s">
        <v>1018</v>
      </c>
      <c r="F81" s="920" t="s">
        <v>1019</v>
      </c>
      <c r="G81" s="920" t="s">
        <v>1020</v>
      </c>
      <c r="H81" s="881"/>
      <c r="I81" s="881"/>
      <c r="J81" s="881"/>
      <c r="K81" s="882"/>
      <c r="L81" s="883"/>
      <c r="M81" s="884"/>
      <c r="N81" s="1388"/>
      <c r="O81" s="1388"/>
      <c r="P81" s="2322"/>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2"/>
      <c r="Q82" s="121"/>
    </row>
    <row r="83" spans="1:17" ht="15" thickTop="1">
      <c r="A83" s="173"/>
      <c r="B83" s="1055" t="s">
        <v>2669</v>
      </c>
      <c r="C83" s="213" t="s">
        <v>2662</v>
      </c>
      <c r="D83" s="213" t="s">
        <v>2663</v>
      </c>
      <c r="E83" s="213" t="s">
        <v>2664</v>
      </c>
      <c r="F83" s="213" t="s">
        <v>2665</v>
      </c>
      <c r="G83" s="213" t="s">
        <v>2666</v>
      </c>
      <c r="H83" s="881"/>
      <c r="I83" s="881"/>
      <c r="J83" s="881"/>
      <c r="K83" s="881"/>
      <c r="L83" s="881"/>
      <c r="M83" s="2758"/>
      <c r="N83" s="1389"/>
      <c r="O83" s="1389"/>
      <c r="P83" s="2322"/>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2"/>
      <c r="Q84" s="121"/>
    </row>
    <row r="85" spans="1:17" ht="15" thickTop="1">
      <c r="A85" s="173"/>
      <c r="B85" s="1053" t="s">
        <v>1097</v>
      </c>
      <c r="C85" s="920" t="s">
        <v>1016</v>
      </c>
      <c r="D85" s="920" t="s">
        <v>1017</v>
      </c>
      <c r="E85" s="920" t="s">
        <v>1018</v>
      </c>
      <c r="F85" s="920" t="s">
        <v>1019</v>
      </c>
      <c r="G85" s="920" t="s">
        <v>1020</v>
      </c>
      <c r="H85" s="881"/>
      <c r="I85" s="881"/>
      <c r="J85" s="881"/>
      <c r="K85" s="882"/>
      <c r="L85" s="883"/>
      <c r="M85" s="884"/>
      <c r="N85" s="1388"/>
      <c r="O85" s="1388"/>
      <c r="P85" s="2322"/>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2"/>
      <c r="Q86" s="121"/>
    </row>
    <row r="87" spans="1:17" s="40" customFormat="1" ht="27.75" thickTop="1">
      <c r="A87" s="1071"/>
      <c r="B87" s="1053" t="s">
        <v>1098</v>
      </c>
      <c r="C87" s="139"/>
      <c r="D87" s="139"/>
      <c r="E87" s="139"/>
      <c r="F87" s="139"/>
      <c r="G87" s="139"/>
      <c r="H87" s="139"/>
      <c r="I87" s="139"/>
      <c r="J87" s="139"/>
      <c r="K87" s="139"/>
      <c r="L87" s="1383"/>
      <c r="M87" s="1384"/>
      <c r="N87" s="1387"/>
      <c r="O87" s="1387"/>
      <c r="P87" s="2322"/>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2"/>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2"/>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2"/>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3"/>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3"/>
      <c r="Q92" s="1062"/>
    </row>
    <row r="93" spans="1:17" ht="14.25" thickTop="1">
      <c r="A93" s="173"/>
      <c r="B93" s="1053">
        <f>B29</f>
        <v>111</v>
      </c>
      <c r="C93" s="139"/>
      <c r="D93" s="139"/>
      <c r="E93" s="139"/>
      <c r="F93" s="139"/>
      <c r="G93" s="139"/>
      <c r="H93" s="139"/>
      <c r="I93" s="139"/>
      <c r="J93" s="139"/>
      <c r="K93" s="139"/>
      <c r="L93" s="1383"/>
      <c r="M93" s="1384"/>
      <c r="N93" s="1388"/>
      <c r="O93" s="1388"/>
      <c r="P93" s="2322"/>
      <c r="Q93" s="121"/>
    </row>
    <row r="94" spans="1:17" ht="15" thickBot="1">
      <c r="A94" s="173"/>
      <c r="B94" s="1054"/>
      <c r="C94" s="902"/>
      <c r="D94" s="878"/>
      <c r="E94" s="878"/>
      <c r="F94" s="878"/>
      <c r="G94" s="878"/>
      <c r="H94" s="878"/>
      <c r="I94" s="878"/>
      <c r="J94" s="878"/>
      <c r="K94" s="878"/>
      <c r="L94" s="878"/>
      <c r="M94" s="879"/>
      <c r="N94" s="1389"/>
      <c r="O94" s="1389"/>
      <c r="P94" s="2322"/>
      <c r="Q94" s="121"/>
    </row>
    <row r="95" spans="1:17" ht="14.25" thickTop="1">
      <c r="A95" s="173"/>
      <c r="B95" s="1053">
        <f>B30</f>
        <v>111</v>
      </c>
      <c r="C95" s="139"/>
      <c r="D95" s="139"/>
      <c r="E95" s="139"/>
      <c r="F95" s="139"/>
      <c r="G95" s="131"/>
      <c r="H95" s="131"/>
      <c r="I95" s="131"/>
      <c r="J95" s="131"/>
      <c r="K95" s="132"/>
      <c r="L95" s="133"/>
      <c r="M95" s="134"/>
      <c r="N95" s="1388"/>
      <c r="O95" s="1388"/>
      <c r="P95" s="2322"/>
      <c r="Q95" s="121"/>
    </row>
    <row r="96" spans="1:17" ht="15" thickBot="1">
      <c r="A96" s="173"/>
      <c r="B96" s="1054"/>
      <c r="C96" s="902"/>
      <c r="D96" s="902"/>
      <c r="E96" s="902"/>
      <c r="F96" s="902"/>
      <c r="G96" s="878"/>
      <c r="H96" s="878"/>
      <c r="I96" s="878"/>
      <c r="J96" s="878"/>
      <c r="K96" s="878"/>
      <c r="L96" s="878"/>
      <c r="M96" s="879"/>
      <c r="N96" s="1389"/>
      <c r="O96" s="1389"/>
      <c r="P96" s="2322"/>
      <c r="Q96" s="121"/>
    </row>
    <row r="97" spans="1:17" ht="14.25" thickTop="1">
      <c r="A97" s="173"/>
      <c r="B97" s="1053">
        <f>B31</f>
        <v>111</v>
      </c>
      <c r="C97" s="139"/>
      <c r="D97" s="139"/>
      <c r="E97" s="139"/>
      <c r="F97" s="139"/>
      <c r="G97" s="131"/>
      <c r="H97" s="131"/>
      <c r="I97" s="131"/>
      <c r="J97" s="131"/>
      <c r="K97" s="132"/>
      <c r="L97" s="133"/>
      <c r="M97" s="134"/>
      <c r="N97" s="1388"/>
      <c r="O97" s="1388"/>
      <c r="P97" s="2322"/>
      <c r="Q97" s="121"/>
    </row>
    <row r="98" spans="1:17" ht="15" thickBot="1">
      <c r="A98" s="173"/>
      <c r="B98" s="1054"/>
      <c r="C98" s="902"/>
      <c r="D98" s="878"/>
      <c r="E98" s="878"/>
      <c r="F98" s="878"/>
      <c r="G98" s="878"/>
      <c r="H98" s="878"/>
      <c r="I98" s="878"/>
      <c r="J98" s="878"/>
      <c r="K98" s="878"/>
      <c r="L98" s="878"/>
      <c r="M98" s="879"/>
      <c r="N98" s="1389"/>
      <c r="O98" s="1389"/>
      <c r="P98" s="2322"/>
      <c r="Q98" s="121"/>
    </row>
    <row r="99" spans="1:17" ht="14.25" thickTop="1">
      <c r="A99" s="173"/>
      <c r="B99" s="1055">
        <f>B32</f>
        <v>111</v>
      </c>
      <c r="C99" s="140"/>
      <c r="D99" s="140"/>
      <c r="E99" s="140"/>
      <c r="F99" s="140"/>
      <c r="G99" s="135"/>
      <c r="H99" s="135"/>
      <c r="I99" s="135"/>
      <c r="J99" s="135"/>
      <c r="K99" s="136"/>
      <c r="L99" s="137"/>
      <c r="M99" s="138"/>
      <c r="N99" s="1388"/>
      <c r="O99" s="1388"/>
      <c r="P99" s="2322"/>
      <c r="Q99" s="121"/>
    </row>
    <row r="100" spans="1:17" ht="15" thickBot="1">
      <c r="A100" s="174"/>
      <c r="B100" s="1070"/>
      <c r="C100" s="912"/>
      <c r="D100" s="912"/>
      <c r="E100" s="912"/>
      <c r="F100" s="912"/>
      <c r="G100" s="933"/>
      <c r="H100" s="933"/>
      <c r="I100" s="933"/>
      <c r="J100" s="933"/>
      <c r="K100" s="933"/>
      <c r="L100" s="933"/>
      <c r="M100" s="934"/>
      <c r="N100" s="1389"/>
      <c r="O100" s="1389"/>
      <c r="P100" s="2322"/>
      <c r="Q100" s="121"/>
    </row>
    <row r="101" spans="1:17">
      <c r="A101" s="172" t="s">
        <v>1056</v>
      </c>
      <c r="B101" s="286" t="s">
        <v>1099</v>
      </c>
      <c r="C101" s="122"/>
      <c r="D101" s="122"/>
      <c r="E101" s="122"/>
      <c r="F101" s="122"/>
      <c r="G101" s="122"/>
      <c r="H101" s="122"/>
      <c r="I101" s="122"/>
      <c r="J101" s="122"/>
      <c r="K101" s="123"/>
      <c r="L101" s="124"/>
      <c r="M101" s="125"/>
      <c r="N101" s="1388"/>
      <c r="O101" s="1388"/>
      <c r="P101" s="2322"/>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2"/>
      <c r="Q102" s="121"/>
    </row>
    <row r="103" spans="1:17" ht="15" thickTop="1">
      <c r="A103" s="173"/>
      <c r="B103" s="1053" t="s">
        <v>1058</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2"/>
      <c r="Q103" s="121"/>
    </row>
    <row r="104" spans="1:17" s="1038" customFormat="1" ht="14.25">
      <c r="A104" s="1072"/>
      <c r="B104" s="1073"/>
      <c r="C104" s="937"/>
      <c r="D104" s="937"/>
      <c r="E104" s="937"/>
      <c r="F104" s="937"/>
      <c r="G104" s="937"/>
      <c r="H104" s="937"/>
      <c r="I104" s="937"/>
      <c r="J104" s="938"/>
      <c r="K104" s="938"/>
      <c r="L104" s="939"/>
      <c r="M104" s="940"/>
      <c r="N104" s="1390"/>
      <c r="O104" s="1390"/>
      <c r="P104" s="2323"/>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3"/>
      <c r="Q105" s="1062"/>
    </row>
    <row r="106" spans="1:17" ht="14.25" thickTop="1">
      <c r="A106" s="175"/>
      <c r="B106" s="1053" t="s">
        <v>1059</v>
      </c>
      <c r="C106" s="139"/>
      <c r="D106" s="139"/>
      <c r="E106" s="131"/>
      <c r="F106" s="131"/>
      <c r="G106" s="131"/>
      <c r="H106" s="131"/>
      <c r="I106" s="131"/>
      <c r="J106" s="131"/>
      <c r="K106" s="132"/>
      <c r="L106" s="133"/>
      <c r="M106" s="134"/>
      <c r="N106" s="1388"/>
      <c r="O106" s="1388"/>
      <c r="P106" s="2322"/>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2"/>
      <c r="Q107" s="121"/>
    </row>
    <row r="108" spans="1:17" ht="14.25" thickTop="1">
      <c r="A108" s="175"/>
      <c r="B108" s="1053" t="s">
        <v>1060</v>
      </c>
      <c r="C108" s="139"/>
      <c r="D108" s="139"/>
      <c r="E108" s="139"/>
      <c r="F108" s="131"/>
      <c r="G108" s="131"/>
      <c r="H108" s="131"/>
      <c r="I108" s="131"/>
      <c r="J108" s="131"/>
      <c r="K108" s="132"/>
      <c r="L108" s="133"/>
      <c r="M108" s="134"/>
      <c r="N108" s="1388"/>
      <c r="O108" s="1388"/>
      <c r="P108" s="2322"/>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2"/>
      <c r="Q109" s="121"/>
    </row>
    <row r="110" spans="1:17" ht="15" thickTop="1">
      <c r="A110" s="175"/>
      <c r="B110" s="1053" t="s">
        <v>1061</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2"/>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2"/>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2"/>
      <c r="Q112" s="121"/>
    </row>
    <row r="113" spans="1:17" s="1038" customFormat="1" ht="14.25" thickTop="1">
      <c r="A113" s="1072"/>
      <c r="B113" s="1053" t="s">
        <v>1100</v>
      </c>
      <c r="C113" s="139"/>
      <c r="D113" s="139"/>
      <c r="E113" s="139"/>
      <c r="F113" s="139"/>
      <c r="G113" s="139"/>
      <c r="H113" s="131"/>
      <c r="I113" s="131"/>
      <c r="J113" s="131"/>
      <c r="K113" s="132"/>
      <c r="L113" s="133"/>
      <c r="M113" s="134"/>
      <c r="N113" s="1390"/>
      <c r="O113" s="1390"/>
      <c r="P113" s="2323"/>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3"/>
      <c r="Q114" s="1062"/>
    </row>
    <row r="115" spans="1:17" ht="14.25" thickTop="1">
      <c r="A115" s="175"/>
      <c r="B115" s="1053" t="s">
        <v>1101</v>
      </c>
      <c r="C115" s="139"/>
      <c r="D115" s="139"/>
      <c r="E115" s="131"/>
      <c r="F115" s="131"/>
      <c r="G115" s="131"/>
      <c r="H115" s="131"/>
      <c r="I115" s="131"/>
      <c r="J115" s="131"/>
      <c r="K115" s="132"/>
      <c r="L115" s="133"/>
      <c r="M115" s="134"/>
      <c r="N115" s="1388"/>
      <c r="O115" s="1388"/>
      <c r="P115" s="2322"/>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2"/>
      <c r="Q116" s="121"/>
    </row>
    <row r="117" spans="1:17" ht="14.25" thickTop="1">
      <c r="A117" s="175"/>
      <c r="B117" s="1053" t="s">
        <v>2644</v>
      </c>
      <c r="C117" s="139"/>
      <c r="D117" s="139"/>
      <c r="E117" s="139"/>
      <c r="F117" s="139"/>
      <c r="G117" s="139"/>
      <c r="H117" s="131"/>
      <c r="I117" s="131"/>
      <c r="J117" s="131"/>
      <c r="K117" s="132"/>
      <c r="L117" s="133"/>
      <c r="M117" s="134"/>
      <c r="N117" s="1388"/>
      <c r="O117" s="1388"/>
      <c r="P117" s="2322"/>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2"/>
      <c r="Q118" s="121"/>
    </row>
    <row r="119" spans="1:17" ht="14.25" thickTop="1">
      <c r="A119" s="175"/>
      <c r="B119" s="211" t="s">
        <v>1063</v>
      </c>
      <c r="C119" s="131"/>
      <c r="D119" s="131"/>
      <c r="E119" s="131"/>
      <c r="F119" s="131"/>
      <c r="G119" s="131"/>
      <c r="H119" s="131"/>
      <c r="I119" s="131"/>
      <c r="J119" s="131"/>
      <c r="K119" s="131"/>
      <c r="L119" s="198"/>
      <c r="M119" s="199"/>
      <c r="N119" s="1389"/>
      <c r="O119" s="1389"/>
      <c r="P119" s="2327"/>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2"/>
      <c r="Q120" s="121"/>
    </row>
    <row r="121" spans="1:17" s="1038" customFormat="1" ht="15" thickTop="1">
      <c r="A121" s="1072"/>
      <c r="B121" s="1053" t="s">
        <v>1064</v>
      </c>
      <c r="C121" s="896"/>
      <c r="D121" s="896"/>
      <c r="E121" s="896"/>
      <c r="F121" s="925"/>
      <c r="G121" s="897"/>
      <c r="H121" s="897"/>
      <c r="I121" s="897"/>
      <c r="J121" s="897"/>
      <c r="K121" s="897"/>
      <c r="L121" s="898"/>
      <c r="M121" s="899"/>
      <c r="N121" s="1390"/>
      <c r="O121" s="1390"/>
      <c r="P121" s="2323"/>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3"/>
      <c r="Q122" s="1062"/>
    </row>
    <row r="123" spans="1:17" ht="14.25" thickTop="1">
      <c r="A123" s="175"/>
      <c r="B123" s="1053" t="s">
        <v>1066</v>
      </c>
      <c r="C123" s="139"/>
      <c r="D123" s="139"/>
      <c r="E123" s="139"/>
      <c r="F123" s="131"/>
      <c r="G123" s="131"/>
      <c r="H123" s="131"/>
      <c r="I123" s="131"/>
      <c r="J123" s="131"/>
      <c r="K123" s="132"/>
      <c r="L123" s="133"/>
      <c r="M123" s="134"/>
      <c r="N123" s="1388"/>
      <c r="O123" s="1388"/>
      <c r="P123" s="2322"/>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2"/>
      <c r="Q124" s="121"/>
    </row>
    <row r="125" spans="1:17" ht="27.75" thickTop="1">
      <c r="A125" s="175"/>
      <c r="B125" s="1053" t="s">
        <v>1067</v>
      </c>
      <c r="C125" s="920" t="s">
        <v>1016</v>
      </c>
      <c r="D125" s="920" t="s">
        <v>1017</v>
      </c>
      <c r="E125" s="920" t="s">
        <v>1018</v>
      </c>
      <c r="F125" s="920" t="s">
        <v>1019</v>
      </c>
      <c r="G125" s="920" t="s">
        <v>1020</v>
      </c>
      <c r="H125" s="881"/>
      <c r="I125" s="881"/>
      <c r="J125" s="881"/>
      <c r="K125" s="882"/>
      <c r="L125" s="883"/>
      <c r="M125" s="884"/>
      <c r="N125" s="1388"/>
      <c r="O125" s="1388"/>
      <c r="P125" s="2323"/>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2"/>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3"/>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3"/>
      <c r="Q128" s="1062"/>
    </row>
    <row r="129" spans="1:17" ht="14.25" thickTop="1">
      <c r="A129" s="175"/>
      <c r="B129" s="1053">
        <f>B46</f>
        <v>111</v>
      </c>
      <c r="C129" s="139"/>
      <c r="D129" s="139"/>
      <c r="E129" s="139"/>
      <c r="F129" s="139"/>
      <c r="G129" s="131"/>
      <c r="H129" s="131"/>
      <c r="I129" s="131"/>
      <c r="J129" s="131"/>
      <c r="K129" s="132"/>
      <c r="L129" s="133"/>
      <c r="M129" s="134"/>
      <c r="N129" s="1388"/>
      <c r="O129" s="1388"/>
      <c r="P129" s="2322"/>
      <c r="Q129" s="121"/>
    </row>
    <row r="130" spans="1:17" ht="15" thickBot="1">
      <c r="A130" s="173"/>
      <c r="B130" s="1054"/>
      <c r="C130" s="902"/>
      <c r="D130" s="902"/>
      <c r="E130" s="902"/>
      <c r="F130" s="902"/>
      <c r="G130" s="878"/>
      <c r="H130" s="878"/>
      <c r="I130" s="878"/>
      <c r="J130" s="878"/>
      <c r="K130" s="878"/>
      <c r="L130" s="878"/>
      <c r="M130" s="879"/>
      <c r="N130" s="1389"/>
      <c r="O130" s="1389"/>
      <c r="P130" s="2322"/>
      <c r="Q130" s="121"/>
    </row>
    <row r="131" spans="1:17" ht="14.25" thickTop="1">
      <c r="A131" s="175"/>
      <c r="B131" s="1055">
        <f>B47</f>
        <v>111</v>
      </c>
      <c r="C131" s="140"/>
      <c r="D131" s="140"/>
      <c r="E131" s="140"/>
      <c r="F131" s="140"/>
      <c r="G131" s="135"/>
      <c r="H131" s="135"/>
      <c r="I131" s="135"/>
      <c r="J131" s="135"/>
      <c r="K131" s="140"/>
      <c r="L131" s="141"/>
      <c r="M131" s="138"/>
      <c r="N131" s="1388"/>
      <c r="O131" s="1388"/>
      <c r="P131" s="2322"/>
      <c r="Q131" s="121"/>
    </row>
    <row r="132" spans="1:17" ht="15" thickBot="1">
      <c r="A132" s="174"/>
      <c r="B132" s="1070"/>
      <c r="C132" s="912"/>
      <c r="D132" s="912"/>
      <c r="E132" s="912"/>
      <c r="F132" s="912"/>
      <c r="G132" s="933"/>
      <c r="H132" s="933"/>
      <c r="I132" s="933"/>
      <c r="J132" s="933"/>
      <c r="K132" s="933"/>
      <c r="L132" s="933"/>
      <c r="M132" s="934"/>
      <c r="N132" s="1389"/>
      <c r="O132" s="1389"/>
      <c r="P132" s="2322"/>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7" type="noConversion"/>
  <conditionalFormatting sqref="F53 H53">
    <cfRule type="containsText" dxfId="84" priority="16" stopIfTrue="1" operator="containsText" text="超过">
      <formula>NOT(ISERROR(SEARCH("超过",F53)))</formula>
    </cfRule>
  </conditionalFormatting>
  <conditionalFormatting sqref="H55">
    <cfRule type="containsText" dxfId="83" priority="15" stopIfTrue="1" operator="containsText" text="超过">
      <formula>NOT(ISERROR(SEARCH("超过",H55)))</formula>
    </cfRule>
  </conditionalFormatting>
  <conditionalFormatting sqref="F55">
    <cfRule type="containsText" dxfId="82" priority="14" stopIfTrue="1" operator="containsText" text="超过">
      <formula>NOT(ISERROR(SEARCH("超过",F55)))</formula>
    </cfRule>
  </conditionalFormatting>
  <conditionalFormatting sqref="F54 H54">
    <cfRule type="containsText" dxfId="81" priority="13" stopIfTrue="1" operator="containsText" text="超过">
      <formula>NOT(ISERROR(SEARCH("超过",F54)))</formula>
    </cfRule>
  </conditionalFormatting>
  <conditionalFormatting sqref="E53">
    <cfRule type="expression" dxfId="80" priority="12" stopIfTrue="1">
      <formula>$F$53="超过30%"</formula>
    </cfRule>
  </conditionalFormatting>
  <conditionalFormatting sqref="E54">
    <cfRule type="expression" dxfId="79" priority="11" stopIfTrue="1">
      <formula>$F$54="超过20%"</formula>
    </cfRule>
  </conditionalFormatting>
  <conditionalFormatting sqref="E55">
    <cfRule type="expression" dxfId="78" priority="10" stopIfTrue="1">
      <formula>$F$55="超过30%"</formula>
    </cfRule>
  </conditionalFormatting>
  <conditionalFormatting sqref="G55">
    <cfRule type="expression" dxfId="77" priority="9" stopIfTrue="1">
      <formula>$H$55="超过30%"</formula>
    </cfRule>
  </conditionalFormatting>
  <conditionalFormatting sqref="G53">
    <cfRule type="expression" dxfId="76" priority="8" stopIfTrue="1">
      <formula>$H$53="超过30%"</formula>
    </cfRule>
  </conditionalFormatting>
  <conditionalFormatting sqref="G54">
    <cfRule type="expression" dxfId="75" priority="7" stopIfTrue="1">
      <formula>$H$54="超过20%"</formula>
    </cfRule>
  </conditionalFormatting>
  <conditionalFormatting sqref="J53">
    <cfRule type="containsText" dxfId="74" priority="6" stopIfTrue="1" operator="containsText" text="超过">
      <formula>NOT(ISERROR(SEARCH("超过",J53)))</formula>
    </cfRule>
  </conditionalFormatting>
  <conditionalFormatting sqref="J55">
    <cfRule type="containsText" dxfId="73" priority="5" stopIfTrue="1" operator="containsText" text="超过">
      <formula>NOT(ISERROR(SEARCH("超过",J55)))</formula>
    </cfRule>
  </conditionalFormatting>
  <conditionalFormatting sqref="J54">
    <cfRule type="containsText" dxfId="72" priority="4" stopIfTrue="1" operator="containsText" text="超过">
      <formula>NOT(ISERROR(SEARCH("超过",J54)))</formula>
    </cfRule>
  </conditionalFormatting>
  <conditionalFormatting sqref="I53">
    <cfRule type="expression" dxfId="71" priority="3" stopIfTrue="1">
      <formula>$J$53="超过30%"</formula>
    </cfRule>
  </conditionalFormatting>
  <conditionalFormatting sqref="I54">
    <cfRule type="expression" dxfId="70" priority="2" stopIfTrue="1">
      <formula>$J$53+$J$54="超过20%"</formula>
    </cfRule>
  </conditionalFormatting>
  <conditionalFormatting sqref="I55">
    <cfRule type="expression" dxfId="6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38" t="s">
        <v>2012</v>
      </c>
    </row>
    <row r="2" spans="1:1">
      <c r="A2" s="1939"/>
    </row>
    <row r="3" spans="1:1" ht="18.75">
      <c r="A3" s="2882" t="str">
        <f>项目基本情况!B5&amp;"："</f>
        <v>：</v>
      </c>
    </row>
    <row r="4" spans="1:1" ht="37.5">
      <c r="A4" s="1940" t="str">
        <f>"受贵公司委托，我公司对"&amp;项目基本情况!S1&amp;"进行了预评估。"</f>
        <v>受贵公司委托，我公司对出让国有建设用地使用权及在建建筑物房地产抵押价值进行了预评估。</v>
      </c>
    </row>
    <row r="5" spans="1:1" ht="18.75">
      <c r="A5" s="1941" t="s">
        <v>2013</v>
      </c>
    </row>
    <row r="6" spans="1:1" ht="18.75">
      <c r="A6" s="3049" t="s">
        <v>2877</v>
      </c>
    </row>
    <row r="7" spans="1:1" ht="56.2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估价对象为出让国有建设用地使用权及在建建筑物房地产，为所有。根据《国有土地使用证》[]，估价对象（分摊）出让国有建设用地使用权面积为104051.87平方米，建筑面积为88021.11平方米。</v>
      </c>
    </row>
    <row r="8" spans="1:1" ht="56.25">
      <c r="A8" s="1984" t="s">
        <v>2870</v>
      </c>
    </row>
    <row r="9" spans="1:1" ht="18.75">
      <c r="A9" s="3049" t="s">
        <v>2878</v>
      </c>
    </row>
    <row r="10" spans="1:1" ht="75">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商业项目，该项目尚在开发建设中。根据《国有土地使用证》[]，估价对象（分摊）出让国有建设用地使用权面积为104051.87平方米，规划建筑面积为88021.11平方米。</v>
      </c>
    </row>
    <row r="11" spans="1:1" ht="75">
      <c r="A11" s="1984" t="s">
        <v>2912</v>
      </c>
    </row>
    <row r="12" spans="1:1" ht="18.75">
      <c r="A12" s="1941" t="s">
        <v>2014</v>
      </c>
    </row>
    <row r="13" spans="1:1" ht="38.25" customHeight="1">
      <c r="A13" s="1942" t="str">
        <f>IF(项目基本情况!B8="抵押",IF(项目基本情况!B5=项目基本情况!B6,定义!C51,定义!B51),定义!D51)</f>
        <v>为估价委托人了解估价对象房地产市场价值提供参考依据。</v>
      </c>
    </row>
    <row r="14" spans="1:1" ht="18.75">
      <c r="A14" s="1943" t="s">
        <v>2015</v>
      </c>
    </row>
    <row r="15" spans="1:1" ht="18.75">
      <c r="A15" s="1944" t="str">
        <f>TEXT(项目基本情况!D3,"yyyy年m月d日;;")&amp;IF(项目基本情况!D3=项目基本情况!B3,"（评估专业人员实地查勘之日）","")</f>
        <v>2017年7月25日</v>
      </c>
    </row>
    <row r="16" spans="1:1" ht="18.75">
      <c r="A16" s="1943" t="s">
        <v>2017</v>
      </c>
    </row>
    <row r="17" spans="1:1" ht="75">
      <c r="A17" s="1940" t="s">
        <v>2871</v>
      </c>
    </row>
    <row r="18" spans="1:1" ht="56.2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25日，估价对象规划用途为，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0"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
        <v>2872</v>
      </c>
    </row>
    <row r="22" spans="1:1" ht="56.25">
      <c r="A22" s="1940"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2033</v>
      </c>
    </row>
    <row r="24" spans="1:1" ht="18.75">
      <c r="A24" s="1947" t="str">
        <f>"本次评估采用的主估价方法为"&amp;结果表!K4&amp;"和"&amp;结果表!L4&amp;"。"</f>
        <v>本次评估采用的主估价方法为成本法和假设开发法。</v>
      </c>
    </row>
    <row r="25" spans="1:1" ht="18.75">
      <c r="A25" s="1947"/>
    </row>
    <row r="26" spans="1:1" ht="18.75">
      <c r="A26" s="2076" t="s">
        <v>2115</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C5" sqref="C5:J6"/>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1106</v>
      </c>
      <c r="B1" s="3115" t="s">
        <v>1107</v>
      </c>
      <c r="C1" s="3109" t="s">
        <v>1108</v>
      </c>
      <c r="D1" s="3100"/>
      <c r="E1" s="3105"/>
      <c r="F1" s="3102"/>
      <c r="G1" s="3104" t="s">
        <v>1109</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1110</v>
      </c>
      <c r="B2" s="2840" t="e">
        <f ca="1">IF(C2="——",ROUND(C43*D3/10000,0),ROUND(C43*D3/10000,0)-D2)</f>
        <v>#DIV/0!</v>
      </c>
      <c r="C2" s="3094"/>
      <c r="D2" s="2335" t="e">
        <f ca="1">SUMIF(INDIRECT("'"&amp;F2&amp;"'"&amp;"!A:A"),"承租人权益价值",INDIRECT("'"&amp;F2&amp;"'"&amp;"!c:c"))</f>
        <v>#REF!</v>
      </c>
      <c r="E2" s="3095" t="s">
        <v>868</v>
      </c>
      <c r="F2" s="3096"/>
      <c r="G2" s="2311"/>
      <c r="H2" s="2311"/>
      <c r="I2" s="2311"/>
      <c r="J2" s="2311"/>
      <c r="K2" s="2311"/>
      <c r="L2" s="2312"/>
      <c r="M2" s="2313"/>
      <c r="N2" s="2313"/>
      <c r="O2" s="2313"/>
      <c r="P2" s="1333"/>
      <c r="Q2" s="1333"/>
      <c r="R2" s="1333"/>
      <c r="S2" s="1333"/>
      <c r="T2" s="1333"/>
      <c r="U2" s="1333"/>
      <c r="V2" s="1333"/>
      <c r="W2" s="1333"/>
      <c r="X2" s="1333"/>
      <c r="Y2" s="1333"/>
      <c r="Z2" s="1333"/>
      <c r="AA2" s="1333"/>
      <c r="AB2" s="1333"/>
      <c r="AC2" s="1391"/>
    </row>
    <row r="3" spans="1:29" s="90" customFormat="1" ht="28.5" customHeight="1" thickBot="1">
      <c r="A3" s="87" t="s">
        <v>1111</v>
      </c>
      <c r="B3" s="951" t="e">
        <f ca="1">IF(C2="——",C43,ROUND(B2*10000/D3,0))</f>
        <v>#DIV/0!</v>
      </c>
      <c r="C3" s="142" t="s">
        <v>1112</v>
      </c>
      <c r="D3" s="741">
        <f>IF(D1="",'数据-汇总表'!E3,SUMIF('数据-汇总表'!$C19:$C33,D1,'数据-汇总表'!$E19:$E33))</f>
        <v>88021.11</v>
      </c>
      <c r="E3" s="2311"/>
      <c r="F3" s="2310"/>
      <c r="G3" s="2311"/>
      <c r="H3" s="2311"/>
      <c r="I3" s="2311"/>
      <c r="J3" s="2311"/>
      <c r="K3" s="2314"/>
      <c r="L3" s="2312"/>
      <c r="M3" s="2313"/>
      <c r="N3" s="2313"/>
      <c r="O3" s="2313"/>
      <c r="P3" s="1333"/>
      <c r="Q3" s="1333"/>
      <c r="R3" s="1333"/>
      <c r="S3" s="1333"/>
      <c r="T3" s="1333"/>
      <c r="U3" s="1333"/>
      <c r="V3" s="1333"/>
      <c r="W3" s="1333"/>
      <c r="X3" s="1333"/>
      <c r="Y3" s="1333"/>
      <c r="Z3" s="1333"/>
      <c r="AA3" s="1333"/>
      <c r="AB3" s="1409"/>
      <c r="AC3" s="1391"/>
    </row>
    <row r="4" spans="1:29">
      <c r="A4" s="143" t="s">
        <v>1113</v>
      </c>
      <c r="B4" s="144"/>
      <c r="C4" s="3693" t="s">
        <v>1114</v>
      </c>
      <c r="D4" s="3694"/>
      <c r="E4" s="3695" t="s">
        <v>1115</v>
      </c>
      <c r="F4" s="3696"/>
      <c r="G4" s="3693" t="s">
        <v>1116</v>
      </c>
      <c r="H4" s="3694"/>
      <c r="I4" s="3693" t="s">
        <v>1117</v>
      </c>
      <c r="J4" s="3694"/>
      <c r="K4" s="187" t="s">
        <v>1118</v>
      </c>
      <c r="L4" s="2288"/>
      <c r="M4" s="2289"/>
      <c r="N4" s="2289"/>
      <c r="O4" s="2289"/>
      <c r="P4" s="3697" t="s">
        <v>1113</v>
      </c>
      <c r="Q4" s="3698"/>
      <c r="R4" s="3703" t="s">
        <v>1115</v>
      </c>
      <c r="S4" s="3704"/>
      <c r="T4" s="3703" t="s">
        <v>1116</v>
      </c>
      <c r="U4" s="3704"/>
      <c r="V4" s="3709" t="s">
        <v>1117</v>
      </c>
      <c r="W4" s="3709"/>
      <c r="X4" s="1339"/>
      <c r="Y4" s="3703" t="s">
        <v>1113</v>
      </c>
      <c r="Z4" s="3704"/>
      <c r="AA4" s="3690" t="s">
        <v>1115</v>
      </c>
      <c r="AB4" s="3691" t="s">
        <v>1116</v>
      </c>
      <c r="AC4" s="3690" t="s">
        <v>1117</v>
      </c>
    </row>
    <row r="5" spans="1:29">
      <c r="A5" s="146"/>
      <c r="B5" s="147"/>
      <c r="C5" s="3612" t="s">
        <v>1119</v>
      </c>
      <c r="D5" s="3613"/>
      <c r="E5" s="3640" t="s">
        <v>1120</v>
      </c>
      <c r="F5" s="3641"/>
      <c r="G5" s="3612" t="s">
        <v>1121</v>
      </c>
      <c r="H5" s="3613"/>
      <c r="I5" s="3612" t="s">
        <v>1122</v>
      </c>
      <c r="J5" s="3613"/>
      <c r="K5" s="187"/>
      <c r="L5" s="2288"/>
      <c r="M5" s="2289"/>
      <c r="N5" s="2289"/>
      <c r="O5" s="2289"/>
      <c r="P5" s="3699"/>
      <c r="Q5" s="3700"/>
      <c r="R5" s="3705"/>
      <c r="S5" s="3706"/>
      <c r="T5" s="3705"/>
      <c r="U5" s="3706"/>
      <c r="V5" s="3709"/>
      <c r="W5" s="3709"/>
      <c r="X5" s="1339"/>
      <c r="Y5" s="3705"/>
      <c r="Z5" s="3706"/>
      <c r="AA5" s="3691"/>
      <c r="AB5" s="3691"/>
      <c r="AC5" s="3691"/>
    </row>
    <row r="6" spans="1:29" ht="14.25" thickBot="1">
      <c r="A6" s="148"/>
      <c r="B6" s="149"/>
      <c r="C6" s="3619" t="s">
        <v>1123</v>
      </c>
      <c r="D6" s="3620"/>
      <c r="E6" s="3617" t="s">
        <v>1123</v>
      </c>
      <c r="F6" s="3618"/>
      <c r="G6" s="3619" t="s">
        <v>1123</v>
      </c>
      <c r="H6" s="3620"/>
      <c r="I6" s="3619" t="s">
        <v>1123</v>
      </c>
      <c r="J6" s="3620"/>
      <c r="K6" s="187" t="s">
        <v>1124</v>
      </c>
      <c r="L6" s="2288"/>
      <c r="M6" s="2289"/>
      <c r="N6" s="2289"/>
      <c r="O6" s="2289"/>
      <c r="P6" s="3701"/>
      <c r="Q6" s="3702"/>
      <c r="R6" s="3705"/>
      <c r="S6" s="3706"/>
      <c r="T6" s="3707"/>
      <c r="U6" s="3708"/>
      <c r="V6" s="3709"/>
      <c r="W6" s="3709"/>
      <c r="X6" s="1339"/>
      <c r="Y6" s="3707"/>
      <c r="Z6" s="3708"/>
      <c r="AA6" s="3692"/>
      <c r="AB6" s="3692"/>
      <c r="AC6" s="3692"/>
    </row>
    <row r="7" spans="1:29" s="40" customFormat="1" ht="15" thickBot="1">
      <c r="A7" s="1013" t="s">
        <v>1125</v>
      </c>
      <c r="B7" s="1014"/>
      <c r="C7" s="752">
        <f>'数据-取费表'!B2</f>
        <v>42941</v>
      </c>
      <c r="D7" s="753">
        <v>100</v>
      </c>
      <c r="E7" s="1016"/>
      <c r="F7" s="755">
        <f>SUMIF(52:52,YEAR(E7)&amp;"-"&amp;MONTH(E7),53:53)</f>
        <v>0</v>
      </c>
      <c r="G7" s="1016"/>
      <c r="H7" s="753">
        <f>SUMIF(52:52,YEAR(G7)&amp;"-"&amp;MONTH(G7),53:53)</f>
        <v>0</v>
      </c>
      <c r="I7" s="1016"/>
      <c r="J7" s="753">
        <f>SUMIF(52:52,YEAR(I7)&amp;"-"&amp;MONTH(I7),53:53)</f>
        <v>0</v>
      </c>
      <c r="K7" s="1018"/>
      <c r="L7" s="2290"/>
      <c r="M7" s="2252"/>
      <c r="N7" s="2252"/>
      <c r="O7" s="2252"/>
      <c r="P7" s="3710" t="s">
        <v>1125</v>
      </c>
      <c r="Q7" s="3712"/>
      <c r="R7" s="1341" t="s">
        <v>65</v>
      </c>
      <c r="S7" s="1342">
        <f t="shared" ref="S7:S15" si="0">F7</f>
        <v>0</v>
      </c>
      <c r="T7" s="1341" t="s">
        <v>65</v>
      </c>
      <c r="U7" s="1342">
        <f t="shared" ref="U7:U15" si="1">H7</f>
        <v>0</v>
      </c>
      <c r="V7" s="1341" t="s">
        <v>65</v>
      </c>
      <c r="W7" s="1342">
        <f t="shared" ref="W7:W15" si="2">J7</f>
        <v>0</v>
      </c>
      <c r="X7" s="287"/>
      <c r="Y7" s="3710" t="s">
        <v>1125</v>
      </c>
      <c r="Z7" s="3711"/>
      <c r="AA7" s="1343" t="e">
        <f>D7/F7</f>
        <v>#DIV/0!</v>
      </c>
      <c r="AB7" s="1343" t="e">
        <f>D7/H7</f>
        <v>#DIV/0!</v>
      </c>
      <c r="AC7" s="1343" t="e">
        <f>D7/J7</f>
        <v>#DIV/0!</v>
      </c>
    </row>
    <row r="8" spans="1:29" s="40" customFormat="1" ht="15" thickBot="1">
      <c r="A8" s="1013" t="s">
        <v>1126</v>
      </c>
      <c r="B8" s="1014"/>
      <c r="C8" s="1019" t="s">
        <v>155</v>
      </c>
      <c r="D8" s="753">
        <v>100</v>
      </c>
      <c r="E8" s="1019"/>
      <c r="F8" s="755">
        <f>SUMIF(55:55,E8,56:56)-SUMIF(55:55,C8,56:56)+100</f>
        <v>0</v>
      </c>
      <c r="G8" s="1019"/>
      <c r="H8" s="753">
        <f>SUMIF(55:55,G8,56:56)-SUMIF(55:55,C8,56:56)+100</f>
        <v>0</v>
      </c>
      <c r="I8" s="1019"/>
      <c r="J8" s="753">
        <f>SUMIF(55:55,I8,56:56)-SUMIF(55:55,C8,56:56)+100</f>
        <v>0</v>
      </c>
      <c r="K8" s="1018"/>
      <c r="L8" s="2290"/>
      <c r="M8" s="2252"/>
      <c r="N8" s="2252"/>
      <c r="O8" s="2252"/>
      <c r="P8" s="3710" t="s">
        <v>1021</v>
      </c>
      <c r="Q8" s="3711"/>
      <c r="R8" s="1341" t="s">
        <v>65</v>
      </c>
      <c r="S8" s="1342">
        <f t="shared" si="0"/>
        <v>0</v>
      </c>
      <c r="T8" s="1341" t="s">
        <v>65</v>
      </c>
      <c r="U8" s="1342">
        <f t="shared" si="1"/>
        <v>0</v>
      </c>
      <c r="V8" s="1341" t="s">
        <v>65</v>
      </c>
      <c r="W8" s="1342">
        <f t="shared" si="2"/>
        <v>0</v>
      </c>
      <c r="X8" s="287"/>
      <c r="Y8" s="3710" t="s">
        <v>1021</v>
      </c>
      <c r="Z8" s="3711"/>
      <c r="AA8" s="1343" t="e">
        <f t="shared" ref="AA8:AA40" si="3">D8/F8</f>
        <v>#DIV/0!</v>
      </c>
      <c r="AB8" s="1343" t="e">
        <f t="shared" ref="AB8:AB40" si="4">D8/H8</f>
        <v>#DIV/0!</v>
      </c>
      <c r="AC8" s="1343" t="e">
        <f t="shared" ref="AC8:AC40" si="5">D8/J8</f>
        <v>#DIV/0!</v>
      </c>
    </row>
    <row r="9" spans="1:29" s="40" customFormat="1" ht="14.25">
      <c r="A9" s="1020" t="s">
        <v>1022</v>
      </c>
      <c r="B9" s="62" t="s">
        <v>1023</v>
      </c>
      <c r="C9" s="1345"/>
      <c r="D9" s="424">
        <v>100</v>
      </c>
      <c r="E9" s="1347"/>
      <c r="F9" s="424">
        <f>SUMIF(57:57,E9,58:58)-SUMIF(57:57,C9,58:58)+100</f>
        <v>100</v>
      </c>
      <c r="G9" s="1346"/>
      <c r="H9" s="424">
        <f>SUMIF(57:57,G9,58:58)-SUMIF(57:57,C9,58:58)+100</f>
        <v>100</v>
      </c>
      <c r="I9" s="1346"/>
      <c r="J9" s="424">
        <f>SUMIF(57:57,I9,58:58)-SUMIF(57:57,C9,58:58)+100</f>
        <v>100</v>
      </c>
      <c r="K9" s="1018"/>
      <c r="L9" s="2290"/>
      <c r="M9" s="2252"/>
      <c r="N9" s="2252"/>
      <c r="O9" s="2331"/>
      <c r="P9" s="3678" t="s">
        <v>67</v>
      </c>
      <c r="Q9" s="7" t="str">
        <f t="shared" ref="Q9:Q15" si="6">B9</f>
        <v>用途</v>
      </c>
      <c r="R9" s="1341" t="s">
        <v>65</v>
      </c>
      <c r="S9" s="1342">
        <f t="shared" si="0"/>
        <v>100</v>
      </c>
      <c r="T9" s="1341" t="s">
        <v>65</v>
      </c>
      <c r="U9" s="1342">
        <f t="shared" si="1"/>
        <v>100</v>
      </c>
      <c r="V9" s="1341" t="s">
        <v>65</v>
      </c>
      <c r="W9" s="1342">
        <f t="shared" si="2"/>
        <v>100</v>
      </c>
      <c r="X9" s="287"/>
      <c r="Y9" s="3446"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1"/>
      <c r="M10" s="2292"/>
      <c r="N10" s="2292"/>
      <c r="O10" s="2332"/>
      <c r="P10" s="3678"/>
      <c r="Q10" s="7" t="str">
        <f t="shared" si="6"/>
        <v>土地使用年限（年）</v>
      </c>
      <c r="R10" s="1341" t="s">
        <v>65</v>
      </c>
      <c r="S10" s="1342">
        <f t="shared" si="0"/>
        <v>100</v>
      </c>
      <c r="T10" s="1341" t="s">
        <v>65</v>
      </c>
      <c r="U10" s="1342">
        <f t="shared" si="1"/>
        <v>100</v>
      </c>
      <c r="V10" s="1341" t="s">
        <v>65</v>
      </c>
      <c r="W10" s="1342">
        <f t="shared" si="2"/>
        <v>100</v>
      </c>
      <c r="X10" s="287"/>
      <c r="Y10" s="3446"/>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3"/>
      <c r="M11" s="2289"/>
      <c r="N11" s="2289"/>
      <c r="O11" s="2333"/>
      <c r="P11" s="3678"/>
      <c r="Q11" s="7" t="str">
        <f t="shared" si="6"/>
        <v>容积率</v>
      </c>
      <c r="R11" s="1341" t="s">
        <v>65</v>
      </c>
      <c r="S11" s="1342" t="e">
        <f t="shared" si="0"/>
        <v>#N/A</v>
      </c>
      <c r="T11" s="1341" t="s">
        <v>65</v>
      </c>
      <c r="U11" s="1342" t="e">
        <f t="shared" si="1"/>
        <v>#N/A</v>
      </c>
      <c r="V11" s="1341" t="s">
        <v>65</v>
      </c>
      <c r="W11" s="1342" t="e">
        <f t="shared" si="2"/>
        <v>#N/A</v>
      </c>
      <c r="X11" s="287"/>
      <c r="Y11" s="3446"/>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0"/>
      <c r="M12" s="2252"/>
      <c r="N12" s="2252"/>
      <c r="O12" s="2331"/>
      <c r="P12" s="3678"/>
      <c r="Q12" s="7">
        <f t="shared" si="6"/>
        <v>111</v>
      </c>
      <c r="R12" s="1341" t="s">
        <v>65</v>
      </c>
      <c r="S12" s="1342">
        <f t="shared" si="0"/>
        <v>100</v>
      </c>
      <c r="T12" s="1341" t="s">
        <v>65</v>
      </c>
      <c r="U12" s="1342">
        <f t="shared" si="1"/>
        <v>100</v>
      </c>
      <c r="V12" s="1341" t="s">
        <v>65</v>
      </c>
      <c r="W12" s="1342">
        <f t="shared" si="2"/>
        <v>100</v>
      </c>
      <c r="X12" s="287"/>
      <c r="Y12" s="3446"/>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294"/>
      <c r="M13" s="2289"/>
      <c r="N13" s="2289"/>
      <c r="O13" s="2333"/>
      <c r="P13" s="3678"/>
      <c r="Q13" s="7">
        <f t="shared" si="6"/>
        <v>111</v>
      </c>
      <c r="R13" s="1341" t="s">
        <v>65</v>
      </c>
      <c r="S13" s="1342">
        <f t="shared" si="0"/>
        <v>100</v>
      </c>
      <c r="T13" s="1341" t="s">
        <v>65</v>
      </c>
      <c r="U13" s="1342">
        <f t="shared" si="1"/>
        <v>100</v>
      </c>
      <c r="V13" s="1341" t="s">
        <v>65</v>
      </c>
      <c r="W13" s="1342">
        <f t="shared" si="2"/>
        <v>100</v>
      </c>
      <c r="X13" s="287"/>
      <c r="Y13" s="3446"/>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4"/>
      <c r="M14" s="2289"/>
      <c r="N14" s="2289"/>
      <c r="O14" s="2333"/>
      <c r="P14" s="3678"/>
      <c r="Q14" s="7">
        <f t="shared" si="6"/>
        <v>111</v>
      </c>
      <c r="R14" s="1341" t="s">
        <v>65</v>
      </c>
      <c r="S14" s="1342">
        <f t="shared" si="0"/>
        <v>100</v>
      </c>
      <c r="T14" s="1341" t="s">
        <v>65</v>
      </c>
      <c r="U14" s="1342">
        <f t="shared" si="1"/>
        <v>100</v>
      </c>
      <c r="V14" s="1341" t="s">
        <v>65</v>
      </c>
      <c r="W14" s="1342">
        <f t="shared" si="2"/>
        <v>100</v>
      </c>
      <c r="X14" s="287"/>
      <c r="Y14" s="3446"/>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4"/>
      <c r="M15" s="2289"/>
      <c r="N15" s="2289"/>
      <c r="O15" s="2333"/>
      <c r="P15" s="3680" t="s">
        <v>69</v>
      </c>
      <c r="Q15" s="1350" t="str">
        <f t="shared" si="6"/>
        <v>产业集聚程度</v>
      </c>
      <c r="R15" s="1351" t="s">
        <v>65</v>
      </c>
      <c r="S15" s="1352">
        <f t="shared" si="0"/>
        <v>100</v>
      </c>
      <c r="T15" s="1351" t="s">
        <v>65</v>
      </c>
      <c r="U15" s="1352">
        <f t="shared" si="1"/>
        <v>100</v>
      </c>
      <c r="V15" s="1351" t="s">
        <v>65</v>
      </c>
      <c r="W15" s="1352">
        <f t="shared" si="2"/>
        <v>100</v>
      </c>
      <c r="X15" s="1339"/>
      <c r="Y15" s="3680"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4"/>
      <c r="M16" s="2289"/>
      <c r="N16" s="2289"/>
      <c r="O16" s="2333"/>
      <c r="P16" s="3681"/>
      <c r="Q16" s="1350"/>
      <c r="R16" s="1351"/>
      <c r="S16" s="1352"/>
      <c r="T16" s="1351"/>
      <c r="U16" s="1352"/>
      <c r="V16" s="1351"/>
      <c r="W16" s="1352"/>
      <c r="X16" s="1339"/>
      <c r="Y16" s="3681"/>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4"/>
      <c r="M17" s="2289"/>
      <c r="N17" s="2289"/>
      <c r="O17" s="2333"/>
      <c r="P17" s="3681"/>
      <c r="Q17" s="1350" t="str">
        <f>B17</f>
        <v>交通便捷度</v>
      </c>
      <c r="R17" s="1351" t="s">
        <v>65</v>
      </c>
      <c r="S17" s="1352">
        <f>F17</f>
        <v>100</v>
      </c>
      <c r="T17" s="1351" t="s">
        <v>65</v>
      </c>
      <c r="U17" s="1352">
        <f>H17</f>
        <v>100</v>
      </c>
      <c r="V17" s="1351" t="s">
        <v>65</v>
      </c>
      <c r="W17" s="1352">
        <f>J17</f>
        <v>100</v>
      </c>
      <c r="X17" s="1339"/>
      <c r="Y17" s="3681"/>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4"/>
      <c r="M18" s="2289"/>
      <c r="N18" s="2289"/>
      <c r="O18" s="2333"/>
      <c r="P18" s="3681"/>
      <c r="Q18" s="1350"/>
      <c r="R18" s="1351"/>
      <c r="S18" s="1352"/>
      <c r="T18" s="1351"/>
      <c r="U18" s="1352"/>
      <c r="V18" s="1351"/>
      <c r="W18" s="1352"/>
      <c r="X18" s="1339"/>
      <c r="Y18" s="3681"/>
      <c r="Z18" s="1353"/>
      <c r="AA18" s="1354">
        <v>1</v>
      </c>
      <c r="AB18" s="1354">
        <v>1</v>
      </c>
      <c r="AC18" s="1354">
        <v>1</v>
      </c>
    </row>
    <row r="19" spans="1:29" ht="40.5">
      <c r="A19" s="151"/>
      <c r="B19" s="1355" t="s">
        <v>2667</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4"/>
      <c r="M19" s="2289"/>
      <c r="N19" s="2289"/>
      <c r="O19" s="2333"/>
      <c r="P19" s="3681"/>
      <c r="Q19" s="1350" t="str">
        <f>B19</f>
        <v>公共配套设施</v>
      </c>
      <c r="R19" s="1351" t="s">
        <v>65</v>
      </c>
      <c r="S19" s="1352">
        <f>F19</f>
        <v>100</v>
      </c>
      <c r="T19" s="1351" t="s">
        <v>65</v>
      </c>
      <c r="U19" s="1352">
        <f>H19</f>
        <v>100</v>
      </c>
      <c r="V19" s="1351" t="s">
        <v>65</v>
      </c>
      <c r="W19" s="1352">
        <f>J19</f>
        <v>100</v>
      </c>
      <c r="X19" s="1339"/>
      <c r="Y19" s="3681"/>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4"/>
      <c r="M20" s="2289"/>
      <c r="N20" s="2289"/>
      <c r="O20" s="2333"/>
      <c r="P20" s="3681"/>
      <c r="Q20" s="1350"/>
      <c r="R20" s="1351"/>
      <c r="S20" s="1352"/>
      <c r="T20" s="1351"/>
      <c r="U20" s="1352"/>
      <c r="V20" s="1351"/>
      <c r="W20" s="1352"/>
      <c r="X20" s="1339"/>
      <c r="Y20" s="3681"/>
      <c r="Z20" s="1353"/>
      <c r="AA20" s="1354">
        <v>1</v>
      </c>
      <c r="AB20" s="1354">
        <v>1</v>
      </c>
      <c r="AC20" s="1354">
        <v>1</v>
      </c>
    </row>
    <row r="21" spans="1:29" ht="40.5">
      <c r="A21" s="151"/>
      <c r="B21" s="1411" t="s">
        <v>2670</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4"/>
      <c r="M21" s="2289"/>
      <c r="N21" s="2289"/>
      <c r="O21" s="2333"/>
      <c r="P21" s="3681"/>
      <c r="Q21" s="2739" t="str">
        <f>B21</f>
        <v>基础设施水平</v>
      </c>
      <c r="R21" s="1351" t="s">
        <v>65</v>
      </c>
      <c r="S21" s="1352">
        <f>F21</f>
        <v>100</v>
      </c>
      <c r="T21" s="1351" t="s">
        <v>65</v>
      </c>
      <c r="U21" s="1352">
        <f>H21</f>
        <v>100</v>
      </c>
      <c r="V21" s="1351" t="s">
        <v>65</v>
      </c>
      <c r="W21" s="1352">
        <f>J21</f>
        <v>100</v>
      </c>
      <c r="X21" s="2741"/>
      <c r="Y21" s="3681"/>
      <c r="Z21" s="2740"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59"/>
      <c r="L22" s="2294"/>
      <c r="M22" s="2289"/>
      <c r="N22" s="2289"/>
      <c r="O22" s="2333"/>
      <c r="P22" s="3681"/>
      <c r="Q22" s="2739"/>
      <c r="R22" s="1351"/>
      <c r="S22" s="1352"/>
      <c r="T22" s="1351"/>
      <c r="U22" s="1352"/>
      <c r="V22" s="1351"/>
      <c r="W22" s="1352"/>
      <c r="X22" s="2741"/>
      <c r="Y22" s="3681"/>
      <c r="Z22" s="2740"/>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4"/>
      <c r="M23" s="2289"/>
      <c r="N23" s="2289"/>
      <c r="O23" s="2333"/>
      <c r="P23" s="3681"/>
      <c r="Q23" s="1350" t="str">
        <f>B23</f>
        <v>环境质量</v>
      </c>
      <c r="R23" s="1351" t="s">
        <v>65</v>
      </c>
      <c r="S23" s="1352">
        <f>F23</f>
        <v>100</v>
      </c>
      <c r="T23" s="1351" t="s">
        <v>65</v>
      </c>
      <c r="U23" s="1352">
        <f>H23</f>
        <v>100</v>
      </c>
      <c r="V23" s="1351" t="s">
        <v>65</v>
      </c>
      <c r="W23" s="1352">
        <f>J23</f>
        <v>100</v>
      </c>
      <c r="X23" s="1339"/>
      <c r="Y23" s="3681"/>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4"/>
      <c r="M24" s="2289"/>
      <c r="N24" s="2289"/>
      <c r="O24" s="2333"/>
      <c r="P24" s="3681"/>
      <c r="Q24" s="1350"/>
      <c r="R24" s="1351"/>
      <c r="S24" s="1352"/>
      <c r="T24" s="1351"/>
      <c r="U24" s="1352"/>
      <c r="V24" s="1351"/>
      <c r="W24" s="1352"/>
      <c r="X24" s="1339"/>
      <c r="Y24" s="3681"/>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4"/>
      <c r="M25" s="2289"/>
      <c r="N25" s="2289"/>
      <c r="O25" s="2333"/>
      <c r="P25" s="3681"/>
      <c r="Q25" s="1350">
        <f>B25</f>
        <v>111</v>
      </c>
      <c r="R25" s="1351" t="s">
        <v>65</v>
      </c>
      <c r="S25" s="1352">
        <f>F25</f>
        <v>100</v>
      </c>
      <c r="T25" s="1351" t="s">
        <v>65</v>
      </c>
      <c r="U25" s="1352">
        <f>H25</f>
        <v>100</v>
      </c>
      <c r="V25" s="1351" t="s">
        <v>65</v>
      </c>
      <c r="W25" s="1352">
        <f>J25</f>
        <v>100</v>
      </c>
      <c r="X25" s="1339"/>
      <c r="Y25" s="3681"/>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4"/>
      <c r="M26" s="2289"/>
      <c r="N26" s="2289"/>
      <c r="O26" s="2333"/>
      <c r="P26" s="3681"/>
      <c r="Q26" s="1350">
        <f t="shared" ref="Q26:Q40" si="11">B26</f>
        <v>111</v>
      </c>
      <c r="R26" s="1351" t="s">
        <v>65</v>
      </c>
      <c r="S26" s="1352">
        <f>F26</f>
        <v>100</v>
      </c>
      <c r="T26" s="1351" t="s">
        <v>65</v>
      </c>
      <c r="U26" s="1352">
        <f>H26</f>
        <v>100</v>
      </c>
      <c r="V26" s="1351" t="s">
        <v>65</v>
      </c>
      <c r="W26" s="1352">
        <f>J26</f>
        <v>100</v>
      </c>
      <c r="X26" s="1339"/>
      <c r="Y26" s="3681"/>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0"/>
      <c r="M27" s="2252"/>
      <c r="N27" s="2252"/>
      <c r="O27" s="2331"/>
      <c r="P27" s="3681"/>
      <c r="Q27" s="7">
        <f t="shared" si="11"/>
        <v>111</v>
      </c>
      <c r="R27" s="1341" t="s">
        <v>65</v>
      </c>
      <c r="S27" s="1342">
        <f>F27</f>
        <v>100</v>
      </c>
      <c r="T27" s="1341" t="s">
        <v>65</v>
      </c>
      <c r="U27" s="1342">
        <f>H27</f>
        <v>100</v>
      </c>
      <c r="V27" s="1341" t="s">
        <v>65</v>
      </c>
      <c r="W27" s="1342">
        <f>J27</f>
        <v>100</v>
      </c>
      <c r="X27" s="287"/>
      <c r="Y27" s="3681"/>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4"/>
      <c r="M28" s="2289"/>
      <c r="N28" s="2289"/>
      <c r="O28" s="2333"/>
      <c r="P28" s="3681"/>
      <c r="Q28" s="1350">
        <f t="shared" si="11"/>
        <v>111</v>
      </c>
      <c r="R28" s="1351" t="s">
        <v>65</v>
      </c>
      <c r="S28" s="1352">
        <f t="shared" ref="S28:S40" si="12">F28</f>
        <v>100</v>
      </c>
      <c r="T28" s="1351" t="s">
        <v>65</v>
      </c>
      <c r="U28" s="1352">
        <f t="shared" ref="U28:U40" si="13">H28</f>
        <v>100</v>
      </c>
      <c r="V28" s="1351" t="s">
        <v>65</v>
      </c>
      <c r="W28" s="1352">
        <f t="shared" ref="W28:W40" si="14">J28</f>
        <v>100</v>
      </c>
      <c r="X28" s="1339"/>
      <c r="Y28" s="3681"/>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4"/>
      <c r="M29" s="2289"/>
      <c r="N29" s="2289"/>
      <c r="O29" s="2333"/>
      <c r="P29" s="3728" t="s">
        <v>1127</v>
      </c>
      <c r="Q29" s="1350" t="str">
        <f t="shared" si="11"/>
        <v>建筑类型</v>
      </c>
      <c r="R29" s="1351" t="s">
        <v>65</v>
      </c>
      <c r="S29" s="1352">
        <f t="shared" si="12"/>
        <v>100</v>
      </c>
      <c r="T29" s="1351" t="s">
        <v>65</v>
      </c>
      <c r="U29" s="1352">
        <f t="shared" si="13"/>
        <v>100</v>
      </c>
      <c r="V29" s="1351" t="s">
        <v>65</v>
      </c>
      <c r="W29" s="1352">
        <f t="shared" si="14"/>
        <v>100</v>
      </c>
      <c r="X29" s="1339"/>
      <c r="Y29" s="3685" t="s">
        <v>1127</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3"/>
      <c r="M30" s="2295"/>
      <c r="N30" s="2295"/>
      <c r="O30" s="2334"/>
      <c r="P30" s="3685"/>
      <c r="Q30" s="1358" t="str">
        <f t="shared" si="11"/>
        <v>项目建筑规模</v>
      </c>
      <c r="R30" s="1359" t="s">
        <v>65</v>
      </c>
      <c r="S30" s="1360" t="e">
        <f t="shared" si="12"/>
        <v>#N/A</v>
      </c>
      <c r="T30" s="1359" t="s">
        <v>65</v>
      </c>
      <c r="U30" s="1360" t="e">
        <f t="shared" si="13"/>
        <v>#N/A</v>
      </c>
      <c r="V30" s="1359" t="s">
        <v>65</v>
      </c>
      <c r="W30" s="1360" t="e">
        <f t="shared" si="14"/>
        <v>#N/A</v>
      </c>
      <c r="X30" s="1361"/>
      <c r="Y30" s="3685"/>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4"/>
      <c r="M31" s="2289"/>
      <c r="N31" s="2289"/>
      <c r="O31" s="2333"/>
      <c r="P31" s="3685"/>
      <c r="Q31" s="1350" t="str">
        <f t="shared" si="11"/>
        <v>建筑结构</v>
      </c>
      <c r="R31" s="1351" t="s">
        <v>65</v>
      </c>
      <c r="S31" s="1352">
        <f t="shared" si="12"/>
        <v>100</v>
      </c>
      <c r="T31" s="1351" t="s">
        <v>65</v>
      </c>
      <c r="U31" s="1352">
        <f t="shared" si="13"/>
        <v>100</v>
      </c>
      <c r="V31" s="1351" t="s">
        <v>65</v>
      </c>
      <c r="W31" s="1352">
        <f t="shared" si="14"/>
        <v>100</v>
      </c>
      <c r="X31" s="1339"/>
      <c r="Y31" s="3685"/>
      <c r="Z31" s="1353" t="str">
        <f t="shared" si="15"/>
        <v>建筑结构</v>
      </c>
      <c r="AA31" s="1354">
        <f t="shared" si="3"/>
        <v>1</v>
      </c>
      <c r="AB31" s="1354">
        <f t="shared" si="4"/>
        <v>1</v>
      </c>
      <c r="AC31" s="1354">
        <f t="shared" si="5"/>
        <v>1</v>
      </c>
    </row>
    <row r="32" spans="1:29" ht="15">
      <c r="A32" s="161"/>
      <c r="B32" s="12" t="s">
        <v>1029</v>
      </c>
      <c r="C32" s="107"/>
      <c r="D32" s="777">
        <v>100</v>
      </c>
      <c r="E32" s="107"/>
      <c r="F32" s="803">
        <f>SUMIF(95:95,E32,96:96)-SUMIF(95:95,C32,96:96)+100</f>
        <v>100</v>
      </c>
      <c r="G32" s="107"/>
      <c r="H32" s="777">
        <f>SUMIF(95:95,G32,96:96)-SUMIF(95:95,C32,96:96)+100</f>
        <v>100</v>
      </c>
      <c r="I32" s="107"/>
      <c r="J32" s="777">
        <f>SUMIF(95:95,I32,96:96)-SUMIF(95:95,C32,96:96)+100</f>
        <v>100</v>
      </c>
      <c r="K32" s="954"/>
      <c r="L32" s="2294"/>
      <c r="M32" s="2289"/>
      <c r="N32" s="2289"/>
      <c r="O32" s="2333"/>
      <c r="P32" s="3685"/>
      <c r="Q32" s="1350" t="str">
        <f t="shared" si="11"/>
        <v>公共部分装修</v>
      </c>
      <c r="R32" s="1351" t="s">
        <v>65</v>
      </c>
      <c r="S32" s="1352">
        <f t="shared" si="12"/>
        <v>100</v>
      </c>
      <c r="T32" s="1351" t="s">
        <v>65</v>
      </c>
      <c r="U32" s="1352">
        <f t="shared" si="13"/>
        <v>100</v>
      </c>
      <c r="V32" s="1351" t="s">
        <v>65</v>
      </c>
      <c r="W32" s="1352">
        <f t="shared" si="14"/>
        <v>100</v>
      </c>
      <c r="X32" s="1339"/>
      <c r="Y32" s="3685"/>
      <c r="Z32" s="1353" t="str">
        <f t="shared" si="15"/>
        <v>公共部分装修</v>
      </c>
      <c r="AA32" s="1354">
        <f t="shared" si="3"/>
        <v>1</v>
      </c>
      <c r="AB32" s="1354">
        <f t="shared" si="4"/>
        <v>1</v>
      </c>
      <c r="AC32" s="1354">
        <f t="shared" si="5"/>
        <v>1</v>
      </c>
    </row>
    <row r="33" spans="1:29" ht="15">
      <c r="A33" s="161"/>
      <c r="B33" s="12" t="s">
        <v>1030</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4"/>
      <c r="M33" s="2289"/>
      <c r="N33" s="2289"/>
      <c r="O33" s="2333"/>
      <c r="P33" s="3685"/>
      <c r="Q33" s="1350" t="str">
        <f t="shared" si="11"/>
        <v>成新度</v>
      </c>
      <c r="R33" s="1351" t="s">
        <v>65</v>
      </c>
      <c r="S33" s="1352" t="e">
        <f t="shared" si="12"/>
        <v>#N/A</v>
      </c>
      <c r="T33" s="1351" t="s">
        <v>65</v>
      </c>
      <c r="U33" s="1352" t="e">
        <f t="shared" si="13"/>
        <v>#N/A</v>
      </c>
      <c r="V33" s="1351" t="s">
        <v>65</v>
      </c>
      <c r="W33" s="1352" t="e">
        <f t="shared" si="14"/>
        <v>#N/A</v>
      </c>
      <c r="X33" s="1339"/>
      <c r="Y33" s="3685"/>
      <c r="Z33" s="1353" t="str">
        <f t="shared" si="15"/>
        <v>成新度</v>
      </c>
      <c r="AA33" s="1354" t="e">
        <f t="shared" si="3"/>
        <v>#N/A</v>
      </c>
      <c r="AB33" s="1354" t="e">
        <f t="shared" si="4"/>
        <v>#N/A</v>
      </c>
      <c r="AC33" s="1354" t="e">
        <f t="shared" si="5"/>
        <v>#N/A</v>
      </c>
    </row>
    <row r="34" spans="1:29" s="40" customFormat="1" ht="15">
      <c r="A34" s="1040"/>
      <c r="B34" s="12" t="s">
        <v>1128</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0"/>
      <c r="M34" s="2252"/>
      <c r="N34" s="2252"/>
      <c r="O34" s="2331"/>
      <c r="P34" s="3685"/>
      <c r="Q34" s="7" t="str">
        <f t="shared" si="11"/>
        <v>物业管理</v>
      </c>
      <c r="R34" s="1341" t="s">
        <v>65</v>
      </c>
      <c r="S34" s="1342">
        <f t="shared" si="12"/>
        <v>100</v>
      </c>
      <c r="T34" s="1341" t="s">
        <v>65</v>
      </c>
      <c r="U34" s="1342">
        <f t="shared" si="13"/>
        <v>100</v>
      </c>
      <c r="V34" s="1341" t="s">
        <v>65</v>
      </c>
      <c r="W34" s="1342">
        <f t="shared" si="14"/>
        <v>100</v>
      </c>
      <c r="X34" s="287"/>
      <c r="Y34" s="3685"/>
      <c r="Z34" s="288" t="str">
        <f t="shared" si="15"/>
        <v>物业管理</v>
      </c>
      <c r="AA34" s="1343">
        <f t="shared" si="3"/>
        <v>1</v>
      </c>
      <c r="AB34" s="1343">
        <f t="shared" si="4"/>
        <v>1</v>
      </c>
      <c r="AC34" s="1343">
        <f t="shared" si="5"/>
        <v>1</v>
      </c>
    </row>
    <row r="35" spans="1:29" ht="15">
      <c r="A35" s="161"/>
      <c r="B35" s="12" t="s">
        <v>2660</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4"/>
      <c r="M35" s="2289"/>
      <c r="N35" s="2289"/>
      <c r="O35" s="2333"/>
      <c r="P35" s="3685" t="s">
        <v>70</v>
      </c>
      <c r="Q35" s="1350" t="str">
        <f t="shared" si="11"/>
        <v>市政基础设施</v>
      </c>
      <c r="R35" s="1351" t="s">
        <v>65</v>
      </c>
      <c r="S35" s="1352">
        <f t="shared" si="12"/>
        <v>100</v>
      </c>
      <c r="T35" s="1351" t="s">
        <v>65</v>
      </c>
      <c r="U35" s="1352">
        <f t="shared" si="13"/>
        <v>100</v>
      </c>
      <c r="V35" s="1351" t="s">
        <v>65</v>
      </c>
      <c r="W35" s="1352">
        <f t="shared" si="14"/>
        <v>100</v>
      </c>
      <c r="X35" s="1339"/>
      <c r="Y35" s="3685"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4"/>
      <c r="M36" s="2289"/>
      <c r="N36" s="2289"/>
      <c r="O36" s="2333"/>
      <c r="P36" s="3685"/>
      <c r="Q36" s="1350" t="str">
        <f t="shared" si="11"/>
        <v>内部装修</v>
      </c>
      <c r="R36" s="1351" t="s">
        <v>65</v>
      </c>
      <c r="S36" s="1352">
        <f t="shared" si="12"/>
        <v>100</v>
      </c>
      <c r="T36" s="1351" t="s">
        <v>65</v>
      </c>
      <c r="U36" s="1352">
        <f t="shared" si="13"/>
        <v>100</v>
      </c>
      <c r="V36" s="1351" t="s">
        <v>65</v>
      </c>
      <c r="W36" s="1352">
        <f t="shared" si="14"/>
        <v>100</v>
      </c>
      <c r="X36" s="1339"/>
      <c r="Y36" s="3685"/>
      <c r="Z36" s="1353" t="str">
        <f t="shared" si="15"/>
        <v>内部装修</v>
      </c>
      <c r="AA36" s="1354">
        <f t="shared" si="3"/>
        <v>1</v>
      </c>
      <c r="AB36" s="1354">
        <f t="shared" si="4"/>
        <v>1</v>
      </c>
      <c r="AC36" s="1354">
        <f t="shared" si="5"/>
        <v>1</v>
      </c>
    </row>
    <row r="37" spans="1:29" ht="15">
      <c r="A37" s="161"/>
      <c r="B37" s="12" t="s">
        <v>1129</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4"/>
      <c r="M37" s="2289"/>
      <c r="N37" s="2289"/>
      <c r="O37" s="2333"/>
      <c r="P37" s="3685"/>
      <c r="Q37" s="1350" t="str">
        <f t="shared" si="11"/>
        <v>内部装修状况</v>
      </c>
      <c r="R37" s="1351" t="s">
        <v>65</v>
      </c>
      <c r="S37" s="1352">
        <f t="shared" si="12"/>
        <v>100</v>
      </c>
      <c r="T37" s="1351" t="s">
        <v>65</v>
      </c>
      <c r="U37" s="1352">
        <f t="shared" si="13"/>
        <v>100</v>
      </c>
      <c r="V37" s="1351" t="s">
        <v>65</v>
      </c>
      <c r="W37" s="1352">
        <f t="shared" si="14"/>
        <v>100</v>
      </c>
      <c r="X37" s="1339"/>
      <c r="Y37" s="3685"/>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3"/>
      <c r="M38" s="2295"/>
      <c r="N38" s="2295"/>
      <c r="O38" s="2334"/>
      <c r="P38" s="3685"/>
      <c r="Q38" s="1358">
        <f t="shared" si="11"/>
        <v>111</v>
      </c>
      <c r="R38" s="1359" t="s">
        <v>65</v>
      </c>
      <c r="S38" s="1360">
        <f t="shared" si="12"/>
        <v>100</v>
      </c>
      <c r="T38" s="1359" t="s">
        <v>65</v>
      </c>
      <c r="U38" s="1360">
        <f t="shared" si="13"/>
        <v>100</v>
      </c>
      <c r="V38" s="1359" t="s">
        <v>65</v>
      </c>
      <c r="W38" s="1360">
        <f t="shared" si="14"/>
        <v>100</v>
      </c>
      <c r="X38" s="1361"/>
      <c r="Y38" s="3685"/>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4"/>
      <c r="M39" s="2289"/>
      <c r="N39" s="2289"/>
      <c r="O39" s="2333"/>
      <c r="P39" s="3685"/>
      <c r="Q39" s="1350">
        <f t="shared" si="11"/>
        <v>111</v>
      </c>
      <c r="R39" s="1351" t="s">
        <v>65</v>
      </c>
      <c r="S39" s="1352">
        <f t="shared" si="12"/>
        <v>100</v>
      </c>
      <c r="T39" s="1351" t="s">
        <v>65</v>
      </c>
      <c r="U39" s="1352">
        <f t="shared" si="13"/>
        <v>100</v>
      </c>
      <c r="V39" s="1351" t="s">
        <v>65</v>
      </c>
      <c r="W39" s="1352">
        <f t="shared" si="14"/>
        <v>100</v>
      </c>
      <c r="X39" s="1339"/>
      <c r="Y39" s="3685"/>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4"/>
      <c r="M40" s="2289"/>
      <c r="N40" s="2289"/>
      <c r="O40" s="2333"/>
      <c r="P40" s="3686"/>
      <c r="Q40" s="1350">
        <f t="shared" si="11"/>
        <v>111</v>
      </c>
      <c r="R40" s="1351" t="s">
        <v>65</v>
      </c>
      <c r="S40" s="1352">
        <f t="shared" si="12"/>
        <v>100</v>
      </c>
      <c r="T40" s="1351" t="s">
        <v>65</v>
      </c>
      <c r="U40" s="1352">
        <f t="shared" si="13"/>
        <v>100</v>
      </c>
      <c r="V40" s="1351" t="s">
        <v>65</v>
      </c>
      <c r="W40" s="1352">
        <f t="shared" si="14"/>
        <v>100</v>
      </c>
      <c r="X40" s="1339"/>
      <c r="Y40" s="3686"/>
      <c r="Z40" s="1353">
        <f t="shared" si="15"/>
        <v>111</v>
      </c>
      <c r="AA40" s="1354">
        <f t="shared" si="3"/>
        <v>1</v>
      </c>
      <c r="AB40" s="1354">
        <f t="shared" si="4"/>
        <v>1</v>
      </c>
      <c r="AC40" s="1354">
        <f t="shared" si="5"/>
        <v>1</v>
      </c>
    </row>
    <row r="41" spans="1:29" ht="15">
      <c r="A41" s="163" t="s">
        <v>102</v>
      </c>
      <c r="B41" s="164"/>
      <c r="C41" s="2829" t="s">
        <v>23</v>
      </c>
      <c r="D41" s="2830"/>
      <c r="E41" s="2831"/>
      <c r="F41" s="2832"/>
      <c r="G41" s="2833"/>
      <c r="H41" s="2834"/>
      <c r="I41" s="2831"/>
      <c r="J41" s="2834"/>
      <c r="K41" s="1392"/>
      <c r="L41" s="2296"/>
      <c r="M41" s="2297"/>
      <c r="N41" s="2289"/>
      <c r="O41" s="2297"/>
      <c r="P41" s="3678" t="str">
        <f>A41</f>
        <v>成交单价（元/平方米）</v>
      </c>
      <c r="Q41" s="3678"/>
      <c r="R41" s="3679">
        <f>E41</f>
        <v>0</v>
      </c>
      <c r="S41" s="3679"/>
      <c r="T41" s="3679">
        <f>G41</f>
        <v>0</v>
      </c>
      <c r="U41" s="3679"/>
      <c r="V41" s="3679">
        <f>I41</f>
        <v>0</v>
      </c>
      <c r="W41" s="3679"/>
      <c r="X41" s="1364"/>
      <c r="Y41" s="1365"/>
      <c r="Z41" s="1364"/>
      <c r="AA41" s="1364"/>
      <c r="AB41" s="1364"/>
      <c r="AC41" s="1364"/>
    </row>
    <row r="42" spans="1:29" ht="15.75" thickBot="1">
      <c r="A42" s="165" t="s">
        <v>100</v>
      </c>
      <c r="B42" s="166"/>
      <c r="C42" s="2835" t="e">
        <f>R43</f>
        <v>#DIV/0!</v>
      </c>
      <c r="D42" s="2836"/>
      <c r="E42" s="2837" t="e">
        <f>R42</f>
        <v>#DIV/0!</v>
      </c>
      <c r="F42" s="2837"/>
      <c r="G42" s="2835" t="e">
        <f>T42</f>
        <v>#DIV/0!</v>
      </c>
      <c r="H42" s="2836"/>
      <c r="I42" s="2837" t="e">
        <f>V42</f>
        <v>#DIV/0!</v>
      </c>
      <c r="J42" s="2836"/>
      <c r="K42" s="1393"/>
      <c r="L42" s="2296"/>
      <c r="M42" s="2297"/>
      <c r="N42" s="2289"/>
      <c r="O42" s="2297"/>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1364"/>
      <c r="Y42" s="1364"/>
      <c r="Z42" s="1364"/>
      <c r="AA42" s="1364"/>
      <c r="AB42" s="1364"/>
      <c r="AC42" s="1364"/>
    </row>
    <row r="43" spans="1:29" ht="15.75" thickBot="1">
      <c r="A43" s="115" t="s">
        <v>3025</v>
      </c>
      <c r="B43" s="116"/>
      <c r="C43" s="2839" t="e">
        <f>R43</f>
        <v>#DIV/0!</v>
      </c>
      <c r="D43" s="2839"/>
      <c r="E43" s="2839"/>
      <c r="F43" s="2839"/>
      <c r="G43" s="2839"/>
      <c r="H43" s="2839"/>
      <c r="I43" s="2839"/>
      <c r="J43" s="2839"/>
      <c r="K43" s="1394"/>
      <c r="L43" s="2296"/>
      <c r="M43" s="2297"/>
      <c r="N43" s="2297"/>
      <c r="O43" s="2297"/>
      <c r="P43" s="3675" t="str">
        <f>A43</f>
        <v>估价对象XX用房的比较价值（楼面单价，元/平方米）</v>
      </c>
      <c r="Q43" s="3676"/>
      <c r="R43" s="3677" t="e">
        <f>IF(F1="售价",ROUND(AVERAGE(R42:V42),0),ROUND(AVERAGE(R42:V42),1))</f>
        <v>#DIV/0!</v>
      </c>
      <c r="S43" s="3677"/>
      <c r="T43" s="3677"/>
      <c r="U43" s="3677"/>
      <c r="V43" s="3677"/>
      <c r="W43" s="3677"/>
      <c r="X43" s="1364"/>
      <c r="Y43" s="1364"/>
      <c r="Z43" s="1364"/>
      <c r="AA43" s="1364"/>
      <c r="AB43" s="1364"/>
      <c r="AC43" s="1364"/>
    </row>
    <row r="44" spans="1:29">
      <c r="A44" s="2297"/>
      <c r="B44" s="2297"/>
      <c r="C44" s="2297"/>
      <c r="D44" s="2297"/>
      <c r="E44" s="2297"/>
      <c r="F44" s="2297"/>
      <c r="G44" s="2306"/>
      <c r="H44" s="2297"/>
      <c r="I44" s="2297"/>
      <c r="J44" s="2297"/>
      <c r="K44" s="2298"/>
      <c r="L44" s="2299"/>
      <c r="M44" s="2297"/>
      <c r="N44" s="2297"/>
      <c r="O44" s="2297"/>
    </row>
    <row r="45" spans="1:29">
      <c r="A45" s="2297"/>
      <c r="B45" s="2297"/>
      <c r="C45" s="2297"/>
      <c r="D45" s="2297"/>
      <c r="E45" s="2297"/>
      <c r="F45" s="2297"/>
      <c r="G45" s="2297"/>
      <c r="H45" s="2297"/>
      <c r="I45" s="2297"/>
      <c r="J45" s="2297"/>
      <c r="K45" s="2298"/>
      <c r="L45" s="2299"/>
      <c r="M45" s="2297"/>
      <c r="N45" s="2297"/>
      <c r="O45" s="2297"/>
    </row>
    <row r="46" spans="1:29" ht="13.5" customHeight="1">
      <c r="A46" s="2297"/>
      <c r="B46" s="2297"/>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8"/>
      <c r="L46" s="2299"/>
      <c r="M46" s="2297"/>
      <c r="N46" s="2297"/>
      <c r="O46" s="2297"/>
    </row>
    <row r="47" spans="1:29" ht="13.5" customHeight="1">
      <c r="A47" s="2297"/>
      <c r="B47" s="2297"/>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8"/>
      <c r="L47" s="2299"/>
      <c r="M47" s="2297"/>
      <c r="N47" s="2297"/>
      <c r="O47" s="2297"/>
    </row>
    <row r="48" spans="1:29" s="119" customFormat="1" ht="13.5" customHeight="1">
      <c r="A48" s="2302"/>
      <c r="B48" s="2302"/>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0"/>
      <c r="L48" s="2301"/>
      <c r="M48" s="2302"/>
      <c r="N48" s="2302"/>
      <c r="O48" s="2302"/>
    </row>
    <row r="49" spans="1:17" s="119" customFormat="1">
      <c r="A49" s="2302"/>
      <c r="B49" s="2307"/>
      <c r="C49" s="2308"/>
      <c r="D49" s="2302"/>
      <c r="E49" s="2302"/>
      <c r="F49" s="2302"/>
      <c r="G49" s="2302"/>
      <c r="H49" s="2302"/>
      <c r="I49" s="2302"/>
      <c r="J49" s="2302"/>
      <c r="K49" s="2300"/>
      <c r="L49" s="2301"/>
      <c r="M49" s="2302"/>
      <c r="N49" s="2302"/>
      <c r="O49" s="2302"/>
    </row>
    <row r="50" spans="1:17">
      <c r="A50" s="2297"/>
      <c r="B50" s="2307"/>
      <c r="C50" s="2308"/>
      <c r="D50" s="2297"/>
      <c r="E50" s="2297"/>
      <c r="F50" s="2297"/>
      <c r="G50" s="2297"/>
      <c r="H50" s="2297"/>
      <c r="I50" s="2297"/>
      <c r="J50" s="2297"/>
      <c r="K50" s="2298"/>
      <c r="L50" s="2299"/>
      <c r="M50" s="2297"/>
      <c r="N50" s="2297"/>
      <c r="O50" s="2297"/>
    </row>
    <row r="51" spans="1:17" ht="21" thickBot="1">
      <c r="A51" s="1371" t="s">
        <v>127</v>
      </c>
      <c r="B51" s="1364"/>
      <c r="C51" s="1372"/>
      <c r="D51" s="1372"/>
      <c r="E51" s="1372"/>
      <c r="F51" s="1373"/>
      <c r="G51" s="1373"/>
      <c r="H51" s="1372"/>
      <c r="I51" s="1372"/>
      <c r="J51" s="1372"/>
      <c r="K51" s="2303"/>
      <c r="L51" s="2304"/>
      <c r="M51" s="2305"/>
      <c r="N51" s="2305"/>
      <c r="O51" s="2305"/>
      <c r="P51" s="120"/>
      <c r="Q51" s="121"/>
    </row>
    <row r="52" spans="1:17" s="850" customFormat="1" ht="15">
      <c r="A52" s="847" t="s">
        <v>2800</v>
      </c>
      <c r="B52" s="848"/>
      <c r="C52" s="3038" t="str">
        <f>YEAR(C7)&amp;"-"&amp;MONTH(C7)</f>
        <v>2017-7</v>
      </c>
      <c r="D52" s="3039">
        <f>EDATE(C52,-1)</f>
        <v>42887</v>
      </c>
      <c r="E52" s="3039">
        <f t="shared" ref="E52:O52" si="16">EDATE(D52,-1)</f>
        <v>42856</v>
      </c>
      <c r="F52" s="3039">
        <f t="shared" si="16"/>
        <v>42826</v>
      </c>
      <c r="G52" s="3039">
        <f t="shared" si="16"/>
        <v>42795</v>
      </c>
      <c r="H52" s="3039">
        <f t="shared" si="16"/>
        <v>42767</v>
      </c>
      <c r="I52" s="3039">
        <f t="shared" si="16"/>
        <v>42736</v>
      </c>
      <c r="J52" s="3039">
        <f t="shared" si="16"/>
        <v>42705</v>
      </c>
      <c r="K52" s="3039">
        <f t="shared" si="16"/>
        <v>42675</v>
      </c>
      <c r="L52" s="3039">
        <f t="shared" si="16"/>
        <v>42644</v>
      </c>
      <c r="M52" s="3039">
        <f t="shared" si="16"/>
        <v>42614</v>
      </c>
      <c r="N52" s="3039">
        <f t="shared" si="16"/>
        <v>42583</v>
      </c>
      <c r="O52" s="3039">
        <f t="shared" si="16"/>
        <v>42552</v>
      </c>
      <c r="P52" s="849"/>
    </row>
    <row r="53" spans="1:17" s="40" customFormat="1" ht="14.25">
      <c r="A53" s="1044"/>
      <c r="B53" s="1045"/>
      <c r="C53" s="3036">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1009</v>
      </c>
      <c r="D59" s="881" t="s">
        <v>1010</v>
      </c>
      <c r="E59" s="881" t="s">
        <v>1011</v>
      </c>
      <c r="F59" s="881" t="s">
        <v>1012</v>
      </c>
      <c r="G59" s="881" t="s">
        <v>1013</v>
      </c>
      <c r="H59" s="881" t="s">
        <v>1014</v>
      </c>
      <c r="I59" s="881" t="s">
        <v>1015</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158</v>
      </c>
      <c r="C70" s="915" t="s">
        <v>1016</v>
      </c>
      <c r="D70" s="915" t="s">
        <v>1017</v>
      </c>
      <c r="E70" s="915" t="s">
        <v>1018</v>
      </c>
      <c r="F70" s="915" t="s">
        <v>1019</v>
      </c>
      <c r="G70" s="915" t="s">
        <v>1020</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1016</v>
      </c>
      <c r="D72" s="920" t="s">
        <v>1017</v>
      </c>
      <c r="E72" s="920" t="s">
        <v>1018</v>
      </c>
      <c r="F72" s="920" t="s">
        <v>1019</v>
      </c>
      <c r="G72" s="920" t="s">
        <v>1020</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2642</v>
      </c>
      <c r="C74" s="920" t="s">
        <v>1016</v>
      </c>
      <c r="D74" s="920" t="s">
        <v>1017</v>
      </c>
      <c r="E74" s="920" t="s">
        <v>1018</v>
      </c>
      <c r="F74" s="920" t="s">
        <v>1019</v>
      </c>
      <c r="G74" s="920" t="s">
        <v>1020</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2670</v>
      </c>
      <c r="C76" s="213" t="s">
        <v>2662</v>
      </c>
      <c r="D76" s="213" t="s">
        <v>2663</v>
      </c>
      <c r="E76" s="213" t="s">
        <v>2664</v>
      </c>
      <c r="F76" s="213" t="s">
        <v>2665</v>
      </c>
      <c r="G76" s="213" t="s">
        <v>2666</v>
      </c>
      <c r="H76" s="881"/>
      <c r="I76" s="881"/>
      <c r="J76" s="881"/>
      <c r="K76" s="881"/>
      <c r="L76" s="881"/>
      <c r="M76" s="2758"/>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1016</v>
      </c>
      <c r="D78" s="920" t="s">
        <v>1017</v>
      </c>
      <c r="E78" s="920" t="s">
        <v>1018</v>
      </c>
      <c r="F78" s="920" t="s">
        <v>1019</v>
      </c>
      <c r="G78" s="920" t="s">
        <v>1020</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2644</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1016</v>
      </c>
      <c r="D106" s="920" t="s">
        <v>1017</v>
      </c>
      <c r="E106" s="920" t="s">
        <v>1018</v>
      </c>
      <c r="F106" s="920" t="s">
        <v>1019</v>
      </c>
      <c r="G106" s="920" t="s">
        <v>1020</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7" type="noConversion"/>
  <conditionalFormatting sqref="F46 H46">
    <cfRule type="containsText" dxfId="68" priority="16" stopIfTrue="1" operator="containsText" text="超过">
      <formula>NOT(ISERROR(SEARCH("超过",F46)))</formula>
    </cfRule>
  </conditionalFormatting>
  <conditionalFormatting sqref="H48">
    <cfRule type="containsText" dxfId="67" priority="15" stopIfTrue="1" operator="containsText" text="超过">
      <formula>NOT(ISERROR(SEARCH("超过",H48)))</formula>
    </cfRule>
  </conditionalFormatting>
  <conditionalFormatting sqref="F48">
    <cfRule type="containsText" dxfId="66" priority="14" stopIfTrue="1" operator="containsText" text="超过">
      <formula>NOT(ISERROR(SEARCH("超过",F48)))</formula>
    </cfRule>
  </conditionalFormatting>
  <conditionalFormatting sqref="F47 H47">
    <cfRule type="containsText" dxfId="65" priority="13" stopIfTrue="1" operator="containsText" text="超过">
      <formula>NOT(ISERROR(SEARCH("超过",F47)))</formula>
    </cfRule>
  </conditionalFormatting>
  <conditionalFormatting sqref="E46">
    <cfRule type="expression" dxfId="64" priority="12" stopIfTrue="1">
      <formula>$F$46="超过30%"</formula>
    </cfRule>
  </conditionalFormatting>
  <conditionalFormatting sqref="E47">
    <cfRule type="expression" dxfId="63" priority="11" stopIfTrue="1">
      <formula>$F$47="超过20%"</formula>
    </cfRule>
  </conditionalFormatting>
  <conditionalFormatting sqref="E48">
    <cfRule type="expression" dxfId="62" priority="10" stopIfTrue="1">
      <formula>$F$48="超过30%"</formula>
    </cfRule>
  </conditionalFormatting>
  <conditionalFormatting sqref="G48">
    <cfRule type="expression" dxfId="61" priority="9" stopIfTrue="1">
      <formula>$H$48="超过30%"</formula>
    </cfRule>
  </conditionalFormatting>
  <conditionalFormatting sqref="G46">
    <cfRule type="expression" dxfId="60" priority="8" stopIfTrue="1">
      <formula>$H$46="超过30%"</formula>
    </cfRule>
  </conditionalFormatting>
  <conditionalFormatting sqref="G47">
    <cfRule type="expression" dxfId="59" priority="7" stopIfTrue="1">
      <formula>$H$47="超过20%"</formula>
    </cfRule>
  </conditionalFormatting>
  <conditionalFormatting sqref="J46">
    <cfRule type="containsText" dxfId="58" priority="6" stopIfTrue="1" operator="containsText" text="超过">
      <formula>NOT(ISERROR(SEARCH("超过",J46)))</formula>
    </cfRule>
  </conditionalFormatting>
  <conditionalFormatting sqref="J48">
    <cfRule type="containsText" dxfId="57" priority="5" stopIfTrue="1" operator="containsText" text="超过">
      <formula>NOT(ISERROR(SEARCH("超过",J48)))</formula>
    </cfRule>
  </conditionalFormatting>
  <conditionalFormatting sqref="J47">
    <cfRule type="containsText" dxfId="56" priority="4" stopIfTrue="1" operator="containsText" text="超过">
      <formula>NOT(ISERROR(SEARCH("超过",J47)))</formula>
    </cfRule>
  </conditionalFormatting>
  <conditionalFormatting sqref="I46">
    <cfRule type="expression" dxfId="55" priority="3" stopIfTrue="1">
      <formula>$J$46="超过30%"</formula>
    </cfRule>
  </conditionalFormatting>
  <conditionalFormatting sqref="I47">
    <cfRule type="expression" dxfId="54" priority="2" stopIfTrue="1">
      <formula>$J$47="超过20%"</formula>
    </cfRule>
  </conditionalFormatting>
  <conditionalFormatting sqref="I48">
    <cfRule type="expression" dxfId="5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C5" sqref="C5:J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1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8" customFormat="1" ht="28.5" customHeight="1" thickBot="1">
      <c r="A1" s="3117" t="s">
        <v>386</v>
      </c>
      <c r="B1" s="3118"/>
      <c r="C1" s="3119" t="s">
        <v>442</v>
      </c>
      <c r="D1" s="3120"/>
      <c r="E1" s="3121"/>
      <c r="F1" s="3102"/>
      <c r="G1" s="3122" t="s">
        <v>443</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40" customFormat="1" ht="28.5" customHeight="1" thickTop="1">
      <c r="A2" s="3116" t="s">
        <v>444</v>
      </c>
      <c r="B2" s="2840" t="e">
        <f ca="1">IF(C2="——",IF(B37="元/平方米",ROUND(C39*D3/10000,0),ROUND(F3*C39/10000,0)),IF(B37="元/平方米",ROUND(C39*D3/10000,0),ROUND(F3*C39/10000,0))-D2)</f>
        <v>#DIV/0!</v>
      </c>
      <c r="C2" s="3094"/>
      <c r="D2" s="2335" t="e">
        <f ca="1">SUMIF(INDIRECT("'"&amp;F2&amp;"'"&amp;"!A:A"),"承租人权益价值",INDIRECT("'"&amp;F2&amp;"'"&amp;"!c:c"))</f>
        <v>#REF!</v>
      </c>
      <c r="E2" s="3095" t="s">
        <v>868</v>
      </c>
      <c r="F2" s="3096"/>
      <c r="G2" s="2336"/>
      <c r="H2" s="2336"/>
      <c r="I2" s="2336"/>
      <c r="J2" s="2336"/>
      <c r="K2" s="2338"/>
      <c r="L2" s="2339"/>
      <c r="M2" s="2340"/>
      <c r="N2" s="2340"/>
      <c r="O2" s="2340"/>
      <c r="P2" s="2841"/>
      <c r="Q2" s="1315"/>
      <c r="R2" s="1315"/>
      <c r="S2" s="1315"/>
      <c r="T2" s="1315"/>
      <c r="U2" s="1315"/>
      <c r="V2" s="1315"/>
      <c r="W2" s="1315"/>
      <c r="X2" s="1315"/>
      <c r="Y2" s="1315"/>
      <c r="Z2" s="1315"/>
      <c r="AA2" s="1315"/>
      <c r="AB2" s="1315"/>
      <c r="AC2" s="1316"/>
    </row>
    <row r="3" spans="1:29" s="740" customFormat="1" ht="28.5" customHeight="1" thickBot="1">
      <c r="A3" s="578" t="s">
        <v>445</v>
      </c>
      <c r="B3" s="951" t="e">
        <f ca="1">IF(AND(C2="——",B37="元/平方米"),C39,ROUND(B2*10000/D3,0))</f>
        <v>#DIV/0!</v>
      </c>
      <c r="C3" s="742" t="s">
        <v>446</v>
      </c>
      <c r="D3" s="741">
        <f>SUMIF('数据-汇总表'!$C19:$C33,D1,'数据-汇总表'!$E19:$E33)</f>
        <v>0</v>
      </c>
      <c r="E3" s="742" t="s">
        <v>2138</v>
      </c>
      <c r="F3" s="741">
        <f>SUMIF('数据-取费表'!A5:A15,D1,'数据-取费表'!AH5:AH15)</f>
        <v>0</v>
      </c>
      <c r="G3" s="2336"/>
      <c r="H3" s="2336"/>
      <c r="I3" s="2336"/>
      <c r="J3" s="2336"/>
      <c r="K3" s="2338"/>
      <c r="L3" s="2339"/>
      <c r="M3" s="2340"/>
      <c r="N3" s="2340"/>
      <c r="O3" s="2340"/>
      <c r="P3" s="2841"/>
      <c r="Q3" s="1315"/>
      <c r="R3" s="1315"/>
      <c r="S3" s="1315"/>
      <c r="T3" s="1315"/>
      <c r="U3" s="1315"/>
      <c r="V3" s="1315"/>
      <c r="W3" s="1315"/>
      <c r="X3" s="1315"/>
      <c r="Y3" s="1315"/>
      <c r="Z3" s="1315"/>
      <c r="AA3" s="1315"/>
      <c r="AB3" s="1408"/>
      <c r="AC3" s="1398"/>
    </row>
    <row r="4" spans="1:29" ht="15">
      <c r="A4" s="743" t="s">
        <v>447</v>
      </c>
      <c r="B4" s="744"/>
      <c r="C4" s="3630" t="s">
        <v>448</v>
      </c>
      <c r="D4" s="3631"/>
      <c r="E4" s="3632" t="s">
        <v>449</v>
      </c>
      <c r="F4" s="3633"/>
      <c r="G4" s="3630" t="s">
        <v>450</v>
      </c>
      <c r="H4" s="3631"/>
      <c r="I4" s="3630" t="s">
        <v>451</v>
      </c>
      <c r="J4" s="3631"/>
      <c r="K4" s="952" t="s">
        <v>452</v>
      </c>
      <c r="L4" s="2341"/>
      <c r="M4" s="2342"/>
      <c r="N4" s="2342"/>
      <c r="O4" s="2342"/>
      <c r="P4" s="3634" t="s">
        <v>453</v>
      </c>
      <c r="Q4" s="3635"/>
      <c r="R4" s="3608" t="s">
        <v>449</v>
      </c>
      <c r="S4" s="3609"/>
      <c r="T4" s="3608" t="s">
        <v>450</v>
      </c>
      <c r="U4" s="3609"/>
      <c r="V4" s="3623" t="s">
        <v>451</v>
      </c>
      <c r="W4" s="3623"/>
      <c r="X4" s="2826"/>
      <c r="Y4" s="3608" t="s">
        <v>453</v>
      </c>
      <c r="Z4" s="3609"/>
      <c r="AA4" s="3627" t="s">
        <v>449</v>
      </c>
      <c r="AB4" s="3628" t="s">
        <v>450</v>
      </c>
      <c r="AC4" s="3627" t="s">
        <v>451</v>
      </c>
    </row>
    <row r="5" spans="1:29" ht="15">
      <c r="A5" s="746"/>
      <c r="B5" s="747"/>
      <c r="C5" s="3733" t="s">
        <v>3026</v>
      </c>
      <c r="D5" s="3734"/>
      <c r="E5" s="3737" t="s">
        <v>3027</v>
      </c>
      <c r="F5" s="3738"/>
      <c r="G5" s="3733" t="s">
        <v>3028</v>
      </c>
      <c r="H5" s="3734"/>
      <c r="I5" s="3733" t="s">
        <v>3029</v>
      </c>
      <c r="J5" s="3734"/>
      <c r="K5" s="952"/>
      <c r="L5" s="2341"/>
      <c r="M5" s="2342"/>
      <c r="N5" s="2342"/>
      <c r="O5" s="2342"/>
      <c r="P5" s="3636"/>
      <c r="Q5" s="3637"/>
      <c r="R5" s="3610"/>
      <c r="S5" s="3611"/>
      <c r="T5" s="3610"/>
      <c r="U5" s="3611"/>
      <c r="V5" s="3623"/>
      <c r="W5" s="3623"/>
      <c r="X5" s="2826"/>
      <c r="Y5" s="3610"/>
      <c r="Z5" s="3611"/>
      <c r="AA5" s="3628"/>
      <c r="AB5" s="3628"/>
      <c r="AC5" s="3628"/>
    </row>
    <row r="6" spans="1:29" ht="15.75" thickBot="1">
      <c r="A6" s="748"/>
      <c r="B6" s="749"/>
      <c r="C6" s="3731" t="s">
        <v>3030</v>
      </c>
      <c r="D6" s="3732"/>
      <c r="E6" s="3735" t="s">
        <v>3030</v>
      </c>
      <c r="F6" s="3736"/>
      <c r="G6" s="3731" t="s">
        <v>3030</v>
      </c>
      <c r="H6" s="3732"/>
      <c r="I6" s="3731" t="s">
        <v>3030</v>
      </c>
      <c r="J6" s="3732"/>
      <c r="K6" s="952" t="s">
        <v>395</v>
      </c>
      <c r="L6" s="2341"/>
      <c r="M6" s="2342"/>
      <c r="N6" s="2342"/>
      <c r="O6" s="2342"/>
      <c r="P6" s="3638"/>
      <c r="Q6" s="3639"/>
      <c r="R6" s="3610"/>
      <c r="S6" s="3611"/>
      <c r="T6" s="3621"/>
      <c r="U6" s="3622"/>
      <c r="V6" s="3623"/>
      <c r="W6" s="3623"/>
      <c r="X6" s="2826"/>
      <c r="Y6" s="3621"/>
      <c r="Z6" s="3622"/>
      <c r="AA6" s="3629"/>
      <c r="AB6" s="3629"/>
      <c r="AC6" s="3629"/>
    </row>
    <row r="7" spans="1:29" s="406" customFormat="1" ht="15.75" thickBot="1">
      <c r="A7" s="750" t="s">
        <v>396</v>
      </c>
      <c r="B7" s="751"/>
      <c r="C7" s="752">
        <f>'数据-取费表'!B2</f>
        <v>42941</v>
      </c>
      <c r="D7" s="753">
        <v>100</v>
      </c>
      <c r="E7" s="754"/>
      <c r="F7" s="755">
        <f>SUMIF(48:48,YEAR(E7)&amp;"-"&amp;MONTH(E7),49:49)</f>
        <v>0</v>
      </c>
      <c r="G7" s="754"/>
      <c r="H7" s="753">
        <f>SUMIF(48:48,YEAR(G7)&amp;"-"&amp;MONTH(G7),49:49)</f>
        <v>0</v>
      </c>
      <c r="I7" s="754"/>
      <c r="J7" s="753">
        <f>SUMIF(48:48,YEAR(I7)&amp;"-"&amp;MONTH(I7),49:49)</f>
        <v>0</v>
      </c>
      <c r="K7" s="953"/>
      <c r="L7" s="2343"/>
      <c r="M7" s="2344"/>
      <c r="N7" s="2344"/>
      <c r="O7" s="2344"/>
      <c r="P7" s="3606" t="s">
        <v>397</v>
      </c>
      <c r="Q7" s="3616"/>
      <c r="R7" s="1318" t="s">
        <v>65</v>
      </c>
      <c r="S7" s="1319">
        <f t="shared" ref="S7:S14" si="0">F7</f>
        <v>0</v>
      </c>
      <c r="T7" s="1318" t="s">
        <v>65</v>
      </c>
      <c r="U7" s="1319">
        <f t="shared" ref="U7:U14" si="1">H7</f>
        <v>0</v>
      </c>
      <c r="V7" s="1318" t="s">
        <v>65</v>
      </c>
      <c r="W7" s="1319">
        <f t="shared" ref="W7:W14" si="2">J7</f>
        <v>0</v>
      </c>
      <c r="X7" s="1320"/>
      <c r="Y7" s="3606" t="s">
        <v>397</v>
      </c>
      <c r="Z7" s="3607"/>
      <c r="AA7" s="1321" t="e">
        <f>D7/F7</f>
        <v>#DIV/0!</v>
      </c>
      <c r="AB7" s="1321" t="e">
        <f>D7/H7</f>
        <v>#DIV/0!</v>
      </c>
      <c r="AC7" s="1321" t="e">
        <f>D7/J7</f>
        <v>#DIV/0!</v>
      </c>
    </row>
    <row r="8" spans="1:29" s="406" customFormat="1" ht="15.75" thickBot="1">
      <c r="A8" s="750" t="s">
        <v>398</v>
      </c>
      <c r="B8" s="751"/>
      <c r="C8" s="756" t="s">
        <v>415</v>
      </c>
      <c r="D8" s="753">
        <v>100</v>
      </c>
      <c r="E8" s="756"/>
      <c r="F8" s="755">
        <f>SUMIF(51:51,E8,52:52)-SUMIF(51:51,C8,52:52)+100</f>
        <v>0</v>
      </c>
      <c r="G8" s="756"/>
      <c r="H8" s="753">
        <f>SUMIF(51:51,G8,52:52)-SUMIF(51:51,C8,52:52)+100</f>
        <v>0</v>
      </c>
      <c r="I8" s="756"/>
      <c r="J8" s="753">
        <f>SUMIF(51:51,I8,52:52)-SUMIF(51:51,C8,52:52)+100</f>
        <v>0</v>
      </c>
      <c r="K8" s="953"/>
      <c r="L8" s="2343"/>
      <c r="M8" s="2344"/>
      <c r="N8" s="2344"/>
      <c r="O8" s="2344"/>
      <c r="P8" s="3606" t="s">
        <v>433</v>
      </c>
      <c r="Q8" s="3607"/>
      <c r="R8" s="1318" t="s">
        <v>65</v>
      </c>
      <c r="S8" s="1319">
        <f t="shared" si="0"/>
        <v>0</v>
      </c>
      <c r="T8" s="1318" t="s">
        <v>65</v>
      </c>
      <c r="U8" s="1319">
        <f t="shared" si="1"/>
        <v>0</v>
      </c>
      <c r="V8" s="1318" t="s">
        <v>65</v>
      </c>
      <c r="W8" s="1319">
        <f t="shared" si="2"/>
        <v>0</v>
      </c>
      <c r="X8" s="1320"/>
      <c r="Y8" s="3606" t="s">
        <v>433</v>
      </c>
      <c r="Z8" s="3607"/>
      <c r="AA8" s="1321" t="e">
        <f t="shared" ref="AA8:AA36" si="3">D8/F8</f>
        <v>#DIV/0!</v>
      </c>
      <c r="AB8" s="1321" t="e">
        <f t="shared" ref="AB8:AB36" si="4">D8/H8</f>
        <v>#DIV/0!</v>
      </c>
      <c r="AC8" s="1321" t="e">
        <f t="shared" ref="AC8:AC36" si="5">D8/J8</f>
        <v>#DIV/0!</v>
      </c>
    </row>
    <row r="9" spans="1:29" s="406" customFormat="1">
      <c r="A9" s="358" t="s">
        <v>399</v>
      </c>
      <c r="B9" s="982" t="s">
        <v>417</v>
      </c>
      <c r="C9" s="758"/>
      <c r="D9" s="424">
        <v>100</v>
      </c>
      <c r="E9" s="761"/>
      <c r="F9" s="424">
        <f>SUMIF(53:53,E9,54:54)-SUMIF(53:53,C9,54:54)+100</f>
        <v>100</v>
      </c>
      <c r="G9" s="759"/>
      <c r="H9" s="424">
        <f>SUMIF(53:53,G9,54:54)-SUMIF(53:53,C9,54:54)+100</f>
        <v>100</v>
      </c>
      <c r="I9" s="759"/>
      <c r="J9" s="424">
        <f>SUMIF(53:53,I9,54:54)-SUMIF(53:53,C9,54:54)+100</f>
        <v>100</v>
      </c>
      <c r="K9" s="953"/>
      <c r="L9" s="2343"/>
      <c r="M9" s="2344"/>
      <c r="N9" s="2344"/>
      <c r="O9" s="2344"/>
      <c r="P9" s="3642" t="s">
        <v>400</v>
      </c>
      <c r="Q9" s="2825" t="str">
        <f t="shared" ref="Q9:Q14" si="6">B9</f>
        <v>用途</v>
      </c>
      <c r="R9" s="1318" t="s">
        <v>65</v>
      </c>
      <c r="S9" s="1319">
        <f t="shared" si="0"/>
        <v>100</v>
      </c>
      <c r="T9" s="1318" t="s">
        <v>65</v>
      </c>
      <c r="U9" s="1319">
        <f t="shared" si="1"/>
        <v>100</v>
      </c>
      <c r="V9" s="1318" t="s">
        <v>65</v>
      </c>
      <c r="W9" s="1319">
        <f t="shared" si="2"/>
        <v>100</v>
      </c>
      <c r="X9" s="1320"/>
      <c r="Y9" s="3495" t="s">
        <v>401</v>
      </c>
      <c r="Z9" s="344" t="str">
        <f t="shared" ref="Z9:Z14" si="7">Q9</f>
        <v>用途</v>
      </c>
      <c r="AA9" s="1321">
        <f t="shared" si="3"/>
        <v>1</v>
      </c>
      <c r="AB9" s="1321">
        <f t="shared" si="4"/>
        <v>1</v>
      </c>
      <c r="AC9" s="1321">
        <f t="shared" si="5"/>
        <v>1</v>
      </c>
    </row>
    <row r="10" spans="1:29" s="769" customFormat="1" ht="27">
      <c r="A10" s="983"/>
      <c r="B10" s="984" t="s">
        <v>402</v>
      </c>
      <c r="C10" s="765"/>
      <c r="D10" s="425">
        <v>100</v>
      </c>
      <c r="E10" s="765"/>
      <c r="F10" s="425">
        <f>SUMIF(55:55,E10,56:56)-SUMIF(55:55,C10,56:56)+100</f>
        <v>100</v>
      </c>
      <c r="G10" s="766"/>
      <c r="H10" s="425">
        <f>SUMIF(55:55,G10,56:56)-SUMIF(55:55,C10,56:56)+100</f>
        <v>100</v>
      </c>
      <c r="I10" s="765"/>
      <c r="J10" s="425">
        <f>SUMIF(55:55,I10,56:56)-SUMIF(55:55,C10,56:56)+100</f>
        <v>100</v>
      </c>
      <c r="K10" s="954"/>
      <c r="L10" s="2346"/>
      <c r="M10" s="2347"/>
      <c r="N10" s="2347"/>
      <c r="O10" s="2347"/>
      <c r="P10" s="3642"/>
      <c r="Q10" s="2825" t="str">
        <f t="shared" si="6"/>
        <v>土地使用年限（年）</v>
      </c>
      <c r="R10" s="1318" t="s">
        <v>65</v>
      </c>
      <c r="S10" s="1319">
        <f t="shared" si="0"/>
        <v>100</v>
      </c>
      <c r="T10" s="1318" t="s">
        <v>65</v>
      </c>
      <c r="U10" s="1319">
        <f t="shared" si="1"/>
        <v>100</v>
      </c>
      <c r="V10" s="1318" t="s">
        <v>65</v>
      </c>
      <c r="W10" s="1319">
        <f t="shared" si="2"/>
        <v>100</v>
      </c>
      <c r="X10" s="1320"/>
      <c r="Y10" s="3495"/>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49"/>
      <c r="M11" s="2342"/>
      <c r="N11" s="2342"/>
      <c r="O11" s="2342"/>
      <c r="P11" s="3642"/>
      <c r="Q11" s="2825">
        <f t="shared" si="6"/>
        <v>111</v>
      </c>
      <c r="R11" s="1318" t="s">
        <v>65</v>
      </c>
      <c r="S11" s="1319">
        <f t="shared" si="0"/>
        <v>100</v>
      </c>
      <c r="T11" s="1318" t="s">
        <v>65</v>
      </c>
      <c r="U11" s="1319">
        <f t="shared" si="1"/>
        <v>100</v>
      </c>
      <c r="V11" s="1318" t="s">
        <v>65</v>
      </c>
      <c r="W11" s="1319">
        <f t="shared" si="2"/>
        <v>100</v>
      </c>
      <c r="X11" s="1320"/>
      <c r="Y11" s="3495"/>
      <c r="Z11" s="344">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3"/>
      <c r="M12" s="2344"/>
      <c r="N12" s="2344"/>
      <c r="O12" s="2344"/>
      <c r="P12" s="3642"/>
      <c r="Q12" s="2825">
        <f t="shared" si="6"/>
        <v>111</v>
      </c>
      <c r="R12" s="1318" t="s">
        <v>65</v>
      </c>
      <c r="S12" s="1319">
        <f t="shared" si="0"/>
        <v>100</v>
      </c>
      <c r="T12" s="1318" t="s">
        <v>65</v>
      </c>
      <c r="U12" s="1319">
        <f t="shared" si="1"/>
        <v>100</v>
      </c>
      <c r="V12" s="1318" t="s">
        <v>65</v>
      </c>
      <c r="W12" s="1319">
        <f t="shared" si="2"/>
        <v>100</v>
      </c>
      <c r="X12" s="1320"/>
      <c r="Y12" s="3495"/>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1"/>
      <c r="M13" s="2342"/>
      <c r="N13" s="2342"/>
      <c r="O13" s="2342"/>
      <c r="P13" s="3642"/>
      <c r="Q13" s="2825">
        <f t="shared" si="6"/>
        <v>111</v>
      </c>
      <c r="R13" s="1318" t="s">
        <v>65</v>
      </c>
      <c r="S13" s="1319">
        <f t="shared" si="0"/>
        <v>100</v>
      </c>
      <c r="T13" s="1318" t="s">
        <v>65</v>
      </c>
      <c r="U13" s="1319">
        <f t="shared" si="1"/>
        <v>100</v>
      </c>
      <c r="V13" s="1318" t="s">
        <v>65</v>
      </c>
      <c r="W13" s="1319">
        <f t="shared" si="2"/>
        <v>100</v>
      </c>
      <c r="X13" s="1320"/>
      <c r="Y13" s="3495"/>
      <c r="Z13" s="344">
        <f t="shared" si="7"/>
        <v>111</v>
      </c>
      <c r="AA13" s="1321">
        <f t="shared" si="3"/>
        <v>1</v>
      </c>
      <c r="AB13" s="1321">
        <f t="shared" si="4"/>
        <v>1</v>
      </c>
      <c r="AC13" s="1321">
        <f t="shared" si="5"/>
        <v>1</v>
      </c>
    </row>
    <row r="14" spans="1:29" ht="94.5">
      <c r="A14" s="743"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1"/>
      <c r="M14" s="2342"/>
      <c r="N14" s="2342"/>
      <c r="O14" s="2342"/>
      <c r="P14" s="3624" t="s">
        <v>405</v>
      </c>
      <c r="Q14" s="2827" t="str">
        <f t="shared" si="6"/>
        <v>交通便捷度</v>
      </c>
      <c r="R14" s="1323" t="s">
        <v>65</v>
      </c>
      <c r="S14" s="1324">
        <f t="shared" si="0"/>
        <v>100</v>
      </c>
      <c r="T14" s="1323" t="s">
        <v>65</v>
      </c>
      <c r="U14" s="1324">
        <f t="shared" si="1"/>
        <v>100</v>
      </c>
      <c r="V14" s="1323" t="s">
        <v>65</v>
      </c>
      <c r="W14" s="1324">
        <f t="shared" si="2"/>
        <v>100</v>
      </c>
      <c r="X14" s="2826"/>
      <c r="Y14" s="3624" t="s">
        <v>405</v>
      </c>
      <c r="Z14" s="2828"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1"/>
      <c r="M15" s="2342"/>
      <c r="N15" s="2342"/>
      <c r="O15" s="2342"/>
      <c r="P15" s="3625"/>
      <c r="Q15" s="2827"/>
      <c r="R15" s="1323"/>
      <c r="S15" s="1324"/>
      <c r="T15" s="1323"/>
      <c r="U15" s="1324"/>
      <c r="V15" s="1323"/>
      <c r="W15" s="1324"/>
      <c r="X15" s="2826"/>
      <c r="Y15" s="3625"/>
      <c r="Z15" s="2828"/>
      <c r="AA15" s="1326">
        <v>1</v>
      </c>
      <c r="AB15" s="1326">
        <v>1</v>
      </c>
      <c r="AC15" s="1326">
        <v>1</v>
      </c>
    </row>
    <row r="16" spans="1:29" ht="40.5">
      <c r="A16" s="746"/>
      <c r="B16" s="1033" t="s">
        <v>2671</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1"/>
      <c r="M16" s="2342"/>
      <c r="N16" s="2342"/>
      <c r="O16" s="2342"/>
      <c r="P16" s="3625"/>
      <c r="Q16" s="2827" t="str">
        <f>B16</f>
        <v>公共配套设施</v>
      </c>
      <c r="R16" s="1323" t="s">
        <v>65</v>
      </c>
      <c r="S16" s="1324">
        <f>F16</f>
        <v>100</v>
      </c>
      <c r="T16" s="1323" t="s">
        <v>65</v>
      </c>
      <c r="U16" s="1324">
        <f>H16</f>
        <v>100</v>
      </c>
      <c r="V16" s="1323" t="s">
        <v>65</v>
      </c>
      <c r="W16" s="1324">
        <f>J16</f>
        <v>100</v>
      </c>
      <c r="X16" s="2826"/>
      <c r="Y16" s="3625"/>
      <c r="Z16" s="2828"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1"/>
      <c r="M17" s="2342"/>
      <c r="N17" s="2342"/>
      <c r="O17" s="2342"/>
      <c r="P17" s="3625"/>
      <c r="Q17" s="2827"/>
      <c r="R17" s="1323"/>
      <c r="S17" s="1324"/>
      <c r="T17" s="1323"/>
      <c r="U17" s="1324"/>
      <c r="V17" s="1323"/>
      <c r="W17" s="1324"/>
      <c r="X17" s="2826"/>
      <c r="Y17" s="3625"/>
      <c r="Z17" s="2828"/>
      <c r="AA17" s="1326">
        <v>1</v>
      </c>
      <c r="AB17" s="1326">
        <v>1</v>
      </c>
      <c r="AC17" s="1326">
        <v>1</v>
      </c>
    </row>
    <row r="18" spans="1:29" ht="40.5">
      <c r="A18" s="746"/>
      <c r="B18" s="1035" t="s">
        <v>2670</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1"/>
      <c r="M18" s="2342"/>
      <c r="N18" s="2342"/>
      <c r="O18" s="2342"/>
      <c r="P18" s="3625"/>
      <c r="Q18" s="2827" t="str">
        <f>B18</f>
        <v>基础设施水平</v>
      </c>
      <c r="R18" s="1323" t="s">
        <v>65</v>
      </c>
      <c r="S18" s="1324">
        <f>F18</f>
        <v>100</v>
      </c>
      <c r="T18" s="1323" t="s">
        <v>65</v>
      </c>
      <c r="U18" s="1324">
        <f>H18</f>
        <v>100</v>
      </c>
      <c r="V18" s="1323" t="s">
        <v>65</v>
      </c>
      <c r="W18" s="1324">
        <f>J18</f>
        <v>100</v>
      </c>
      <c r="X18" s="2826"/>
      <c r="Y18" s="3625"/>
      <c r="Z18" s="2828"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0"/>
      <c r="L19" s="2351"/>
      <c r="M19" s="2342"/>
      <c r="N19" s="2342"/>
      <c r="O19" s="2342"/>
      <c r="P19" s="3625"/>
      <c r="Q19" s="2827"/>
      <c r="R19" s="1323"/>
      <c r="S19" s="1324"/>
      <c r="T19" s="1323"/>
      <c r="U19" s="1324"/>
      <c r="V19" s="1323"/>
      <c r="W19" s="1324"/>
      <c r="X19" s="2826"/>
      <c r="Y19" s="3625"/>
      <c r="Z19" s="2828"/>
      <c r="AA19" s="1326">
        <v>1</v>
      </c>
      <c r="AB19" s="1326">
        <v>1</v>
      </c>
      <c r="AC19" s="1326">
        <v>1</v>
      </c>
    </row>
    <row r="20" spans="1:29" ht="54">
      <c r="A20" s="746"/>
      <c r="B20" s="973" t="s">
        <v>455</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1"/>
      <c r="M20" s="2342"/>
      <c r="N20" s="2342"/>
      <c r="O20" s="2342"/>
      <c r="P20" s="3625"/>
      <c r="Q20" s="2827" t="str">
        <f>B20</f>
        <v>自然及人文环境</v>
      </c>
      <c r="R20" s="1323" t="s">
        <v>65</v>
      </c>
      <c r="S20" s="1324">
        <f>F20</f>
        <v>100</v>
      </c>
      <c r="T20" s="1323" t="s">
        <v>65</v>
      </c>
      <c r="U20" s="1324">
        <f>H20</f>
        <v>100</v>
      </c>
      <c r="V20" s="1323" t="s">
        <v>65</v>
      </c>
      <c r="W20" s="1324">
        <f>J20</f>
        <v>100</v>
      </c>
      <c r="X20" s="2826"/>
      <c r="Y20" s="3625"/>
      <c r="Z20" s="2828"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1"/>
      <c r="M21" s="2342"/>
      <c r="N21" s="2342"/>
      <c r="O21" s="2342"/>
      <c r="P21" s="3625"/>
      <c r="Q21" s="2827"/>
      <c r="R21" s="1323"/>
      <c r="S21" s="1324"/>
      <c r="T21" s="1323"/>
      <c r="U21" s="1324"/>
      <c r="V21" s="1323"/>
      <c r="W21" s="1324"/>
      <c r="X21" s="2826"/>
      <c r="Y21" s="3625"/>
      <c r="Z21" s="2828"/>
      <c r="AA21" s="1326">
        <v>1</v>
      </c>
      <c r="AB21" s="1326">
        <v>1</v>
      </c>
      <c r="AC21" s="1326">
        <v>1</v>
      </c>
    </row>
    <row r="22" spans="1:29" ht="15">
      <c r="A22" s="746"/>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51"/>
      <c r="M22" s="2342"/>
      <c r="N22" s="2342"/>
      <c r="O22" s="2342"/>
      <c r="P22" s="3625"/>
      <c r="Q22" s="2827" t="str">
        <f>B22</f>
        <v>楼层</v>
      </c>
      <c r="R22" s="1323" t="s">
        <v>65</v>
      </c>
      <c r="S22" s="1324">
        <f>F22</f>
        <v>100</v>
      </c>
      <c r="T22" s="1323" t="s">
        <v>65</v>
      </c>
      <c r="U22" s="1324">
        <f>H22</f>
        <v>100</v>
      </c>
      <c r="V22" s="1323" t="s">
        <v>65</v>
      </c>
      <c r="W22" s="1324">
        <f>J22</f>
        <v>100</v>
      </c>
      <c r="X22" s="2826"/>
      <c r="Y22" s="3625"/>
      <c r="Z22" s="2828"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1"/>
      <c r="M23" s="2342"/>
      <c r="N23" s="2342"/>
      <c r="O23" s="2342"/>
      <c r="P23" s="3625"/>
      <c r="Q23" s="2827">
        <f>B23</f>
        <v>111</v>
      </c>
      <c r="R23" s="1323" t="s">
        <v>65</v>
      </c>
      <c r="S23" s="1324">
        <f>F23</f>
        <v>100</v>
      </c>
      <c r="T23" s="1323" t="s">
        <v>65</v>
      </c>
      <c r="U23" s="1324">
        <f>H23</f>
        <v>100</v>
      </c>
      <c r="V23" s="1323" t="s">
        <v>65</v>
      </c>
      <c r="W23" s="1324">
        <f>J23</f>
        <v>100</v>
      </c>
      <c r="X23" s="2826"/>
      <c r="Y23" s="3625"/>
      <c r="Z23" s="2828">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1"/>
      <c r="M24" s="2342"/>
      <c r="N24" s="2342"/>
      <c r="O24" s="2342"/>
      <c r="P24" s="3625"/>
      <c r="Q24" s="2827">
        <f t="shared" ref="Q24:Q36" si="11">B24</f>
        <v>111</v>
      </c>
      <c r="R24" s="1323" t="s">
        <v>65</v>
      </c>
      <c r="S24" s="1324">
        <f>F24</f>
        <v>100</v>
      </c>
      <c r="T24" s="1323" t="s">
        <v>65</v>
      </c>
      <c r="U24" s="1324">
        <f>H24</f>
        <v>100</v>
      </c>
      <c r="V24" s="1323" t="s">
        <v>65</v>
      </c>
      <c r="W24" s="1324">
        <f>J24</f>
        <v>100</v>
      </c>
      <c r="X24" s="2826"/>
      <c r="Y24" s="3625"/>
      <c r="Z24" s="2828">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3"/>
      <c r="M25" s="2344"/>
      <c r="N25" s="2344"/>
      <c r="O25" s="2344"/>
      <c r="P25" s="3625"/>
      <c r="Q25" s="2825">
        <f t="shared" si="11"/>
        <v>111</v>
      </c>
      <c r="R25" s="1318" t="s">
        <v>65</v>
      </c>
      <c r="S25" s="1319">
        <f>F25</f>
        <v>100</v>
      </c>
      <c r="T25" s="1318" t="s">
        <v>65</v>
      </c>
      <c r="U25" s="1319">
        <f>H25</f>
        <v>100</v>
      </c>
      <c r="V25" s="1318" t="s">
        <v>65</v>
      </c>
      <c r="W25" s="1319">
        <f>J25</f>
        <v>100</v>
      </c>
      <c r="X25" s="1320"/>
      <c r="Y25" s="3625"/>
      <c r="Z25" s="344">
        <f>Q25</f>
        <v>111</v>
      </c>
      <c r="AA25" s="1326">
        <f>D25/F25</f>
        <v>1</v>
      </c>
      <c r="AB25" s="1326">
        <f>D25/H25</f>
        <v>1</v>
      </c>
      <c r="AC25" s="1326">
        <f>D25/J25</f>
        <v>1</v>
      </c>
    </row>
    <row r="26" spans="1:29" ht="15">
      <c r="A26" s="994" t="s">
        <v>406</v>
      </c>
      <c r="B26" s="360" t="s">
        <v>457</v>
      </c>
      <c r="C26" s="2761">
        <f>B1</f>
        <v>0</v>
      </c>
      <c r="D26" s="790">
        <v>100</v>
      </c>
      <c r="E26" s="789"/>
      <c r="F26" s="791">
        <f>SUMIF(79:79,E26,80:80)-SUMIF(79:79,C26,80:80)+100</f>
        <v>100</v>
      </c>
      <c r="G26" s="789"/>
      <c r="H26" s="790">
        <f>SUMIF(79:79,G26,80:80)-SUMIF(79:79,C26,80:80)+100</f>
        <v>100</v>
      </c>
      <c r="I26" s="789"/>
      <c r="J26" s="790">
        <f>SUMIF(79:79,I26,80:80)-SUMIF(79:79,C26,80:80)+100</f>
        <v>100</v>
      </c>
      <c r="K26" s="954"/>
      <c r="L26" s="2351"/>
      <c r="M26" s="2342"/>
      <c r="N26" s="2342"/>
      <c r="O26" s="2342"/>
      <c r="P26" s="3643" t="s">
        <v>407</v>
      </c>
      <c r="Q26" s="2827" t="str">
        <f t="shared" si="11"/>
        <v>配套类型</v>
      </c>
      <c r="R26" s="1323" t="s">
        <v>65</v>
      </c>
      <c r="S26" s="1324">
        <f t="shared" ref="S26:S36" si="12">F26</f>
        <v>100</v>
      </c>
      <c r="T26" s="1323" t="s">
        <v>65</v>
      </c>
      <c r="U26" s="1324">
        <f t="shared" ref="U26:U36" si="13">H26</f>
        <v>100</v>
      </c>
      <c r="V26" s="1323" t="s">
        <v>65</v>
      </c>
      <c r="W26" s="1324">
        <f t="shared" ref="W26:W36" si="14">J26</f>
        <v>100</v>
      </c>
      <c r="X26" s="2826"/>
      <c r="Y26" s="3626" t="s">
        <v>407</v>
      </c>
      <c r="Z26" s="2828" t="str">
        <f t="shared" ref="Z26:Z36" si="15">Q26</f>
        <v>配套类型</v>
      </c>
      <c r="AA26" s="1326">
        <f t="shared" si="3"/>
        <v>1</v>
      </c>
      <c r="AB26" s="1326">
        <f t="shared" si="4"/>
        <v>1</v>
      </c>
      <c r="AC26" s="1326">
        <f t="shared" si="5"/>
        <v>1</v>
      </c>
    </row>
    <row r="27" spans="1:29" s="813" customFormat="1" ht="15">
      <c r="A27" s="995"/>
      <c r="B27" s="996" t="s">
        <v>458</v>
      </c>
      <c r="C27" s="997"/>
      <c r="D27" s="425">
        <v>100</v>
      </c>
      <c r="E27" s="997"/>
      <c r="F27" s="803">
        <f>SUMIF(81:81,E27,82:82)-SUMIF(81:81,C27,82:82)+100</f>
        <v>100</v>
      </c>
      <c r="G27" s="997"/>
      <c r="H27" s="777">
        <f>SUMIF(81:81,G27,82:82)-SUMIF(81:81,C27,82:82)+100</f>
        <v>100</v>
      </c>
      <c r="I27" s="997"/>
      <c r="J27" s="777">
        <f>SUMIF(81:81,I27,82:82)-SUMIF(81:81,C27,82:82)+100</f>
        <v>100</v>
      </c>
      <c r="K27" s="955"/>
      <c r="L27" s="2349"/>
      <c r="M27" s="2352"/>
      <c r="N27" s="2352"/>
      <c r="O27" s="2352"/>
      <c r="P27" s="3626"/>
      <c r="Q27" s="1327" t="str">
        <f t="shared" si="11"/>
        <v>项目停车位配比</v>
      </c>
      <c r="R27" s="1328" t="s">
        <v>65</v>
      </c>
      <c r="S27" s="1329">
        <f t="shared" si="12"/>
        <v>100</v>
      </c>
      <c r="T27" s="1328" t="s">
        <v>65</v>
      </c>
      <c r="U27" s="1329">
        <f t="shared" si="13"/>
        <v>100</v>
      </c>
      <c r="V27" s="1328" t="s">
        <v>65</v>
      </c>
      <c r="W27" s="1329">
        <f t="shared" si="14"/>
        <v>100</v>
      </c>
      <c r="X27" s="1330"/>
      <c r="Y27" s="3626"/>
      <c r="Z27" s="1331" t="str">
        <f t="shared" si="15"/>
        <v>项目停车位配比</v>
      </c>
      <c r="AA27" s="1326">
        <f t="shared" si="3"/>
        <v>1</v>
      </c>
      <c r="AB27" s="1326">
        <f t="shared" si="4"/>
        <v>1</v>
      </c>
      <c r="AC27" s="1326">
        <f t="shared" si="5"/>
        <v>1</v>
      </c>
    </row>
    <row r="28" spans="1:29" ht="15">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51"/>
      <c r="M28" s="2342"/>
      <c r="N28" s="2342"/>
      <c r="O28" s="2342"/>
      <c r="P28" s="3626"/>
      <c r="Q28" s="2827" t="str">
        <f t="shared" si="11"/>
        <v>公共部分装修</v>
      </c>
      <c r="R28" s="1323" t="s">
        <v>65</v>
      </c>
      <c r="S28" s="1324">
        <f t="shared" si="12"/>
        <v>100</v>
      </c>
      <c r="T28" s="1323" t="s">
        <v>65</v>
      </c>
      <c r="U28" s="1324">
        <f t="shared" si="13"/>
        <v>100</v>
      </c>
      <c r="V28" s="1323" t="s">
        <v>65</v>
      </c>
      <c r="W28" s="1324">
        <f t="shared" si="14"/>
        <v>100</v>
      </c>
      <c r="X28" s="2826"/>
      <c r="Y28" s="3626"/>
      <c r="Z28" s="2828" t="str">
        <f t="shared" si="15"/>
        <v>公共部分装修</v>
      </c>
      <c r="AA28" s="1326">
        <f t="shared" si="3"/>
        <v>1</v>
      </c>
      <c r="AB28" s="1326">
        <f t="shared" si="4"/>
        <v>1</v>
      </c>
      <c r="AC28" s="1326">
        <f t="shared" si="5"/>
        <v>1</v>
      </c>
    </row>
    <row r="29" spans="1:29" ht="15">
      <c r="A29" s="998"/>
      <c r="B29" s="996" t="s">
        <v>460</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1"/>
      <c r="M29" s="2342"/>
      <c r="N29" s="2342"/>
      <c r="O29" s="2342"/>
      <c r="P29" s="3626"/>
      <c r="Q29" s="2827" t="str">
        <f t="shared" si="11"/>
        <v>成新率</v>
      </c>
      <c r="R29" s="1323" t="s">
        <v>65</v>
      </c>
      <c r="S29" s="1324" t="e">
        <f t="shared" si="12"/>
        <v>#N/A</v>
      </c>
      <c r="T29" s="1323" t="s">
        <v>65</v>
      </c>
      <c r="U29" s="1324" t="e">
        <f t="shared" si="13"/>
        <v>#N/A</v>
      </c>
      <c r="V29" s="1323" t="s">
        <v>65</v>
      </c>
      <c r="W29" s="1324" t="e">
        <f t="shared" si="14"/>
        <v>#N/A</v>
      </c>
      <c r="X29" s="2826"/>
      <c r="Y29" s="3626"/>
      <c r="Z29" s="2828" t="str">
        <f t="shared" si="15"/>
        <v>成新率</v>
      </c>
      <c r="AA29" s="1326" t="e">
        <f t="shared" si="3"/>
        <v>#N/A</v>
      </c>
      <c r="AB29" s="1326" t="e">
        <f t="shared" si="4"/>
        <v>#N/A</v>
      </c>
      <c r="AC29" s="1326" t="e">
        <f t="shared" si="5"/>
        <v>#N/A</v>
      </c>
    </row>
    <row r="30" spans="1:29" ht="15">
      <c r="A30" s="998"/>
      <c r="B30" s="996" t="s">
        <v>461</v>
      </c>
      <c r="C30" s="999"/>
      <c r="D30" s="777">
        <v>100</v>
      </c>
      <c r="E30" s="999"/>
      <c r="F30" s="803">
        <f>SUMIF(88:88,E30,89:89)-SUMIF(88:88,C30,89:89)+100</f>
        <v>100</v>
      </c>
      <c r="G30" s="999"/>
      <c r="H30" s="777">
        <f>SUMIF(88:88,E30,89:89)-SUMIF(88:88,C30,89:89)+100</f>
        <v>100</v>
      </c>
      <c r="I30" s="999"/>
      <c r="J30" s="777">
        <f>SUMIF(88:88,E30,89:89)-SUMIF(88:88,C30,89:89)+100</f>
        <v>100</v>
      </c>
      <c r="K30" s="954"/>
      <c r="L30" s="2351"/>
      <c r="M30" s="2342"/>
      <c r="N30" s="2342"/>
      <c r="O30" s="2342"/>
      <c r="P30" s="3626"/>
      <c r="Q30" s="2827" t="str">
        <f t="shared" si="11"/>
        <v>物业等级</v>
      </c>
      <c r="R30" s="1323" t="s">
        <v>65</v>
      </c>
      <c r="S30" s="1324">
        <f t="shared" si="12"/>
        <v>100</v>
      </c>
      <c r="T30" s="1323" t="s">
        <v>65</v>
      </c>
      <c r="U30" s="1324">
        <f t="shared" si="13"/>
        <v>100</v>
      </c>
      <c r="V30" s="1323" t="s">
        <v>65</v>
      </c>
      <c r="W30" s="1324">
        <f t="shared" si="14"/>
        <v>100</v>
      </c>
      <c r="X30" s="2826"/>
      <c r="Y30" s="3626"/>
      <c r="Z30" s="2828" t="str">
        <f t="shared" si="15"/>
        <v>物业等级</v>
      </c>
      <c r="AA30" s="1326">
        <f t="shared" si="3"/>
        <v>1</v>
      </c>
      <c r="AB30" s="1326">
        <f t="shared" si="4"/>
        <v>1</v>
      </c>
      <c r="AC30" s="1326">
        <f t="shared" si="5"/>
        <v>1</v>
      </c>
    </row>
    <row r="31" spans="1:29" s="406" customFormat="1" ht="15">
      <c r="A31" s="1000"/>
      <c r="B31" s="996" t="s">
        <v>462</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3"/>
      <c r="M31" s="2344"/>
      <c r="N31" s="2344"/>
      <c r="O31" s="2344"/>
      <c r="P31" s="3626"/>
      <c r="Q31" s="2825" t="str">
        <f t="shared" si="11"/>
        <v>停车位面积</v>
      </c>
      <c r="R31" s="1318" t="s">
        <v>65</v>
      </c>
      <c r="S31" s="1319" t="e">
        <f t="shared" si="12"/>
        <v>#N/A</v>
      </c>
      <c r="T31" s="1318" t="s">
        <v>65</v>
      </c>
      <c r="U31" s="1319" t="e">
        <f t="shared" si="13"/>
        <v>#N/A</v>
      </c>
      <c r="V31" s="1318" t="s">
        <v>65</v>
      </c>
      <c r="W31" s="1319" t="e">
        <f t="shared" si="14"/>
        <v>#N/A</v>
      </c>
      <c r="X31" s="1320"/>
      <c r="Y31" s="3626"/>
      <c r="Z31" s="344" t="str">
        <f t="shared" si="15"/>
        <v>停车位面积</v>
      </c>
      <c r="AA31" s="1321" t="e">
        <f t="shared" si="3"/>
        <v>#N/A</v>
      </c>
      <c r="AB31" s="1321" t="e">
        <f t="shared" si="4"/>
        <v>#N/A</v>
      </c>
      <c r="AC31" s="1321" t="e">
        <f t="shared" si="5"/>
        <v>#N/A</v>
      </c>
    </row>
    <row r="32" spans="1:29" ht="15">
      <c r="A32" s="998"/>
      <c r="B32" s="996" t="s">
        <v>463</v>
      </c>
      <c r="C32" s="802"/>
      <c r="D32" s="777">
        <v>100</v>
      </c>
      <c r="E32" s="802"/>
      <c r="F32" s="803">
        <f>SUMIF(93:93,E32,94:94)-SUMIF(93:93,C32,94:94)+100</f>
        <v>100</v>
      </c>
      <c r="G32" s="802"/>
      <c r="H32" s="777">
        <f>SUMIF(93:93,G32,94:94)-SUMIF(93:93,C32,94:94)+100</f>
        <v>100</v>
      </c>
      <c r="I32" s="802"/>
      <c r="J32" s="777">
        <f>SUMIF(93:93,I32,94:94)-SUMIF(93:93,C32,94:94)+100</f>
        <v>100</v>
      </c>
      <c r="K32" s="954"/>
      <c r="L32" s="2351"/>
      <c r="M32" s="2342"/>
      <c r="N32" s="2342"/>
      <c r="O32" s="2342"/>
      <c r="P32" s="3626" t="s">
        <v>407</v>
      </c>
      <c r="Q32" s="2827" t="str">
        <f t="shared" si="11"/>
        <v>车位类型</v>
      </c>
      <c r="R32" s="1323" t="s">
        <v>65</v>
      </c>
      <c r="S32" s="1324">
        <f t="shared" si="12"/>
        <v>100</v>
      </c>
      <c r="T32" s="1323" t="s">
        <v>65</v>
      </c>
      <c r="U32" s="1324">
        <f t="shared" si="13"/>
        <v>100</v>
      </c>
      <c r="V32" s="1323" t="s">
        <v>65</v>
      </c>
      <c r="W32" s="1324">
        <f t="shared" si="14"/>
        <v>100</v>
      </c>
      <c r="X32" s="2826"/>
      <c r="Y32" s="3626" t="s">
        <v>407</v>
      </c>
      <c r="Z32" s="2828" t="str">
        <f t="shared" si="15"/>
        <v>车位类型</v>
      </c>
      <c r="AA32" s="1326">
        <f t="shared" si="3"/>
        <v>1</v>
      </c>
      <c r="AB32" s="1326">
        <f t="shared" si="4"/>
        <v>1</v>
      </c>
      <c r="AC32" s="1326">
        <f t="shared" si="5"/>
        <v>1</v>
      </c>
    </row>
    <row r="33" spans="1:29" ht="15">
      <c r="A33" s="998"/>
      <c r="B33" s="996" t="s">
        <v>464</v>
      </c>
      <c r="C33" s="802"/>
      <c r="D33" s="777">
        <v>100</v>
      </c>
      <c r="E33" s="802"/>
      <c r="F33" s="803">
        <f>SUMIF(95:95,E33,96:96)-SUMIF(95:95,C33,96:96)+100</f>
        <v>100</v>
      </c>
      <c r="G33" s="802"/>
      <c r="H33" s="777">
        <f>SUMIF(95:95,G33,96:96)-SUMIF(95:95,C33,96:96)+100</f>
        <v>100</v>
      </c>
      <c r="I33" s="802"/>
      <c r="J33" s="777">
        <f>SUMIF(95:95,I33,96:96)-SUMIF(95:95,C33,96:96)+100</f>
        <v>100</v>
      </c>
      <c r="K33" s="954"/>
      <c r="L33" s="2351"/>
      <c r="M33" s="2342"/>
      <c r="N33" s="2342"/>
      <c r="O33" s="2342"/>
      <c r="P33" s="3626"/>
      <c r="Q33" s="2827" t="str">
        <f t="shared" si="11"/>
        <v>是否直接入户</v>
      </c>
      <c r="R33" s="1323" t="s">
        <v>65</v>
      </c>
      <c r="S33" s="1324">
        <f t="shared" si="12"/>
        <v>100</v>
      </c>
      <c r="T33" s="1323" t="s">
        <v>65</v>
      </c>
      <c r="U33" s="1324">
        <f t="shared" si="13"/>
        <v>100</v>
      </c>
      <c r="V33" s="1323" t="s">
        <v>65</v>
      </c>
      <c r="W33" s="1324">
        <f t="shared" si="14"/>
        <v>100</v>
      </c>
      <c r="X33" s="2826"/>
      <c r="Y33" s="3626"/>
      <c r="Z33" s="2828"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1"/>
      <c r="M34" s="2342"/>
      <c r="N34" s="2342"/>
      <c r="O34" s="2342"/>
      <c r="P34" s="3626"/>
      <c r="Q34" s="2827">
        <f t="shared" si="11"/>
        <v>111</v>
      </c>
      <c r="R34" s="1323" t="s">
        <v>65</v>
      </c>
      <c r="S34" s="1324">
        <f t="shared" si="12"/>
        <v>100</v>
      </c>
      <c r="T34" s="1323" t="s">
        <v>65</v>
      </c>
      <c r="U34" s="1324">
        <f t="shared" si="13"/>
        <v>100</v>
      </c>
      <c r="V34" s="1323" t="s">
        <v>65</v>
      </c>
      <c r="W34" s="1324">
        <f t="shared" si="14"/>
        <v>100</v>
      </c>
      <c r="X34" s="2826"/>
      <c r="Y34" s="3626"/>
      <c r="Z34" s="2828">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49"/>
      <c r="M35" s="2352"/>
      <c r="N35" s="2352"/>
      <c r="O35" s="2352"/>
      <c r="P35" s="3626"/>
      <c r="Q35" s="1327">
        <f t="shared" si="11"/>
        <v>111</v>
      </c>
      <c r="R35" s="1328" t="s">
        <v>65</v>
      </c>
      <c r="S35" s="1329">
        <f t="shared" si="12"/>
        <v>100</v>
      </c>
      <c r="T35" s="1328" t="s">
        <v>65</v>
      </c>
      <c r="U35" s="1329">
        <f t="shared" si="13"/>
        <v>100</v>
      </c>
      <c r="V35" s="1328" t="s">
        <v>65</v>
      </c>
      <c r="W35" s="1329">
        <f t="shared" si="14"/>
        <v>100</v>
      </c>
      <c r="X35" s="1330"/>
      <c r="Y35" s="3626"/>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1"/>
      <c r="M36" s="2342"/>
      <c r="N36" s="2342"/>
      <c r="O36" s="2342"/>
      <c r="P36" s="3626"/>
      <c r="Q36" s="2827">
        <f t="shared" si="11"/>
        <v>111</v>
      </c>
      <c r="R36" s="1323" t="s">
        <v>65</v>
      </c>
      <c r="S36" s="1324">
        <f t="shared" si="12"/>
        <v>100</v>
      </c>
      <c r="T36" s="1323" t="s">
        <v>65</v>
      </c>
      <c r="U36" s="1324">
        <f t="shared" si="13"/>
        <v>100</v>
      </c>
      <c r="V36" s="1323" t="s">
        <v>65</v>
      </c>
      <c r="W36" s="1324">
        <f t="shared" si="14"/>
        <v>100</v>
      </c>
      <c r="X36" s="2826"/>
      <c r="Y36" s="3626"/>
      <c r="Z36" s="2828">
        <f t="shared" si="15"/>
        <v>111</v>
      </c>
      <c r="AA36" s="1326">
        <f t="shared" si="3"/>
        <v>1</v>
      </c>
      <c r="AB36" s="1326">
        <f t="shared" si="4"/>
        <v>1</v>
      </c>
      <c r="AC36" s="1326">
        <f t="shared" si="5"/>
        <v>1</v>
      </c>
    </row>
    <row r="37" spans="1:29" ht="15">
      <c r="A37" s="163" t="s">
        <v>2139</v>
      </c>
      <c r="B37" s="2092" t="s">
        <v>2140</v>
      </c>
      <c r="C37" s="2829" t="s">
        <v>23</v>
      </c>
      <c r="D37" s="2830"/>
      <c r="E37" s="2831"/>
      <c r="F37" s="2832"/>
      <c r="G37" s="2833"/>
      <c r="H37" s="2834"/>
      <c r="I37" s="2831"/>
      <c r="J37" s="2834"/>
      <c r="K37" s="961"/>
      <c r="L37" s="2354"/>
      <c r="M37" s="2355"/>
      <c r="N37" s="2342"/>
      <c r="O37" s="2355"/>
      <c r="P37" s="3642" t="str">
        <f>A37</f>
        <v>成交单价</v>
      </c>
      <c r="Q37" s="3642"/>
      <c r="R37" s="3729">
        <f>E37</f>
        <v>0</v>
      </c>
      <c r="S37" s="3729"/>
      <c r="T37" s="3729">
        <f>G37</f>
        <v>0</v>
      </c>
      <c r="U37" s="3729"/>
      <c r="V37" s="3729">
        <f>I37</f>
        <v>0</v>
      </c>
      <c r="W37" s="3729"/>
      <c r="X37" s="1306"/>
      <c r="Y37" s="1332"/>
      <c r="Z37" s="1306"/>
      <c r="AA37" s="1306"/>
      <c r="AB37" s="1306"/>
      <c r="AC37" s="1306"/>
    </row>
    <row r="38" spans="1:29" ht="15.75" thickBot="1">
      <c r="A38" s="828" t="s">
        <v>409</v>
      </c>
      <c r="B38" s="166" t="str">
        <f>B37</f>
        <v>元/车位</v>
      </c>
      <c r="C38" s="2835" t="e">
        <f>R39</f>
        <v>#DIV/0!</v>
      </c>
      <c r="D38" s="2836"/>
      <c r="E38" s="2837" t="e">
        <f>R38</f>
        <v>#DIV/0!</v>
      </c>
      <c r="F38" s="2837"/>
      <c r="G38" s="2835" t="e">
        <f>T38</f>
        <v>#DIV/0!</v>
      </c>
      <c r="H38" s="2836"/>
      <c r="I38" s="2837" t="e">
        <f>V38</f>
        <v>#DIV/0!</v>
      </c>
      <c r="J38" s="2836"/>
      <c r="K38" s="962"/>
      <c r="L38" s="2354"/>
      <c r="M38" s="2355"/>
      <c r="N38" s="2355"/>
      <c r="O38" s="2355"/>
      <c r="P38" s="3642" t="str">
        <f>A38</f>
        <v>比较价值（元/平方米）</v>
      </c>
      <c r="Q38" s="3642"/>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1306"/>
      <c r="Y38" s="1306"/>
      <c r="Z38" s="1306"/>
      <c r="AA38" s="1306"/>
      <c r="AB38" s="1306"/>
      <c r="AC38" s="1306"/>
    </row>
    <row r="39" spans="1:29" ht="15.75" thickBot="1">
      <c r="A39" s="834" t="s">
        <v>3031</v>
      </c>
      <c r="B39" s="835"/>
      <c r="C39" s="2839" t="e">
        <f>R39</f>
        <v>#DIV/0!</v>
      </c>
      <c r="D39" s="2839"/>
      <c r="E39" s="2839"/>
      <c r="F39" s="2839"/>
      <c r="G39" s="2839"/>
      <c r="H39" s="2839"/>
      <c r="I39" s="2839"/>
      <c r="J39" s="2839"/>
      <c r="K39" s="963"/>
      <c r="L39" s="2354"/>
      <c r="M39" s="2355"/>
      <c r="N39" s="2355"/>
      <c r="O39" s="2355"/>
      <c r="P39" s="3644" t="str">
        <f>A39</f>
        <v>估价对象XX用房的比较价值（楼面单价，元/平方米）</v>
      </c>
      <c r="Q39" s="3645"/>
      <c r="R39" s="3730" t="e">
        <f>IF(F1="售价",ROUND(AVERAGE(R38:V38),0),ROUND(AVERAGE(R38:V38),1))</f>
        <v>#DIV/0!</v>
      </c>
      <c r="S39" s="3730"/>
      <c r="T39" s="3730"/>
      <c r="U39" s="3730"/>
      <c r="V39" s="3730"/>
      <c r="W39" s="3730"/>
      <c r="X39" s="1306"/>
      <c r="Y39" s="1306"/>
      <c r="Z39" s="1306"/>
      <c r="AA39" s="1306"/>
      <c r="AB39" s="1306"/>
      <c r="AC39" s="1306"/>
    </row>
    <row r="40" spans="1:29">
      <c r="A40" s="2355"/>
      <c r="B40" s="2355"/>
      <c r="C40" s="2355"/>
      <c r="D40" s="2355"/>
      <c r="E40" s="2355"/>
      <c r="F40" s="2355"/>
      <c r="G40" s="2358"/>
      <c r="H40" s="2355"/>
      <c r="I40" s="2355"/>
      <c r="J40" s="2355"/>
      <c r="K40" s="2181"/>
      <c r="L40" s="2182"/>
      <c r="M40" s="2355"/>
      <c r="N40" s="2355"/>
      <c r="O40" s="2355"/>
      <c r="P40" s="2842"/>
      <c r="Q40" s="2355"/>
      <c r="R40" s="2355"/>
      <c r="S40" s="2355"/>
      <c r="T40" s="2355"/>
      <c r="U40" s="2355"/>
      <c r="V40" s="2355"/>
      <c r="W40" s="2355"/>
      <c r="X40" s="2355"/>
      <c r="Y40" s="2355"/>
      <c r="Z40" s="2355"/>
      <c r="AA40" s="2355"/>
      <c r="AB40" s="2355"/>
      <c r="AC40" s="2355"/>
    </row>
    <row r="41" spans="1:29">
      <c r="A41" s="2355"/>
      <c r="B41" s="2355"/>
      <c r="C41" s="2355"/>
      <c r="D41" s="2355"/>
      <c r="E41" s="2355"/>
      <c r="F41" s="2355"/>
      <c r="G41" s="2355"/>
      <c r="H41" s="2355"/>
      <c r="I41" s="2355"/>
      <c r="J41" s="2355"/>
      <c r="K41" s="2181"/>
      <c r="L41" s="2182"/>
      <c r="M41" s="2355"/>
      <c r="N41" s="2355"/>
      <c r="O41" s="2355"/>
      <c r="P41" s="2842"/>
      <c r="Q41" s="2355"/>
      <c r="R41" s="2355"/>
      <c r="S41" s="2355"/>
      <c r="T41" s="2355"/>
      <c r="U41" s="2355"/>
      <c r="V41" s="2355"/>
      <c r="W41" s="2355"/>
      <c r="X41" s="2355"/>
      <c r="Y41" s="2355"/>
      <c r="Z41" s="2355"/>
      <c r="AA41" s="2355"/>
      <c r="AB41" s="2355"/>
      <c r="AC41" s="2355"/>
    </row>
    <row r="42" spans="1:29" ht="13.5" customHeight="1">
      <c r="A42" s="2355"/>
      <c r="B42" s="2355"/>
      <c r="C42" s="839" t="s">
        <v>410</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1"/>
      <c r="L42" s="2182"/>
      <c r="M42" s="2355"/>
      <c r="N42" s="2355"/>
      <c r="O42" s="2355"/>
      <c r="P42" s="2842"/>
      <c r="Q42" s="2355"/>
      <c r="R42" s="2355"/>
      <c r="S42" s="2355"/>
      <c r="T42" s="2355"/>
      <c r="U42" s="2355"/>
      <c r="V42" s="2355"/>
      <c r="W42" s="2355"/>
      <c r="X42" s="2355"/>
      <c r="Y42" s="2355"/>
      <c r="Z42" s="2355"/>
      <c r="AA42" s="2355"/>
      <c r="AB42" s="2355"/>
      <c r="AC42" s="2355"/>
    </row>
    <row r="43" spans="1:29" ht="13.5" customHeight="1">
      <c r="A43" s="2355"/>
      <c r="B43" s="2355"/>
      <c r="C43" s="839" t="s">
        <v>411</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1"/>
      <c r="L43" s="2182"/>
      <c r="M43" s="2355"/>
      <c r="N43" s="2355"/>
      <c r="O43" s="2355"/>
      <c r="P43" s="2842"/>
      <c r="Q43" s="2355"/>
      <c r="R43" s="2355"/>
      <c r="S43" s="2355"/>
      <c r="T43" s="2355"/>
      <c r="U43" s="2355"/>
      <c r="V43" s="2355"/>
      <c r="W43" s="2355"/>
      <c r="X43" s="2355"/>
      <c r="Y43" s="2355"/>
      <c r="Z43" s="2355"/>
      <c r="AA43" s="2355"/>
      <c r="AB43" s="2355"/>
      <c r="AC43" s="2355"/>
    </row>
    <row r="44" spans="1:29" s="844" customFormat="1" ht="13.5" customHeight="1">
      <c r="A44" s="2356"/>
      <c r="B44" s="2356"/>
      <c r="C44" s="839" t="s">
        <v>412</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59"/>
      <c r="L44" s="2360"/>
      <c r="M44" s="2356"/>
      <c r="N44" s="2356"/>
      <c r="O44" s="2356"/>
      <c r="P44" s="2843"/>
      <c r="Q44" s="2356"/>
      <c r="R44" s="2356"/>
      <c r="S44" s="2356"/>
      <c r="T44" s="2356"/>
      <c r="U44" s="2356"/>
      <c r="V44" s="2356"/>
      <c r="W44" s="2356"/>
      <c r="X44" s="2356"/>
      <c r="Y44" s="2356"/>
      <c r="Z44" s="2356"/>
      <c r="AA44" s="2356"/>
      <c r="AB44" s="2356"/>
      <c r="AC44" s="2356"/>
    </row>
    <row r="45" spans="1:29" s="844" customFormat="1">
      <c r="A45" s="2356"/>
      <c r="B45" s="2357"/>
      <c r="C45" s="2361"/>
      <c r="D45" s="2356"/>
      <c r="E45" s="2356"/>
      <c r="F45" s="2356"/>
      <c r="G45" s="2356"/>
      <c r="H45" s="2356"/>
      <c r="I45" s="2356"/>
      <c r="J45" s="2356"/>
      <c r="K45" s="2359"/>
      <c r="L45" s="2360"/>
      <c r="M45" s="2356"/>
      <c r="N45" s="2356"/>
      <c r="O45" s="2356"/>
      <c r="P45" s="2843"/>
      <c r="Q45" s="2356"/>
      <c r="R45" s="2356"/>
      <c r="S45" s="2356"/>
      <c r="T45" s="2356"/>
      <c r="U45" s="2356"/>
      <c r="V45" s="2356"/>
      <c r="W45" s="2356"/>
      <c r="X45" s="2356"/>
      <c r="Y45" s="2356"/>
      <c r="Z45" s="2356"/>
      <c r="AA45" s="2356"/>
      <c r="AB45" s="2356"/>
      <c r="AC45" s="2356"/>
    </row>
    <row r="46" spans="1:29">
      <c r="A46" s="2355"/>
      <c r="B46" s="2357"/>
      <c r="C46" s="2361"/>
      <c r="D46" s="2355"/>
      <c r="E46" s="2355"/>
      <c r="F46" s="2355"/>
      <c r="G46" s="2355"/>
      <c r="H46" s="2355"/>
      <c r="I46" s="2355"/>
      <c r="J46" s="2355"/>
      <c r="K46" s="2181"/>
      <c r="L46" s="2182"/>
      <c r="M46" s="2355"/>
      <c r="N46" s="2355"/>
      <c r="O46" s="2355"/>
      <c r="P46" s="2842"/>
      <c r="Q46" s="2355"/>
      <c r="R46" s="2355"/>
      <c r="S46" s="2355"/>
      <c r="T46" s="2355"/>
      <c r="U46" s="2355"/>
      <c r="V46" s="2355"/>
      <c r="W46" s="2355"/>
      <c r="X46" s="2355"/>
      <c r="Y46" s="2355"/>
      <c r="Z46" s="2355"/>
      <c r="AA46" s="2355"/>
      <c r="AB46" s="2355"/>
      <c r="AC46" s="2355"/>
    </row>
    <row r="47" spans="1:29" ht="21.75" thickBot="1">
      <c r="A47" s="2846" t="s">
        <v>413</v>
      </c>
      <c r="B47" s="2355"/>
      <c r="C47" s="2371"/>
      <c r="D47" s="2371"/>
      <c r="E47" s="2371"/>
      <c r="F47" s="2847"/>
      <c r="G47" s="2847"/>
      <c r="H47" s="2371"/>
      <c r="I47" s="2371"/>
      <c r="J47" s="2371"/>
      <c r="K47" s="2372"/>
      <c r="L47" s="2373"/>
      <c r="M47" s="2371"/>
      <c r="N47" s="2371"/>
      <c r="O47" s="2371"/>
      <c r="P47" s="2844"/>
      <c r="Q47" s="2845"/>
      <c r="R47" s="2355"/>
      <c r="S47" s="2355"/>
      <c r="T47" s="2355"/>
      <c r="U47" s="2355"/>
      <c r="V47" s="2355"/>
      <c r="W47" s="2355"/>
      <c r="X47" s="2355"/>
      <c r="Y47" s="2355"/>
      <c r="Z47" s="2355"/>
      <c r="AA47" s="2355"/>
      <c r="AB47" s="2355"/>
      <c r="AC47" s="2355"/>
    </row>
    <row r="48" spans="1:29" s="850" customFormat="1" ht="15">
      <c r="A48" s="847" t="s">
        <v>2800</v>
      </c>
      <c r="B48" s="848"/>
      <c r="C48" s="3038" t="str">
        <f>YEAR(C7)&amp;"-"&amp;MONTH(C7)</f>
        <v>2017-7</v>
      </c>
      <c r="D48" s="3039">
        <f>EDATE(C48,-1)</f>
        <v>42887</v>
      </c>
      <c r="E48" s="3039">
        <f t="shared" ref="E48:O48" si="16">EDATE(D48,-1)</f>
        <v>42856</v>
      </c>
      <c r="F48" s="3039">
        <f t="shared" si="16"/>
        <v>42826</v>
      </c>
      <c r="G48" s="3039">
        <f t="shared" si="16"/>
        <v>42795</v>
      </c>
      <c r="H48" s="3039">
        <f t="shared" si="16"/>
        <v>42767</v>
      </c>
      <c r="I48" s="3039">
        <f t="shared" si="16"/>
        <v>42736</v>
      </c>
      <c r="J48" s="3039">
        <f t="shared" si="16"/>
        <v>42705</v>
      </c>
      <c r="K48" s="3039">
        <f t="shared" si="16"/>
        <v>42675</v>
      </c>
      <c r="L48" s="3039">
        <f t="shared" si="16"/>
        <v>42644</v>
      </c>
      <c r="M48" s="3039">
        <f t="shared" si="16"/>
        <v>42614</v>
      </c>
      <c r="N48" s="3039">
        <f t="shared" si="16"/>
        <v>42583</v>
      </c>
      <c r="O48" s="3039">
        <f t="shared" si="16"/>
        <v>42552</v>
      </c>
      <c r="P48" s="2860"/>
      <c r="Q48" s="2861"/>
      <c r="R48" s="2861"/>
      <c r="S48" s="2861"/>
      <c r="T48" s="2861"/>
      <c r="U48" s="2861"/>
      <c r="V48" s="2861"/>
      <c r="W48" s="2861"/>
      <c r="X48" s="2861"/>
      <c r="Y48" s="2861"/>
      <c r="Z48" s="2861"/>
      <c r="AA48" s="2861"/>
      <c r="AB48" s="2861"/>
      <c r="AC48" s="2861"/>
    </row>
    <row r="49" spans="1:29" s="406" customFormat="1" ht="15">
      <c r="A49" s="851"/>
      <c r="B49" s="852"/>
      <c r="C49" s="3027">
        <v>100</v>
      </c>
      <c r="D49" s="854"/>
      <c r="E49" s="854"/>
      <c r="F49" s="854"/>
      <c r="G49" s="854"/>
      <c r="H49" s="854"/>
      <c r="I49" s="854"/>
      <c r="J49" s="854"/>
      <c r="K49" s="854"/>
      <c r="L49" s="854"/>
      <c r="M49" s="855"/>
      <c r="N49" s="854"/>
      <c r="O49" s="855"/>
      <c r="P49" s="2850"/>
      <c r="Q49" s="2849"/>
      <c r="R49" s="2849"/>
      <c r="S49" s="2849"/>
      <c r="T49" s="2849"/>
      <c r="U49" s="2849"/>
      <c r="V49" s="2849"/>
      <c r="W49" s="2849"/>
      <c r="X49" s="2849"/>
      <c r="Y49" s="2849"/>
      <c r="Z49" s="2849"/>
      <c r="AA49" s="2849"/>
      <c r="AB49" s="2849"/>
      <c r="AC49" s="2849"/>
    </row>
    <row r="50" spans="1:29" s="406" customFormat="1" ht="15.75" thickBot="1">
      <c r="A50" s="857" t="s">
        <v>414</v>
      </c>
      <c r="B50" s="858"/>
      <c r="C50" s="859"/>
      <c r="D50" s="860"/>
      <c r="E50" s="860"/>
      <c r="F50" s="860"/>
      <c r="G50" s="860"/>
      <c r="H50" s="860"/>
      <c r="I50" s="860"/>
      <c r="J50" s="860"/>
      <c r="K50" s="860"/>
      <c r="L50" s="860"/>
      <c r="M50" s="861"/>
      <c r="N50" s="860"/>
      <c r="O50" s="861"/>
      <c r="P50" s="2850"/>
      <c r="Q50" s="2845"/>
      <c r="R50" s="2849"/>
      <c r="S50" s="2849"/>
      <c r="T50" s="2849"/>
      <c r="U50" s="2849"/>
      <c r="V50" s="2849"/>
      <c r="W50" s="2849"/>
      <c r="X50" s="2849"/>
      <c r="Y50" s="2849"/>
      <c r="Z50" s="2849"/>
      <c r="AA50" s="2849"/>
      <c r="AB50" s="2849"/>
      <c r="AC50" s="2849"/>
    </row>
    <row r="51" spans="1:29" s="406" customFormat="1" ht="15">
      <c r="A51" s="863" t="s">
        <v>398</v>
      </c>
      <c r="B51" s="852"/>
      <c r="C51" s="864" t="s">
        <v>415</v>
      </c>
      <c r="D51" s="865"/>
      <c r="E51" s="865"/>
      <c r="F51" s="865"/>
      <c r="G51" s="865"/>
      <c r="H51" s="865"/>
      <c r="I51" s="865"/>
      <c r="J51" s="865"/>
      <c r="K51" s="865"/>
      <c r="L51" s="866"/>
      <c r="M51" s="867"/>
      <c r="N51" s="2362"/>
      <c r="O51" s="2362"/>
      <c r="P51" s="2848"/>
      <c r="Q51" s="2845"/>
      <c r="R51" s="2849"/>
      <c r="S51" s="2849"/>
      <c r="T51" s="2849"/>
      <c r="U51" s="2849"/>
      <c r="V51" s="2849"/>
      <c r="W51" s="2849"/>
      <c r="X51" s="2849"/>
      <c r="Y51" s="2849"/>
      <c r="Z51" s="2849"/>
      <c r="AA51" s="2849"/>
      <c r="AB51" s="2849"/>
      <c r="AC51" s="2849"/>
    </row>
    <row r="52" spans="1:29" s="406" customFormat="1" ht="15.75" thickBot="1">
      <c r="A52" s="863"/>
      <c r="B52" s="852"/>
      <c r="C52" s="981">
        <v>100</v>
      </c>
      <c r="D52" s="854"/>
      <c r="E52" s="854"/>
      <c r="F52" s="854"/>
      <c r="G52" s="854"/>
      <c r="H52" s="854"/>
      <c r="I52" s="854"/>
      <c r="J52" s="854"/>
      <c r="K52" s="854"/>
      <c r="L52" s="854"/>
      <c r="M52" s="856"/>
      <c r="N52" s="2362"/>
      <c r="O52" s="2362"/>
      <c r="P52" s="2850"/>
      <c r="Q52" s="2845"/>
      <c r="R52" s="2849"/>
      <c r="S52" s="2849"/>
      <c r="T52" s="2849"/>
      <c r="U52" s="2849"/>
      <c r="V52" s="2849"/>
      <c r="W52" s="2849"/>
      <c r="X52" s="2849"/>
      <c r="Y52" s="2849"/>
      <c r="Z52" s="2849"/>
      <c r="AA52" s="2849"/>
      <c r="AB52" s="2849"/>
      <c r="AC52" s="2849"/>
    </row>
    <row r="53" spans="1:29">
      <c r="A53" s="869" t="s">
        <v>416</v>
      </c>
      <c r="B53" s="870" t="s">
        <v>417</v>
      </c>
      <c r="C53" s="871">
        <f>C9</f>
        <v>0</v>
      </c>
      <c r="D53" s="872"/>
      <c r="E53" s="872"/>
      <c r="F53" s="872"/>
      <c r="G53" s="872"/>
      <c r="H53" s="872"/>
      <c r="I53" s="872"/>
      <c r="J53" s="872"/>
      <c r="K53" s="873"/>
      <c r="L53" s="874"/>
      <c r="M53" s="875"/>
      <c r="N53" s="2363"/>
      <c r="O53" s="2363"/>
      <c r="P53" s="2851"/>
      <c r="Q53" s="2845"/>
      <c r="R53" s="2355"/>
      <c r="S53" s="2355"/>
      <c r="T53" s="2355"/>
      <c r="U53" s="2355"/>
      <c r="V53" s="2355"/>
      <c r="W53" s="2355"/>
      <c r="X53" s="2355"/>
      <c r="Y53" s="2355"/>
      <c r="Z53" s="2355"/>
      <c r="AA53" s="2355"/>
      <c r="AB53" s="2355"/>
      <c r="AC53" s="2355"/>
    </row>
    <row r="54" spans="1:29" ht="15.75" thickBot="1">
      <c r="A54" s="876"/>
      <c r="B54" s="877"/>
      <c r="C54" s="878">
        <v>100</v>
      </c>
      <c r="D54" s="878"/>
      <c r="E54" s="878"/>
      <c r="F54" s="878"/>
      <c r="G54" s="878"/>
      <c r="H54" s="878"/>
      <c r="I54" s="878"/>
      <c r="J54" s="878"/>
      <c r="K54" s="878"/>
      <c r="L54" s="878"/>
      <c r="M54" s="879"/>
      <c r="N54" s="2364"/>
      <c r="O54" s="2364"/>
      <c r="P54" s="2851"/>
      <c r="Q54" s="2845"/>
      <c r="R54" s="2355"/>
      <c r="S54" s="2355"/>
      <c r="T54" s="2355"/>
      <c r="U54" s="2355"/>
      <c r="V54" s="2355"/>
      <c r="W54" s="2355"/>
      <c r="X54" s="2355"/>
      <c r="Y54" s="2355"/>
      <c r="Z54" s="2355"/>
      <c r="AA54" s="2355"/>
      <c r="AB54" s="2355"/>
      <c r="AC54" s="2355"/>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63"/>
      <c r="O55" s="2363"/>
      <c r="P55" s="2851"/>
      <c r="Q55" s="2845"/>
      <c r="R55" s="2355"/>
      <c r="S55" s="2355"/>
      <c r="T55" s="2355"/>
      <c r="U55" s="2355"/>
      <c r="V55" s="2355"/>
      <c r="W55" s="2355"/>
      <c r="X55" s="2355"/>
      <c r="Y55" s="2355"/>
      <c r="Z55" s="2355"/>
      <c r="AA55" s="2355"/>
      <c r="AB55" s="2355"/>
      <c r="AC55" s="2355"/>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64"/>
      <c r="O56" s="2364"/>
      <c r="P56" s="2851"/>
      <c r="Q56" s="2845"/>
      <c r="R56" s="2355"/>
      <c r="S56" s="2355"/>
      <c r="T56" s="2355"/>
      <c r="U56" s="2355"/>
      <c r="V56" s="2355"/>
      <c r="W56" s="2355"/>
      <c r="X56" s="2355"/>
      <c r="Y56" s="2355"/>
      <c r="Z56" s="2355"/>
      <c r="AA56" s="2355"/>
      <c r="AB56" s="2355"/>
      <c r="AC56" s="2355"/>
    </row>
    <row r="57" spans="1:29" ht="15.75" thickTop="1">
      <c r="A57" s="876"/>
      <c r="B57" s="1002">
        <f>B11</f>
        <v>111</v>
      </c>
      <c r="C57" s="891"/>
      <c r="D57" s="891"/>
      <c r="E57" s="891"/>
      <c r="F57" s="891"/>
      <c r="G57" s="891"/>
      <c r="H57" s="891"/>
      <c r="I57" s="891"/>
      <c r="J57" s="891"/>
      <c r="K57" s="892"/>
      <c r="L57" s="893"/>
      <c r="M57" s="894"/>
      <c r="N57" s="2363"/>
      <c r="O57" s="2363"/>
      <c r="P57" s="2851"/>
      <c r="Q57" s="2845"/>
      <c r="R57" s="2355"/>
      <c r="S57" s="2355"/>
      <c r="T57" s="2355"/>
      <c r="U57" s="2355"/>
      <c r="V57" s="2355"/>
      <c r="W57" s="2355"/>
      <c r="X57" s="2355"/>
      <c r="Y57" s="2355"/>
      <c r="Z57" s="2355"/>
      <c r="AA57" s="2355"/>
      <c r="AB57" s="2355"/>
      <c r="AC57" s="2355"/>
    </row>
    <row r="58" spans="1:29" ht="15.75" thickBot="1">
      <c r="A58" s="876"/>
      <c r="B58" s="877"/>
      <c r="C58" s="902"/>
      <c r="D58" s="878"/>
      <c r="E58" s="878"/>
      <c r="F58" s="878"/>
      <c r="G58" s="878"/>
      <c r="H58" s="878"/>
      <c r="I58" s="878"/>
      <c r="J58" s="878"/>
      <c r="K58" s="878"/>
      <c r="L58" s="878"/>
      <c r="M58" s="879"/>
      <c r="N58" s="2364"/>
      <c r="O58" s="2364"/>
      <c r="P58" s="2851"/>
      <c r="Q58" s="2845"/>
      <c r="R58" s="2355"/>
      <c r="S58" s="2355"/>
      <c r="T58" s="2355"/>
      <c r="U58" s="2355"/>
      <c r="V58" s="2355"/>
      <c r="W58" s="2355"/>
      <c r="X58" s="2355"/>
      <c r="Y58" s="2355"/>
      <c r="Z58" s="2355"/>
      <c r="AA58" s="2355"/>
      <c r="AB58" s="2355"/>
      <c r="AC58" s="2355"/>
    </row>
    <row r="59" spans="1:29" s="813" customFormat="1" ht="15.75" thickTop="1">
      <c r="A59" s="895"/>
      <c r="B59" s="880">
        <f>B12</f>
        <v>111</v>
      </c>
      <c r="C59" s="891"/>
      <c r="D59" s="891"/>
      <c r="E59" s="891"/>
      <c r="F59" s="891"/>
      <c r="G59" s="896"/>
      <c r="H59" s="897"/>
      <c r="I59" s="897"/>
      <c r="J59" s="897"/>
      <c r="K59" s="897"/>
      <c r="L59" s="898"/>
      <c r="M59" s="899"/>
      <c r="N59" s="2365"/>
      <c r="O59" s="2365"/>
      <c r="P59" s="2852"/>
      <c r="Q59" s="2853"/>
      <c r="R59" s="2854"/>
      <c r="S59" s="2854"/>
      <c r="T59" s="2854"/>
      <c r="U59" s="2854"/>
      <c r="V59" s="2854"/>
      <c r="W59" s="2854"/>
      <c r="X59" s="2854"/>
      <c r="Y59" s="2854"/>
      <c r="Z59" s="2854"/>
      <c r="AA59" s="2854"/>
      <c r="AB59" s="2854"/>
      <c r="AC59" s="2854"/>
    </row>
    <row r="60" spans="1:29" s="813" customFormat="1" ht="15.75" thickBot="1">
      <c r="A60" s="895"/>
      <c r="B60" s="885"/>
      <c r="C60" s="902"/>
      <c r="D60" s="878"/>
      <c r="E60" s="878"/>
      <c r="F60" s="878"/>
      <c r="G60" s="878"/>
      <c r="H60" s="878"/>
      <c r="I60" s="878"/>
      <c r="J60" s="878"/>
      <c r="K60" s="878"/>
      <c r="L60" s="878"/>
      <c r="M60" s="879"/>
      <c r="N60" s="2364"/>
      <c r="O60" s="2364"/>
      <c r="P60" s="2852"/>
      <c r="Q60" s="2853"/>
      <c r="R60" s="2854"/>
      <c r="S60" s="2854"/>
      <c r="T60" s="2854"/>
      <c r="U60" s="2854"/>
      <c r="V60" s="2854"/>
      <c r="W60" s="2854"/>
      <c r="X60" s="2854"/>
      <c r="Y60" s="2854"/>
      <c r="Z60" s="2854"/>
      <c r="AA60" s="2854"/>
      <c r="AB60" s="2854"/>
      <c r="AC60" s="2854"/>
    </row>
    <row r="61" spans="1:29" s="813" customFormat="1" ht="15.75" thickTop="1">
      <c r="A61" s="895"/>
      <c r="B61" s="880">
        <f>B13</f>
        <v>111</v>
      </c>
      <c r="C61" s="896"/>
      <c r="D61" s="896"/>
      <c r="E61" s="896"/>
      <c r="F61" s="896"/>
      <c r="G61" s="896"/>
      <c r="H61" s="897"/>
      <c r="I61" s="897"/>
      <c r="J61" s="897"/>
      <c r="K61" s="897"/>
      <c r="L61" s="898"/>
      <c r="M61" s="899"/>
      <c r="N61" s="2365"/>
      <c r="O61" s="2365"/>
      <c r="P61" s="2855"/>
      <c r="Q61" s="2856"/>
      <c r="R61" s="2854"/>
      <c r="S61" s="2854"/>
      <c r="T61" s="2854"/>
      <c r="U61" s="2854"/>
      <c r="V61" s="2854"/>
      <c r="W61" s="2854"/>
      <c r="X61" s="2854"/>
      <c r="Y61" s="2854"/>
      <c r="Z61" s="2854"/>
      <c r="AA61" s="2854"/>
      <c r="AB61" s="2854"/>
      <c r="AC61" s="2854"/>
    </row>
    <row r="62" spans="1:29" s="813" customFormat="1" ht="15.75" thickBot="1">
      <c r="A62" s="895"/>
      <c r="B62" s="885"/>
      <c r="C62" s="902"/>
      <c r="D62" s="902"/>
      <c r="E62" s="902"/>
      <c r="F62" s="902"/>
      <c r="G62" s="902"/>
      <c r="H62" s="904"/>
      <c r="I62" s="904"/>
      <c r="J62" s="904"/>
      <c r="K62" s="904"/>
      <c r="L62" s="904"/>
      <c r="M62" s="905"/>
      <c r="N62" s="2365"/>
      <c r="O62" s="2365"/>
      <c r="P62" s="2852"/>
      <c r="Q62" s="2853"/>
      <c r="R62" s="2854"/>
      <c r="S62" s="2854"/>
      <c r="T62" s="2854"/>
      <c r="U62" s="2854"/>
      <c r="V62" s="2854"/>
      <c r="W62" s="2854"/>
      <c r="X62" s="2854"/>
      <c r="Y62" s="2854"/>
      <c r="Z62" s="2854"/>
      <c r="AA62" s="2854"/>
      <c r="AB62" s="2854"/>
      <c r="AC62" s="2854"/>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63"/>
      <c r="O63" s="2363"/>
      <c r="P63" s="2857"/>
      <c r="Q63" s="2845"/>
      <c r="R63" s="2355"/>
      <c r="S63" s="2355"/>
      <c r="T63" s="2355"/>
      <c r="U63" s="2355"/>
      <c r="V63" s="2355"/>
      <c r="W63" s="2355"/>
      <c r="X63" s="2355"/>
      <c r="Y63" s="2355"/>
      <c r="Z63" s="2355"/>
      <c r="AA63" s="2355"/>
      <c r="AB63" s="2355"/>
      <c r="AC63" s="2355"/>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4"/>
      <c r="O64" s="2364"/>
      <c r="P64" s="2851"/>
      <c r="Q64" s="2845"/>
      <c r="R64" s="2355"/>
      <c r="S64" s="2355"/>
      <c r="T64" s="2355"/>
      <c r="U64" s="2355"/>
      <c r="V64" s="2355"/>
      <c r="W64" s="2355"/>
      <c r="X64" s="2355"/>
      <c r="Y64" s="2355"/>
      <c r="Z64" s="2355"/>
      <c r="AA64" s="2355"/>
      <c r="AB64" s="2355"/>
      <c r="AC64" s="2355"/>
    </row>
    <row r="65" spans="1:29" ht="15.75" thickTop="1">
      <c r="A65" s="876"/>
      <c r="B65" s="1053" t="s">
        <v>2642</v>
      </c>
      <c r="C65" s="920" t="s">
        <v>423</v>
      </c>
      <c r="D65" s="920" t="s">
        <v>424</v>
      </c>
      <c r="E65" s="920" t="s">
        <v>425</v>
      </c>
      <c r="F65" s="920" t="s">
        <v>426</v>
      </c>
      <c r="G65" s="920" t="s">
        <v>427</v>
      </c>
      <c r="H65" s="881"/>
      <c r="I65" s="881"/>
      <c r="J65" s="881"/>
      <c r="K65" s="882"/>
      <c r="L65" s="883"/>
      <c r="M65" s="884"/>
      <c r="N65" s="2363"/>
      <c r="O65" s="2363"/>
      <c r="P65" s="2851"/>
      <c r="Q65" s="2845"/>
      <c r="R65" s="2355"/>
      <c r="S65" s="2355"/>
      <c r="T65" s="2355"/>
      <c r="U65" s="2355"/>
      <c r="V65" s="2355"/>
      <c r="W65" s="2355"/>
      <c r="X65" s="2355"/>
      <c r="Y65" s="2355"/>
      <c r="Z65" s="2355"/>
      <c r="AA65" s="2355"/>
      <c r="AB65" s="2355"/>
      <c r="AC65" s="2355"/>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4"/>
      <c r="O66" s="2364"/>
      <c r="P66" s="2851"/>
      <c r="Q66" s="2845"/>
      <c r="R66" s="2355"/>
      <c r="S66" s="2355"/>
      <c r="T66" s="2355"/>
      <c r="U66" s="2355"/>
      <c r="V66" s="2355"/>
      <c r="W66" s="2355"/>
      <c r="X66" s="2355"/>
      <c r="Y66" s="2355"/>
      <c r="Z66" s="2355"/>
      <c r="AA66" s="2355"/>
      <c r="AB66" s="2355"/>
      <c r="AC66" s="2355"/>
    </row>
    <row r="67" spans="1:29" ht="15.75" thickTop="1">
      <c r="A67" s="876"/>
      <c r="B67" s="1055" t="s">
        <v>2672</v>
      </c>
      <c r="C67" s="213" t="s">
        <v>2662</v>
      </c>
      <c r="D67" s="213" t="s">
        <v>2663</v>
      </c>
      <c r="E67" s="213" t="s">
        <v>2664</v>
      </c>
      <c r="F67" s="213" t="s">
        <v>2665</v>
      </c>
      <c r="G67" s="213" t="s">
        <v>2666</v>
      </c>
      <c r="H67" s="881"/>
      <c r="I67" s="881"/>
      <c r="J67" s="881"/>
      <c r="K67" s="881"/>
      <c r="L67" s="881"/>
      <c r="M67" s="2758"/>
      <c r="N67" s="2364"/>
      <c r="O67" s="2364"/>
      <c r="P67" s="2851"/>
      <c r="Q67" s="2845"/>
      <c r="R67" s="2355"/>
      <c r="S67" s="2355"/>
      <c r="T67" s="2355"/>
      <c r="U67" s="2355"/>
      <c r="V67" s="2355"/>
      <c r="W67" s="2355"/>
      <c r="X67" s="2355"/>
      <c r="Y67" s="2355"/>
      <c r="Z67" s="2355"/>
      <c r="AA67" s="2355"/>
      <c r="AB67" s="2355"/>
      <c r="AC67" s="2355"/>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4"/>
      <c r="O68" s="2364"/>
      <c r="P68" s="2851"/>
      <c r="Q68" s="2845"/>
      <c r="R68" s="2355"/>
      <c r="S68" s="2355"/>
      <c r="T68" s="2355"/>
      <c r="U68" s="2355"/>
      <c r="V68" s="2355"/>
      <c r="W68" s="2355"/>
      <c r="X68" s="2355"/>
      <c r="Y68" s="2355"/>
      <c r="Z68" s="2355"/>
      <c r="AA68" s="2355"/>
      <c r="AB68" s="2355"/>
      <c r="AC68" s="2355"/>
    </row>
    <row r="69" spans="1:29" ht="15.75" thickTop="1">
      <c r="A69" s="876"/>
      <c r="B69" s="880" t="s">
        <v>430</v>
      </c>
      <c r="C69" s="920" t="s">
        <v>423</v>
      </c>
      <c r="D69" s="920" t="s">
        <v>424</v>
      </c>
      <c r="E69" s="920" t="s">
        <v>425</v>
      </c>
      <c r="F69" s="920" t="s">
        <v>426</v>
      </c>
      <c r="G69" s="920" t="s">
        <v>427</v>
      </c>
      <c r="H69" s="881"/>
      <c r="I69" s="881"/>
      <c r="J69" s="881"/>
      <c r="K69" s="882"/>
      <c r="L69" s="883"/>
      <c r="M69" s="884"/>
      <c r="N69" s="2363"/>
      <c r="O69" s="2363"/>
      <c r="P69" s="2851"/>
      <c r="Q69" s="2845"/>
      <c r="R69" s="2355"/>
      <c r="S69" s="2355"/>
      <c r="T69" s="2355"/>
      <c r="U69" s="2355"/>
      <c r="V69" s="2355"/>
      <c r="W69" s="2355"/>
      <c r="X69" s="2355"/>
      <c r="Y69" s="2355"/>
      <c r="Z69" s="2355"/>
      <c r="AA69" s="2355"/>
      <c r="AB69" s="2355"/>
      <c r="AC69" s="2355"/>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4"/>
      <c r="O70" s="2364"/>
      <c r="P70" s="2851"/>
      <c r="Q70" s="2845"/>
      <c r="R70" s="2355"/>
      <c r="S70" s="2355"/>
      <c r="T70" s="2355"/>
      <c r="U70" s="2355"/>
      <c r="V70" s="2355"/>
      <c r="W70" s="2355"/>
      <c r="X70" s="2355"/>
      <c r="Y70" s="2355"/>
      <c r="Z70" s="2355"/>
      <c r="AA70" s="2355"/>
      <c r="AB70" s="2355"/>
      <c r="AC70" s="2355"/>
    </row>
    <row r="71" spans="1:29" ht="15.75" thickTop="1">
      <c r="A71" s="876"/>
      <c r="B71" s="880" t="s">
        <v>431</v>
      </c>
      <c r="C71" s="896"/>
      <c r="D71" s="896"/>
      <c r="E71" s="896"/>
      <c r="F71" s="896"/>
      <c r="G71" s="896"/>
      <c r="H71" s="925"/>
      <c r="I71" s="925"/>
      <c r="J71" s="925"/>
      <c r="K71" s="926"/>
      <c r="L71" s="927"/>
      <c r="M71" s="928"/>
      <c r="N71" s="2363"/>
      <c r="O71" s="2363"/>
      <c r="P71" s="2851"/>
      <c r="Q71" s="2845"/>
      <c r="R71" s="2355"/>
      <c r="S71" s="2355"/>
      <c r="T71" s="2355"/>
      <c r="U71" s="2355"/>
      <c r="V71" s="2355"/>
      <c r="W71" s="2355"/>
      <c r="X71" s="2355"/>
      <c r="Y71" s="2355"/>
      <c r="Z71" s="2355"/>
      <c r="AA71" s="2355"/>
      <c r="AB71" s="2355"/>
      <c r="AC71" s="2355"/>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4"/>
      <c r="O72" s="2364"/>
      <c r="P72" s="2851"/>
      <c r="Q72" s="2845"/>
      <c r="R72" s="2355"/>
      <c r="S72" s="2355"/>
      <c r="T72" s="2355"/>
      <c r="U72" s="2355"/>
      <c r="V72" s="2355"/>
      <c r="W72" s="2355"/>
      <c r="X72" s="2355"/>
      <c r="Y72" s="2355"/>
      <c r="Z72" s="2355"/>
      <c r="AA72" s="2355"/>
      <c r="AB72" s="2355"/>
      <c r="AC72" s="2355"/>
    </row>
    <row r="73" spans="1:29" s="406" customFormat="1" ht="15.75" thickTop="1">
      <c r="A73" s="921"/>
      <c r="B73" s="880">
        <f>B23</f>
        <v>111</v>
      </c>
      <c r="C73" s="891"/>
      <c r="D73" s="891"/>
      <c r="E73" s="891"/>
      <c r="F73" s="891"/>
      <c r="G73" s="896"/>
      <c r="H73" s="896"/>
      <c r="I73" s="896"/>
      <c r="J73" s="896"/>
      <c r="K73" s="896"/>
      <c r="L73" s="922"/>
      <c r="M73" s="923"/>
      <c r="N73" s="2362"/>
      <c r="O73" s="2362"/>
      <c r="P73" s="2851"/>
      <c r="Q73" s="2845"/>
      <c r="R73" s="2849"/>
      <c r="S73" s="2849"/>
      <c r="T73" s="2849"/>
      <c r="U73" s="2849"/>
      <c r="V73" s="2849"/>
      <c r="W73" s="2849"/>
      <c r="X73" s="2849"/>
      <c r="Y73" s="2849"/>
      <c r="Z73" s="2849"/>
      <c r="AA73" s="2849"/>
      <c r="AB73" s="2849"/>
      <c r="AC73" s="2849"/>
    </row>
    <row r="74" spans="1:29" s="406" customFormat="1" ht="15.75" thickBot="1">
      <c r="A74" s="921"/>
      <c r="B74" s="885"/>
      <c r="C74" s="902"/>
      <c r="D74" s="878"/>
      <c r="E74" s="878"/>
      <c r="F74" s="878"/>
      <c r="G74" s="878"/>
      <c r="H74" s="878"/>
      <c r="I74" s="878"/>
      <c r="J74" s="878"/>
      <c r="K74" s="878"/>
      <c r="L74" s="878"/>
      <c r="M74" s="879"/>
      <c r="N74" s="2364"/>
      <c r="O74" s="2364"/>
      <c r="P74" s="2851"/>
      <c r="Q74" s="2845"/>
      <c r="R74" s="2849"/>
      <c r="S74" s="2849"/>
      <c r="T74" s="2849"/>
      <c r="U74" s="2849"/>
      <c r="V74" s="2849"/>
      <c r="W74" s="2849"/>
      <c r="X74" s="2849"/>
      <c r="Y74" s="2849"/>
      <c r="Z74" s="2849"/>
      <c r="AA74" s="2849"/>
      <c r="AB74" s="2849"/>
      <c r="AC74" s="2849"/>
    </row>
    <row r="75" spans="1:29" s="406" customFormat="1" ht="15.75" thickTop="1">
      <c r="A75" s="921"/>
      <c r="B75" s="880">
        <f>B24</f>
        <v>111</v>
      </c>
      <c r="C75" s="891"/>
      <c r="D75" s="891"/>
      <c r="E75" s="891"/>
      <c r="F75" s="891"/>
      <c r="G75" s="896"/>
      <c r="H75" s="896"/>
      <c r="I75" s="896"/>
      <c r="J75" s="896"/>
      <c r="K75" s="896"/>
      <c r="L75" s="896"/>
      <c r="M75" s="923"/>
      <c r="N75" s="2362"/>
      <c r="O75" s="2362"/>
      <c r="P75" s="2851"/>
      <c r="Q75" s="2845"/>
      <c r="R75" s="2849"/>
      <c r="S75" s="2849"/>
      <c r="T75" s="2849"/>
      <c r="U75" s="2849"/>
      <c r="V75" s="2849"/>
      <c r="W75" s="2849"/>
      <c r="X75" s="2849"/>
      <c r="Y75" s="2849"/>
      <c r="Z75" s="2849"/>
      <c r="AA75" s="2849"/>
      <c r="AB75" s="2849"/>
      <c r="AC75" s="2849"/>
    </row>
    <row r="76" spans="1:29" s="406" customFormat="1" ht="15.75" thickBot="1">
      <c r="A76" s="921"/>
      <c r="B76" s="885"/>
      <c r="C76" s="902"/>
      <c r="D76" s="878"/>
      <c r="E76" s="878"/>
      <c r="F76" s="878"/>
      <c r="G76" s="878"/>
      <c r="H76" s="878"/>
      <c r="I76" s="878"/>
      <c r="J76" s="878"/>
      <c r="K76" s="878"/>
      <c r="L76" s="878"/>
      <c r="M76" s="879"/>
      <c r="N76" s="2364"/>
      <c r="O76" s="2364"/>
      <c r="P76" s="2851"/>
      <c r="Q76" s="2845"/>
      <c r="R76" s="2849"/>
      <c r="S76" s="2849"/>
      <c r="T76" s="2849"/>
      <c r="U76" s="2849"/>
      <c r="V76" s="2849"/>
      <c r="W76" s="2849"/>
      <c r="X76" s="2849"/>
      <c r="Y76" s="2849"/>
      <c r="Z76" s="2849"/>
      <c r="AA76" s="2849"/>
      <c r="AB76" s="2849"/>
      <c r="AC76" s="2849"/>
    </row>
    <row r="77" spans="1:29" s="813" customFormat="1" ht="15.75" thickTop="1">
      <c r="A77" s="895"/>
      <c r="B77" s="880">
        <f>B25</f>
        <v>111</v>
      </c>
      <c r="C77" s="896"/>
      <c r="D77" s="896"/>
      <c r="E77" s="896"/>
      <c r="F77" s="896"/>
      <c r="G77" s="896"/>
      <c r="H77" s="897"/>
      <c r="I77" s="897"/>
      <c r="J77" s="897"/>
      <c r="K77" s="897"/>
      <c r="L77" s="898"/>
      <c r="M77" s="899"/>
      <c r="N77" s="2365"/>
      <c r="O77" s="2365"/>
      <c r="P77" s="2852"/>
      <c r="Q77" s="2853"/>
      <c r="R77" s="2854"/>
      <c r="S77" s="2854"/>
      <c r="T77" s="2854"/>
      <c r="U77" s="2854"/>
      <c r="V77" s="2854"/>
      <c r="W77" s="2854"/>
      <c r="X77" s="2854"/>
      <c r="Y77" s="2854"/>
      <c r="Z77" s="2854"/>
      <c r="AA77" s="2854"/>
      <c r="AB77" s="2854"/>
      <c r="AC77" s="2854"/>
    </row>
    <row r="78" spans="1:29" s="813" customFormat="1" ht="15.75" thickBot="1">
      <c r="A78" s="895"/>
      <c r="B78" s="885"/>
      <c r="C78" s="902"/>
      <c r="D78" s="902"/>
      <c r="E78" s="902"/>
      <c r="F78" s="902"/>
      <c r="G78" s="878"/>
      <c r="H78" s="878"/>
      <c r="I78" s="878"/>
      <c r="J78" s="878"/>
      <c r="K78" s="878"/>
      <c r="L78" s="878"/>
      <c r="M78" s="879"/>
      <c r="N78" s="2365"/>
      <c r="O78" s="2365"/>
      <c r="P78" s="2852"/>
      <c r="Q78" s="2853"/>
      <c r="R78" s="2854"/>
      <c r="S78" s="2854"/>
      <c r="T78" s="2854"/>
      <c r="U78" s="2854"/>
      <c r="V78" s="2854"/>
      <c r="W78" s="2854"/>
      <c r="X78" s="2854"/>
      <c r="Y78" s="2854"/>
      <c r="Z78" s="2854"/>
      <c r="AA78" s="2854"/>
      <c r="AB78" s="2854"/>
      <c r="AC78" s="2854"/>
    </row>
    <row r="79" spans="1:29" ht="27.75" thickTop="1">
      <c r="A79" s="869" t="s">
        <v>406</v>
      </c>
      <c r="B79" s="870" t="s">
        <v>465</v>
      </c>
      <c r="C79" s="871">
        <f>C26</f>
        <v>0</v>
      </c>
      <c r="D79" s="872"/>
      <c r="E79" s="872"/>
      <c r="F79" s="872"/>
      <c r="G79" s="872"/>
      <c r="H79" s="872"/>
      <c r="I79" s="872"/>
      <c r="J79" s="872"/>
      <c r="K79" s="873"/>
      <c r="L79" s="874"/>
      <c r="M79" s="875"/>
      <c r="N79" s="2363"/>
      <c r="O79" s="2363"/>
      <c r="P79" s="2851"/>
      <c r="Q79" s="2845"/>
      <c r="R79" s="2355"/>
      <c r="S79" s="2355"/>
      <c r="T79" s="2355"/>
      <c r="U79" s="2355"/>
      <c r="V79" s="2355"/>
      <c r="W79" s="2355"/>
      <c r="X79" s="2355"/>
      <c r="Y79" s="2355"/>
      <c r="Z79" s="2355"/>
      <c r="AA79" s="2355"/>
      <c r="AB79" s="2355"/>
      <c r="AC79" s="2355"/>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4"/>
      <c r="O80" s="2364"/>
      <c r="P80" s="2851"/>
      <c r="Q80" s="2845"/>
      <c r="R80" s="2355"/>
      <c r="S80" s="2355"/>
      <c r="T80" s="2355"/>
      <c r="U80" s="2355"/>
      <c r="V80" s="2355"/>
      <c r="W80" s="2355"/>
      <c r="X80" s="2355"/>
      <c r="Y80" s="2355"/>
      <c r="Z80" s="2355"/>
      <c r="AA80" s="2355"/>
      <c r="AB80" s="2355"/>
      <c r="AC80" s="2355"/>
    </row>
    <row r="81" spans="1:29" ht="15.75" thickTop="1">
      <c r="A81" s="876"/>
      <c r="B81" s="880" t="s">
        <v>466</v>
      </c>
      <c r="C81" s="1003"/>
      <c r="D81" s="1003"/>
      <c r="E81" s="1003"/>
      <c r="F81" s="1003"/>
      <c r="G81" s="1003"/>
      <c r="H81" s="1003"/>
      <c r="I81" s="1003"/>
      <c r="J81" s="1003"/>
      <c r="K81" s="1004"/>
      <c r="L81" s="1005"/>
      <c r="M81" s="1006"/>
      <c r="N81" s="2362"/>
      <c r="O81" s="2362"/>
      <c r="P81" s="2851"/>
      <c r="Q81" s="2845"/>
      <c r="R81" s="2355"/>
      <c r="S81" s="2355"/>
      <c r="T81" s="2355"/>
      <c r="U81" s="2355"/>
      <c r="V81" s="2355"/>
      <c r="W81" s="2355"/>
      <c r="X81" s="2355"/>
      <c r="Y81" s="2355"/>
      <c r="Z81" s="2355"/>
      <c r="AA81" s="2355"/>
      <c r="AB81" s="2355"/>
      <c r="AC81" s="2355"/>
    </row>
    <row r="82" spans="1:29" s="813" customFormat="1" ht="15.75" thickBot="1">
      <c r="A82" s="895"/>
      <c r="B82" s="885"/>
      <c r="C82" s="902"/>
      <c r="D82" s="878"/>
      <c r="E82" s="878"/>
      <c r="F82" s="878"/>
      <c r="G82" s="878"/>
      <c r="H82" s="878"/>
      <c r="I82" s="878"/>
      <c r="J82" s="878"/>
      <c r="K82" s="878"/>
      <c r="L82" s="878"/>
      <c r="M82" s="879"/>
      <c r="N82" s="2364"/>
      <c r="O82" s="2364"/>
      <c r="P82" s="2852"/>
      <c r="Q82" s="2853"/>
      <c r="R82" s="2854"/>
      <c r="S82" s="2854"/>
      <c r="T82" s="2854"/>
      <c r="U82" s="2854"/>
      <c r="V82" s="2854"/>
      <c r="W82" s="2854"/>
      <c r="X82" s="2854"/>
      <c r="Y82" s="2854"/>
      <c r="Z82" s="2854"/>
      <c r="AA82" s="2854"/>
      <c r="AB82" s="2854"/>
      <c r="AC82" s="2854"/>
    </row>
    <row r="83" spans="1:29" ht="15" thickTop="1">
      <c r="A83" s="941"/>
      <c r="B83" s="880" t="s">
        <v>432</v>
      </c>
      <c r="C83" s="896"/>
      <c r="D83" s="896"/>
      <c r="E83" s="925"/>
      <c r="F83" s="925"/>
      <c r="G83" s="925"/>
      <c r="H83" s="925"/>
      <c r="I83" s="925"/>
      <c r="J83" s="925"/>
      <c r="K83" s="926"/>
      <c r="L83" s="927"/>
      <c r="M83" s="928"/>
      <c r="N83" s="2363"/>
      <c r="O83" s="2363"/>
      <c r="P83" s="2851"/>
      <c r="Q83" s="2845"/>
      <c r="R83" s="2355"/>
      <c r="S83" s="2355"/>
      <c r="T83" s="2355"/>
      <c r="U83" s="2355"/>
      <c r="V83" s="2355"/>
      <c r="W83" s="2355"/>
      <c r="X83" s="2355"/>
      <c r="Y83" s="2355"/>
      <c r="Z83" s="2355"/>
      <c r="AA83" s="2355"/>
      <c r="AB83" s="2355"/>
      <c r="AC83" s="2355"/>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4"/>
      <c r="O84" s="2364"/>
      <c r="P84" s="2851"/>
      <c r="Q84" s="2845"/>
      <c r="R84" s="2355"/>
      <c r="S84" s="2355"/>
      <c r="T84" s="2355"/>
      <c r="U84" s="2355"/>
      <c r="V84" s="2355"/>
      <c r="W84" s="2355"/>
      <c r="X84" s="2355"/>
      <c r="Y84" s="2355"/>
      <c r="Z84" s="2355"/>
      <c r="AA84" s="2355"/>
      <c r="AB84" s="2355"/>
      <c r="AC84" s="2355"/>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3"/>
      <c r="O85" s="2363"/>
      <c r="P85" s="2851"/>
      <c r="Q85" s="2845"/>
      <c r="R85" s="2355"/>
      <c r="S85" s="2355"/>
      <c r="T85" s="2355"/>
      <c r="U85" s="2355"/>
      <c r="V85" s="2355"/>
      <c r="W85" s="2355"/>
      <c r="X85" s="2355"/>
      <c r="Y85" s="2355"/>
      <c r="Z85" s="2355"/>
      <c r="AA85" s="2355"/>
      <c r="AB85" s="2355"/>
      <c r="AC85" s="2355"/>
    </row>
    <row r="86" spans="1:29">
      <c r="A86" s="941"/>
      <c r="B86" s="888"/>
      <c r="C86" s="945">
        <v>0.5</v>
      </c>
      <c r="D86" s="945">
        <v>0.6</v>
      </c>
      <c r="E86" s="945">
        <v>0.7</v>
      </c>
      <c r="F86" s="945">
        <v>0.8</v>
      </c>
      <c r="G86" s="945">
        <v>0.9</v>
      </c>
      <c r="H86" s="945">
        <v>1.0001</v>
      </c>
      <c r="I86" s="965"/>
      <c r="J86" s="965"/>
      <c r="K86" s="966"/>
      <c r="L86" s="967"/>
      <c r="M86" s="968"/>
      <c r="N86" s="2363"/>
      <c r="O86" s="2363"/>
      <c r="P86" s="2851"/>
      <c r="Q86" s="2845"/>
      <c r="R86" s="2355"/>
      <c r="S86" s="2355"/>
      <c r="T86" s="2355"/>
      <c r="U86" s="2355"/>
      <c r="V86" s="2355"/>
      <c r="W86" s="2355"/>
      <c r="X86" s="2355"/>
      <c r="Y86" s="2355"/>
      <c r="Z86" s="2355"/>
      <c r="AA86" s="2355"/>
      <c r="AB86" s="2355"/>
      <c r="AC86" s="2355"/>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4"/>
      <c r="O87" s="2364"/>
      <c r="P87" s="2851"/>
      <c r="Q87" s="2845"/>
      <c r="R87" s="2355"/>
      <c r="S87" s="2355"/>
      <c r="T87" s="2355"/>
      <c r="U87" s="2355"/>
      <c r="V87" s="2355"/>
      <c r="W87" s="2355"/>
      <c r="X87" s="2355"/>
      <c r="Y87" s="2355"/>
      <c r="Z87" s="2355"/>
      <c r="AA87" s="2355"/>
      <c r="AB87" s="2355"/>
      <c r="AC87" s="2355"/>
    </row>
    <row r="88" spans="1:29" ht="15" thickTop="1">
      <c r="A88" s="941"/>
      <c r="B88" s="888" t="s">
        <v>468</v>
      </c>
      <c r="C88" s="872"/>
      <c r="D88" s="872"/>
      <c r="E88" s="872"/>
      <c r="F88" s="872"/>
      <c r="G88" s="872"/>
      <c r="H88" s="872"/>
      <c r="I88" s="872"/>
      <c r="J88" s="872"/>
      <c r="K88" s="873"/>
      <c r="L88" s="874"/>
      <c r="M88" s="875"/>
      <c r="N88" s="2363"/>
      <c r="O88" s="2363"/>
      <c r="P88" s="2851"/>
      <c r="Q88" s="2845"/>
      <c r="R88" s="2355"/>
      <c r="S88" s="2355"/>
      <c r="T88" s="2355"/>
      <c r="U88" s="2355"/>
      <c r="V88" s="2355"/>
      <c r="W88" s="2355"/>
      <c r="X88" s="2355"/>
      <c r="Y88" s="2355"/>
      <c r="Z88" s="2355"/>
      <c r="AA88" s="2355"/>
      <c r="AB88" s="2355"/>
      <c r="AC88" s="2355"/>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4"/>
      <c r="O89" s="2364"/>
      <c r="P89" s="2851"/>
      <c r="Q89" s="2845"/>
      <c r="R89" s="2355"/>
      <c r="S89" s="2355"/>
      <c r="T89" s="2355"/>
      <c r="U89" s="2355"/>
      <c r="V89" s="2355"/>
      <c r="W89" s="2355"/>
      <c r="X89" s="2355"/>
      <c r="Y89" s="2355"/>
      <c r="Z89" s="2355"/>
      <c r="AA89" s="2355"/>
      <c r="AB89" s="2355"/>
      <c r="AC89" s="2355"/>
    </row>
    <row r="90" spans="1:29" s="813" customFormat="1" ht="15" thickTop="1">
      <c r="A90" s="935"/>
      <c r="B90" s="880" t="s">
        <v>469</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65"/>
      <c r="O90" s="2365"/>
      <c r="P90" s="2852"/>
      <c r="Q90" s="2853"/>
      <c r="R90" s="2854"/>
      <c r="S90" s="2854"/>
      <c r="T90" s="2854"/>
      <c r="U90" s="2854"/>
      <c r="V90" s="2854"/>
      <c r="W90" s="2854"/>
      <c r="X90" s="2854"/>
      <c r="Y90" s="2854"/>
      <c r="Z90" s="2854"/>
      <c r="AA90" s="2854"/>
      <c r="AB90" s="2854"/>
      <c r="AC90" s="2854"/>
    </row>
    <row r="91" spans="1:29" s="813" customFormat="1">
      <c r="A91" s="935"/>
      <c r="B91" s="888"/>
      <c r="C91" s="937"/>
      <c r="D91" s="937"/>
      <c r="E91" s="937"/>
      <c r="F91" s="937"/>
      <c r="G91" s="937"/>
      <c r="H91" s="937"/>
      <c r="I91" s="937"/>
      <c r="J91" s="938"/>
      <c r="K91" s="938"/>
      <c r="L91" s="939"/>
      <c r="M91" s="940"/>
      <c r="N91" s="2365"/>
      <c r="O91" s="2365"/>
      <c r="P91" s="2852"/>
      <c r="Q91" s="2853"/>
      <c r="R91" s="2854"/>
      <c r="S91" s="2854"/>
      <c r="T91" s="2854"/>
      <c r="U91" s="2854"/>
      <c r="V91" s="2854"/>
      <c r="W91" s="2854"/>
      <c r="X91" s="2854"/>
      <c r="Y91" s="2854"/>
      <c r="Z91" s="2854"/>
      <c r="AA91" s="2854"/>
      <c r="AB91" s="2854"/>
      <c r="AC91" s="2854"/>
    </row>
    <row r="92" spans="1:29" s="813" customFormat="1" ht="15.75" thickBot="1">
      <c r="A92" s="895"/>
      <c r="B92" s="885"/>
      <c r="C92" s="902"/>
      <c r="D92" s="878"/>
      <c r="E92" s="878"/>
      <c r="F92" s="878"/>
      <c r="G92" s="878"/>
      <c r="H92" s="878"/>
      <c r="I92" s="878"/>
      <c r="J92" s="878"/>
      <c r="K92" s="878"/>
      <c r="L92" s="878"/>
      <c r="M92" s="879"/>
      <c r="N92" s="2365"/>
      <c r="O92" s="2365"/>
      <c r="P92" s="2852"/>
      <c r="Q92" s="2853"/>
      <c r="R92" s="2854"/>
      <c r="S92" s="2854"/>
      <c r="T92" s="2854"/>
      <c r="U92" s="2854"/>
      <c r="V92" s="2854"/>
      <c r="W92" s="2854"/>
      <c r="X92" s="2854"/>
      <c r="Y92" s="2854"/>
      <c r="Z92" s="2854"/>
      <c r="AA92" s="2854"/>
      <c r="AB92" s="2854"/>
      <c r="AC92" s="2854"/>
    </row>
    <row r="93" spans="1:29" ht="15" thickTop="1">
      <c r="A93" s="941"/>
      <c r="B93" s="880" t="s">
        <v>470</v>
      </c>
      <c r="C93" s="896"/>
      <c r="D93" s="896"/>
      <c r="E93" s="925"/>
      <c r="F93" s="925"/>
      <c r="G93" s="925"/>
      <c r="H93" s="925"/>
      <c r="I93" s="925"/>
      <c r="J93" s="925"/>
      <c r="K93" s="926"/>
      <c r="L93" s="927"/>
      <c r="M93" s="928"/>
      <c r="N93" s="2363"/>
      <c r="O93" s="2363"/>
      <c r="P93" s="2851"/>
      <c r="Q93" s="2845"/>
      <c r="R93" s="2355"/>
      <c r="S93" s="2355"/>
      <c r="T93" s="2355"/>
      <c r="U93" s="2355"/>
      <c r="V93" s="2355"/>
      <c r="W93" s="2355"/>
      <c r="X93" s="2355"/>
      <c r="Y93" s="2355"/>
      <c r="Z93" s="2355"/>
      <c r="AA93" s="2355"/>
      <c r="AB93" s="2355"/>
      <c r="AC93" s="2355"/>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4"/>
      <c r="O94" s="2364"/>
      <c r="P94" s="2851"/>
      <c r="Q94" s="2845"/>
      <c r="R94" s="2355"/>
      <c r="S94" s="2355"/>
      <c r="T94" s="2355"/>
      <c r="U94" s="2355"/>
      <c r="V94" s="2355"/>
      <c r="W94" s="2355"/>
      <c r="X94" s="2355"/>
      <c r="Y94" s="2355"/>
      <c r="Z94" s="2355"/>
      <c r="AA94" s="2355"/>
      <c r="AB94" s="2355"/>
      <c r="AC94" s="2355"/>
    </row>
    <row r="95" spans="1:29" ht="15" thickTop="1">
      <c r="A95" s="941"/>
      <c r="B95" s="880" t="s">
        <v>471</v>
      </c>
      <c r="C95" s="872"/>
      <c r="D95" s="872"/>
      <c r="E95" s="872"/>
      <c r="F95" s="872"/>
      <c r="G95" s="872"/>
      <c r="H95" s="872"/>
      <c r="I95" s="872"/>
      <c r="J95" s="872"/>
      <c r="K95" s="873"/>
      <c r="L95" s="874"/>
      <c r="M95" s="875"/>
      <c r="N95" s="2363"/>
      <c r="O95" s="2363"/>
      <c r="P95" s="2851"/>
      <c r="Q95" s="2845"/>
      <c r="R95" s="2355"/>
      <c r="S95" s="2355"/>
      <c r="T95" s="2355"/>
      <c r="U95" s="2355"/>
      <c r="V95" s="2355"/>
      <c r="W95" s="2355"/>
      <c r="X95" s="2355"/>
      <c r="Y95" s="2355"/>
      <c r="Z95" s="2355"/>
      <c r="AA95" s="2355"/>
      <c r="AB95" s="2355"/>
      <c r="AC95" s="2355"/>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4"/>
      <c r="O96" s="2364"/>
      <c r="P96" s="2851"/>
      <c r="Q96" s="2845"/>
      <c r="R96" s="2355"/>
      <c r="S96" s="2355"/>
      <c r="T96" s="2355"/>
      <c r="U96" s="2355"/>
      <c r="V96" s="2355"/>
      <c r="W96" s="2355"/>
      <c r="X96" s="2355"/>
      <c r="Y96" s="2355"/>
      <c r="Z96" s="2355"/>
      <c r="AA96" s="2355"/>
      <c r="AB96" s="2355"/>
      <c r="AC96" s="2355"/>
    </row>
    <row r="97" spans="1:29" ht="15" thickTop="1">
      <c r="A97" s="941"/>
      <c r="B97" s="978">
        <f>B34</f>
        <v>111</v>
      </c>
      <c r="C97" s="891"/>
      <c r="D97" s="891"/>
      <c r="E97" s="891"/>
      <c r="F97" s="891"/>
      <c r="G97" s="896"/>
      <c r="H97" s="897"/>
      <c r="I97" s="897"/>
      <c r="J97" s="897"/>
      <c r="K97" s="897"/>
      <c r="L97" s="898"/>
      <c r="M97" s="899"/>
      <c r="N97" s="2364"/>
      <c r="O97" s="2364"/>
      <c r="P97" s="2858"/>
      <c r="Q97" s="2859"/>
      <c r="R97" s="2355"/>
      <c r="S97" s="2355"/>
      <c r="T97" s="2355"/>
      <c r="U97" s="2355"/>
      <c r="V97" s="2355"/>
      <c r="W97" s="2355"/>
      <c r="X97" s="2355"/>
      <c r="Y97" s="2355"/>
      <c r="Z97" s="2355"/>
      <c r="AA97" s="2355"/>
      <c r="AB97" s="2355"/>
      <c r="AC97" s="2355"/>
    </row>
    <row r="98" spans="1:29" ht="15.75" thickBot="1">
      <c r="A98" s="876"/>
      <c r="B98" s="885"/>
      <c r="C98" s="902"/>
      <c r="D98" s="878"/>
      <c r="E98" s="878"/>
      <c r="F98" s="878"/>
      <c r="G98" s="902"/>
      <c r="H98" s="904"/>
      <c r="I98" s="904"/>
      <c r="J98" s="904"/>
      <c r="K98" s="904"/>
      <c r="L98" s="904"/>
      <c r="M98" s="905"/>
      <c r="N98" s="2364"/>
      <c r="O98" s="2364"/>
      <c r="P98" s="2851"/>
      <c r="Q98" s="2845"/>
      <c r="R98" s="2355"/>
      <c r="S98" s="2355"/>
      <c r="T98" s="2355"/>
      <c r="U98" s="2355"/>
      <c r="V98" s="2355"/>
      <c r="W98" s="2355"/>
      <c r="X98" s="2355"/>
      <c r="Y98" s="2355"/>
      <c r="Z98" s="2355"/>
      <c r="AA98" s="2355"/>
      <c r="AB98" s="2355"/>
      <c r="AC98" s="2355"/>
    </row>
    <row r="99" spans="1:29" s="813" customFormat="1" ht="15" thickTop="1">
      <c r="A99" s="935"/>
      <c r="B99" s="880">
        <f>B35</f>
        <v>111</v>
      </c>
      <c r="C99" s="891"/>
      <c r="D99" s="891"/>
      <c r="E99" s="891"/>
      <c r="F99" s="891"/>
      <c r="G99" s="896"/>
      <c r="H99" s="897"/>
      <c r="I99" s="897"/>
      <c r="J99" s="897"/>
      <c r="K99" s="897"/>
      <c r="L99" s="898"/>
      <c r="M99" s="899"/>
      <c r="N99" s="2365"/>
      <c r="O99" s="2365"/>
      <c r="P99" s="2852"/>
      <c r="Q99" s="2853"/>
      <c r="R99" s="2854"/>
      <c r="S99" s="2854"/>
      <c r="T99" s="2854"/>
      <c r="U99" s="2854"/>
      <c r="V99" s="2854"/>
      <c r="W99" s="2854"/>
      <c r="X99" s="2854"/>
      <c r="Y99" s="2854"/>
      <c r="Z99" s="2854"/>
      <c r="AA99" s="2854"/>
      <c r="AB99" s="2854"/>
      <c r="AC99" s="2854"/>
    </row>
    <row r="100" spans="1:29" s="813" customFormat="1" ht="15.75" thickBot="1">
      <c r="A100" s="895"/>
      <c r="B100" s="877"/>
      <c r="C100" s="902"/>
      <c r="D100" s="878"/>
      <c r="E100" s="878"/>
      <c r="F100" s="878"/>
      <c r="G100" s="902"/>
      <c r="H100" s="904"/>
      <c r="I100" s="904"/>
      <c r="J100" s="904"/>
      <c r="K100" s="904"/>
      <c r="L100" s="904"/>
      <c r="M100" s="905"/>
      <c r="N100" s="2365"/>
      <c r="O100" s="2365"/>
      <c r="P100" s="2852"/>
      <c r="Q100" s="2853"/>
      <c r="R100" s="2854"/>
      <c r="S100" s="2854"/>
      <c r="T100" s="2854"/>
      <c r="U100" s="2854"/>
      <c r="V100" s="2854"/>
      <c r="W100" s="2854"/>
      <c r="X100" s="2854"/>
      <c r="Y100" s="2854"/>
      <c r="Z100" s="2854"/>
      <c r="AA100" s="2854"/>
      <c r="AB100" s="2854"/>
      <c r="AC100" s="2854"/>
    </row>
    <row r="101" spans="1:29" ht="15" thickTop="1">
      <c r="A101" s="941"/>
      <c r="B101" s="880">
        <f>B36</f>
        <v>111</v>
      </c>
      <c r="C101" s="896"/>
      <c r="D101" s="896"/>
      <c r="E101" s="896"/>
      <c r="F101" s="896"/>
      <c r="G101" s="896"/>
      <c r="H101" s="897"/>
      <c r="I101" s="897"/>
      <c r="J101" s="897"/>
      <c r="K101" s="897"/>
      <c r="L101" s="898"/>
      <c r="M101" s="899"/>
      <c r="N101" s="2363"/>
      <c r="O101" s="2363"/>
      <c r="P101" s="2851"/>
      <c r="Q101" s="2845"/>
      <c r="R101" s="2355"/>
      <c r="S101" s="2355"/>
      <c r="T101" s="2355"/>
      <c r="U101" s="2355"/>
      <c r="V101" s="2355"/>
      <c r="W101" s="2355"/>
      <c r="X101" s="2355"/>
      <c r="Y101" s="2355"/>
      <c r="Z101" s="2355"/>
      <c r="AA101" s="2355"/>
      <c r="AB101" s="2355"/>
      <c r="AC101" s="2355"/>
    </row>
    <row r="102" spans="1:29" ht="15.75" thickBot="1">
      <c r="A102" s="876"/>
      <c r="B102" s="885"/>
      <c r="C102" s="902"/>
      <c r="D102" s="902"/>
      <c r="E102" s="902"/>
      <c r="F102" s="902"/>
      <c r="G102" s="902"/>
      <c r="H102" s="904"/>
      <c r="I102" s="904"/>
      <c r="J102" s="904"/>
      <c r="K102" s="904"/>
      <c r="L102" s="904"/>
      <c r="M102" s="905"/>
      <c r="N102" s="2364"/>
      <c r="O102" s="2364"/>
      <c r="P102" s="2851"/>
      <c r="Q102" s="2845"/>
      <c r="R102" s="2355"/>
      <c r="S102" s="2355"/>
      <c r="T102" s="2355"/>
      <c r="U102" s="2355"/>
      <c r="V102" s="2355"/>
      <c r="W102" s="2355"/>
      <c r="X102" s="2355"/>
      <c r="Y102" s="2355"/>
      <c r="Z102" s="2355"/>
      <c r="AA102" s="2355"/>
      <c r="AB102" s="2355"/>
      <c r="AC102" s="235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7" type="noConversion"/>
  <conditionalFormatting sqref="F42 H42 J42">
    <cfRule type="containsText" dxfId="52" priority="14" stopIfTrue="1" operator="containsText" text="超过">
      <formula>NOT(ISERROR(SEARCH("超过",F42)))</formula>
    </cfRule>
  </conditionalFormatting>
  <conditionalFormatting sqref="J44">
    <cfRule type="containsText" dxfId="51" priority="13" stopIfTrue="1" operator="containsText" text="超过">
      <formula>NOT(ISERROR(SEARCH("超过",J44)))</formula>
    </cfRule>
  </conditionalFormatting>
  <conditionalFormatting sqref="H44">
    <cfRule type="containsText" dxfId="50" priority="12" stopIfTrue="1" operator="containsText" text="超过">
      <formula>NOT(ISERROR(SEARCH("超过",H44)))</formula>
    </cfRule>
  </conditionalFormatting>
  <conditionalFormatting sqref="F44">
    <cfRule type="containsText" dxfId="49" priority="11" stopIfTrue="1" operator="containsText" text="超过">
      <formula>NOT(ISERROR(SEARCH("超过",F44)))</formula>
    </cfRule>
  </conditionalFormatting>
  <conditionalFormatting sqref="F43 H43 J43">
    <cfRule type="containsText" dxfId="48" priority="10" stopIfTrue="1" operator="containsText" text="超过">
      <formula>NOT(ISERROR(SEARCH("超过",F43)))</formula>
    </cfRule>
  </conditionalFormatting>
  <conditionalFormatting sqref="E42">
    <cfRule type="expression" dxfId="47" priority="9" stopIfTrue="1">
      <formula>$F$42="超过30%"</formula>
    </cfRule>
  </conditionalFormatting>
  <conditionalFormatting sqref="G44">
    <cfRule type="expression" dxfId="46" priority="8" stopIfTrue="1">
      <formula>$H$54+$H$44="超过30%"</formula>
    </cfRule>
  </conditionalFormatting>
  <conditionalFormatting sqref="E43">
    <cfRule type="expression" dxfId="45" priority="7" stopIfTrue="1">
      <formula>$F$43="超过20%"</formula>
    </cfRule>
  </conditionalFormatting>
  <conditionalFormatting sqref="E44">
    <cfRule type="expression" dxfId="44" priority="6" stopIfTrue="1">
      <formula>$F$44="超过30%"</formula>
    </cfRule>
  </conditionalFormatting>
  <conditionalFormatting sqref="G42">
    <cfRule type="expression" dxfId="43" priority="5" stopIfTrue="1">
      <formula>$H$52+$H$42="超过30%"</formula>
    </cfRule>
  </conditionalFormatting>
  <conditionalFormatting sqref="G43">
    <cfRule type="expression" dxfId="42" priority="4" stopIfTrue="1">
      <formula>$H$43="超过20%"</formula>
    </cfRule>
  </conditionalFormatting>
  <conditionalFormatting sqref="I42">
    <cfRule type="expression" dxfId="41" priority="3" stopIfTrue="1">
      <formula>$J$52+$J$42="超过30%"</formula>
    </cfRule>
  </conditionalFormatting>
  <conditionalFormatting sqref="I43">
    <cfRule type="expression" dxfId="40" priority="2" stopIfTrue="1">
      <formula>$J$53+$J$43="超过20%"</formula>
    </cfRule>
  </conditionalFormatting>
  <conditionalFormatting sqref="I44">
    <cfRule type="expression" dxfId="3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C5" sqref="C5:J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8" customFormat="1" ht="28.5" customHeight="1" thickBot="1">
      <c r="A1" s="3117" t="s">
        <v>386</v>
      </c>
      <c r="B1" s="3129"/>
      <c r="C1" s="3119" t="s">
        <v>442</v>
      </c>
      <c r="D1" s="3100"/>
      <c r="E1" s="3130"/>
      <c r="F1" s="3102"/>
      <c r="G1" s="3131" t="s">
        <v>443</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40" customFormat="1" ht="28.5" customHeight="1" thickTop="1">
      <c r="A2" s="3116" t="s">
        <v>444</v>
      </c>
      <c r="B2" s="2840" t="e">
        <f ca="1">IF(C2="——",ROUND(C37*D3/10000,0),ROUND(C37*D3/10000,0)-D2)</f>
        <v>#DIV/0!</v>
      </c>
      <c r="C2" s="3094"/>
      <c r="D2" s="2335" t="e">
        <f ca="1">SUMIF(INDIRECT("'"&amp;F2&amp;"'"&amp;"!A:A"),"承租人权益价值",INDIRECT("'"&amp;F2&amp;"'"&amp;"!c:c"))</f>
        <v>#REF!</v>
      </c>
      <c r="E2" s="3095" t="s">
        <v>868</v>
      </c>
      <c r="F2" s="3096"/>
      <c r="G2" s="2336"/>
      <c r="H2" s="2336"/>
      <c r="I2" s="2336"/>
      <c r="J2" s="2336"/>
      <c r="K2" s="2338"/>
      <c r="L2" s="2339"/>
      <c r="M2" s="2340"/>
      <c r="N2" s="2340"/>
      <c r="O2" s="2340"/>
      <c r="P2" s="1315"/>
      <c r="Q2" s="1315"/>
      <c r="R2" s="1315"/>
      <c r="S2" s="1315"/>
      <c r="T2" s="1315"/>
      <c r="U2" s="1315"/>
      <c r="V2" s="1315"/>
      <c r="W2" s="1315"/>
      <c r="X2" s="1315"/>
      <c r="Y2" s="1315"/>
      <c r="Z2" s="1315"/>
      <c r="AA2" s="1315"/>
      <c r="AB2" s="1315"/>
      <c r="AC2" s="1316"/>
    </row>
    <row r="3" spans="1:29" s="740" customFormat="1" ht="28.5" customHeight="1" thickBot="1">
      <c r="A3" s="578" t="s">
        <v>445</v>
      </c>
      <c r="B3" s="951" t="e">
        <f ca="1">IF(C2="——",C37,ROUND(B2*10000/D3,0))</f>
        <v>#DIV/0!</v>
      </c>
      <c r="C3" s="742" t="s">
        <v>446</v>
      </c>
      <c r="D3" s="741">
        <f>SUMIF('数据-汇总表'!$C19:$C33,D1,'数据-汇总表'!$E19:$E33)</f>
        <v>0</v>
      </c>
      <c r="E3" s="2336"/>
      <c r="F3" s="2337"/>
      <c r="G3" s="2336"/>
      <c r="H3" s="2336"/>
      <c r="I3" s="2336"/>
      <c r="J3" s="2336"/>
      <c r="K3" s="2338"/>
      <c r="L3" s="2339"/>
      <c r="M3" s="2340"/>
      <c r="N3" s="2340"/>
      <c r="O3" s="2340"/>
      <c r="P3" s="1315"/>
      <c r="Q3" s="1315"/>
      <c r="R3" s="1315"/>
      <c r="S3" s="1315"/>
      <c r="T3" s="1315"/>
      <c r="U3" s="1315"/>
      <c r="V3" s="1315"/>
      <c r="W3" s="1315"/>
      <c r="X3" s="1315"/>
      <c r="Y3" s="1315"/>
      <c r="Z3" s="1315"/>
      <c r="AA3" s="1315"/>
      <c r="AB3" s="1408"/>
      <c r="AC3" s="1398"/>
    </row>
    <row r="4" spans="1:29" ht="15">
      <c r="A4" s="743" t="s">
        <v>447</v>
      </c>
      <c r="B4" s="744"/>
      <c r="C4" s="3630" t="s">
        <v>448</v>
      </c>
      <c r="D4" s="3631"/>
      <c r="E4" s="3632" t="s">
        <v>449</v>
      </c>
      <c r="F4" s="3633"/>
      <c r="G4" s="3630" t="s">
        <v>450</v>
      </c>
      <c r="H4" s="3631"/>
      <c r="I4" s="3630" t="s">
        <v>451</v>
      </c>
      <c r="J4" s="3631"/>
      <c r="K4" s="952" t="s">
        <v>452</v>
      </c>
      <c r="L4" s="2341"/>
      <c r="M4" s="2342"/>
      <c r="N4" s="2342"/>
      <c r="O4" s="2342"/>
      <c r="P4" s="3634" t="s">
        <v>453</v>
      </c>
      <c r="Q4" s="3635"/>
      <c r="R4" s="3608" t="s">
        <v>449</v>
      </c>
      <c r="S4" s="3609"/>
      <c r="T4" s="3608" t="s">
        <v>450</v>
      </c>
      <c r="U4" s="3609"/>
      <c r="V4" s="3623" t="s">
        <v>451</v>
      </c>
      <c r="W4" s="3623"/>
      <c r="X4" s="1317"/>
      <c r="Y4" s="3608" t="s">
        <v>453</v>
      </c>
      <c r="Z4" s="3609"/>
      <c r="AA4" s="3627" t="s">
        <v>449</v>
      </c>
      <c r="AB4" s="3628" t="s">
        <v>450</v>
      </c>
      <c r="AC4" s="3627" t="s">
        <v>451</v>
      </c>
    </row>
    <row r="5" spans="1:29" ht="15">
      <c r="A5" s="746"/>
      <c r="B5" s="747"/>
      <c r="C5" s="3612" t="s">
        <v>1130</v>
      </c>
      <c r="D5" s="3613"/>
      <c r="E5" s="3640" t="s">
        <v>1131</v>
      </c>
      <c r="F5" s="3641"/>
      <c r="G5" s="3612" t="s">
        <v>61</v>
      </c>
      <c r="H5" s="3613"/>
      <c r="I5" s="3612" t="s">
        <v>1132</v>
      </c>
      <c r="J5" s="3613"/>
      <c r="K5" s="952"/>
      <c r="L5" s="2341"/>
      <c r="M5" s="2342"/>
      <c r="N5" s="2342"/>
      <c r="O5" s="2342"/>
      <c r="P5" s="3636"/>
      <c r="Q5" s="3637"/>
      <c r="R5" s="3610"/>
      <c r="S5" s="3611"/>
      <c r="T5" s="3610"/>
      <c r="U5" s="3611"/>
      <c r="V5" s="3623"/>
      <c r="W5" s="3623"/>
      <c r="X5" s="1317"/>
      <c r="Y5" s="3610"/>
      <c r="Z5" s="3611"/>
      <c r="AA5" s="3628"/>
      <c r="AB5" s="3628"/>
      <c r="AC5" s="3628"/>
    </row>
    <row r="6" spans="1:29" ht="15.75" thickBot="1">
      <c r="A6" s="748"/>
      <c r="B6" s="749"/>
      <c r="C6" s="3619" t="s">
        <v>1133</v>
      </c>
      <c r="D6" s="3620"/>
      <c r="E6" s="3617" t="s">
        <v>1133</v>
      </c>
      <c r="F6" s="3618"/>
      <c r="G6" s="3619" t="s">
        <v>1133</v>
      </c>
      <c r="H6" s="3620"/>
      <c r="I6" s="3619" t="s">
        <v>1133</v>
      </c>
      <c r="J6" s="3620"/>
      <c r="K6" s="952" t="s">
        <v>395</v>
      </c>
      <c r="L6" s="2341"/>
      <c r="M6" s="2342"/>
      <c r="N6" s="2342"/>
      <c r="O6" s="2342"/>
      <c r="P6" s="3638"/>
      <c r="Q6" s="3639"/>
      <c r="R6" s="3610"/>
      <c r="S6" s="3611"/>
      <c r="T6" s="3621"/>
      <c r="U6" s="3622"/>
      <c r="V6" s="3623"/>
      <c r="W6" s="3623"/>
      <c r="X6" s="1317"/>
      <c r="Y6" s="3621"/>
      <c r="Z6" s="3622"/>
      <c r="AA6" s="3629"/>
      <c r="AB6" s="3629"/>
      <c r="AC6" s="3629"/>
    </row>
    <row r="7" spans="1:29" s="406" customFormat="1" ht="15.75" thickBot="1">
      <c r="A7" s="750" t="s">
        <v>396</v>
      </c>
      <c r="B7" s="751"/>
      <c r="C7" s="752">
        <f>'数据-取费表'!B2</f>
        <v>42941</v>
      </c>
      <c r="D7" s="753">
        <v>100</v>
      </c>
      <c r="E7" s="1016"/>
      <c r="F7" s="755">
        <f>SUMIF(46:46,YEAR(E7)&amp;"-"&amp;MONTH(E7),47:47)</f>
        <v>0</v>
      </c>
      <c r="G7" s="1017"/>
      <c r="H7" s="753">
        <f>SUMIF(46:46,YEAR(G7)&amp;"-"&amp;MONTH(G7),47:47)</f>
        <v>0</v>
      </c>
      <c r="I7" s="1016"/>
      <c r="J7" s="753">
        <f>SUMIF(46:46,YEAR(I7)&amp;"-"&amp;MONTH(I7),47:47)</f>
        <v>0</v>
      </c>
      <c r="K7" s="953"/>
      <c r="L7" s="2343"/>
      <c r="M7" s="2344"/>
      <c r="N7" s="2344"/>
      <c r="O7" s="2344"/>
      <c r="P7" s="3606" t="s">
        <v>397</v>
      </c>
      <c r="Q7" s="3616"/>
      <c r="R7" s="1318" t="s">
        <v>65</v>
      </c>
      <c r="S7" s="1319">
        <f t="shared" ref="S7:S14" si="0">F7</f>
        <v>0</v>
      </c>
      <c r="T7" s="1318" t="s">
        <v>65</v>
      </c>
      <c r="U7" s="1319">
        <f t="shared" ref="U7:U14" si="1">H7</f>
        <v>0</v>
      </c>
      <c r="V7" s="1318" t="s">
        <v>65</v>
      </c>
      <c r="W7" s="1319">
        <f t="shared" ref="W7:W14" si="2">J7</f>
        <v>0</v>
      </c>
      <c r="X7" s="1320"/>
      <c r="Y7" s="3606" t="s">
        <v>397</v>
      </c>
      <c r="Z7" s="3607"/>
      <c r="AA7" s="1321" t="e">
        <f>D7/F7</f>
        <v>#DIV/0!</v>
      </c>
      <c r="AB7" s="1321" t="e">
        <f>D7/H7</f>
        <v>#DIV/0!</v>
      </c>
      <c r="AC7" s="1321" t="e">
        <f>D7/J7</f>
        <v>#DIV/0!</v>
      </c>
    </row>
    <row r="8" spans="1:29" s="406" customFormat="1" ht="15.75" thickBot="1">
      <c r="A8" s="750" t="s">
        <v>398</v>
      </c>
      <c r="B8" s="751"/>
      <c r="C8" s="756" t="s">
        <v>415</v>
      </c>
      <c r="D8" s="753">
        <v>100</v>
      </c>
      <c r="E8" s="756"/>
      <c r="F8" s="755">
        <f>SUMIF(49:49,E8,50:50)-SUMIF(49:49,C8,50:50)+100</f>
        <v>0</v>
      </c>
      <c r="G8" s="756"/>
      <c r="H8" s="753">
        <f>SUMIF(49:49,G8,50:50)-SUMIF(49:49,C8,50:50)+100</f>
        <v>0</v>
      </c>
      <c r="I8" s="756"/>
      <c r="J8" s="753">
        <f>SUMIF(49:49,I8,50:50)-SUMIF(49:49,C8,50:50)+100</f>
        <v>0</v>
      </c>
      <c r="K8" s="953"/>
      <c r="L8" s="2343"/>
      <c r="M8" s="2344"/>
      <c r="N8" s="2344"/>
      <c r="O8" s="2344"/>
      <c r="P8" s="3606" t="s">
        <v>433</v>
      </c>
      <c r="Q8" s="3607"/>
      <c r="R8" s="1318" t="s">
        <v>65</v>
      </c>
      <c r="S8" s="1319">
        <f t="shared" si="0"/>
        <v>0</v>
      </c>
      <c r="T8" s="1318" t="s">
        <v>65</v>
      </c>
      <c r="U8" s="1319">
        <f t="shared" si="1"/>
        <v>0</v>
      </c>
      <c r="V8" s="1318" t="s">
        <v>65</v>
      </c>
      <c r="W8" s="1319">
        <f t="shared" si="2"/>
        <v>0</v>
      </c>
      <c r="X8" s="1320"/>
      <c r="Y8" s="3606" t="s">
        <v>433</v>
      </c>
      <c r="Z8" s="3607"/>
      <c r="AA8" s="1321" t="e">
        <f t="shared" ref="AA8:AA34" si="3">D8/F8</f>
        <v>#DIV/0!</v>
      </c>
      <c r="AB8" s="1321" t="e">
        <f t="shared" ref="AB8:AB34" si="4">D8/H8</f>
        <v>#DIV/0!</v>
      </c>
      <c r="AC8" s="1321" t="e">
        <f t="shared" ref="AC8:AC34" si="5">D8/J8</f>
        <v>#DIV/0!</v>
      </c>
    </row>
    <row r="9" spans="1:29" s="406" customFormat="1">
      <c r="A9" s="757" t="s">
        <v>399</v>
      </c>
      <c r="B9" s="361" t="s">
        <v>417</v>
      </c>
      <c r="C9" s="1345"/>
      <c r="D9" s="424">
        <v>100</v>
      </c>
      <c r="E9" s="761"/>
      <c r="F9" s="760">
        <f>SUMIF(51:51,E9,52:52)-SUMIF(51:51,C9,52:52)+100</f>
        <v>100</v>
      </c>
      <c r="G9" s="761"/>
      <c r="H9" s="424">
        <f>SUMIF(51:51,G9,52:52)-SUMIF(51:51,C9,52:52)+100</f>
        <v>100</v>
      </c>
      <c r="I9" s="761"/>
      <c r="J9" s="424">
        <f>SUMIF(51:51,I9,52:52)-SUMIF(51:51,C9,52:52)+100</f>
        <v>100</v>
      </c>
      <c r="K9" s="953"/>
      <c r="L9" s="2343"/>
      <c r="M9" s="2344"/>
      <c r="N9" s="2344"/>
      <c r="O9" s="2345"/>
      <c r="P9" s="3642" t="s">
        <v>400</v>
      </c>
      <c r="Q9" s="296" t="str">
        <f t="shared" ref="Q9:Q14" si="6">B9</f>
        <v>用途</v>
      </c>
      <c r="R9" s="1318" t="s">
        <v>65</v>
      </c>
      <c r="S9" s="1319">
        <f t="shared" si="0"/>
        <v>100</v>
      </c>
      <c r="T9" s="1318" t="s">
        <v>65</v>
      </c>
      <c r="U9" s="1319">
        <f t="shared" si="1"/>
        <v>100</v>
      </c>
      <c r="V9" s="1318" t="s">
        <v>65</v>
      </c>
      <c r="W9" s="1319">
        <f t="shared" si="2"/>
        <v>100</v>
      </c>
      <c r="X9" s="1320"/>
      <c r="Y9" s="3495" t="s">
        <v>401</v>
      </c>
      <c r="Z9" s="344" t="str">
        <f t="shared" ref="Z9:Z14" si="7">Q9</f>
        <v>用途</v>
      </c>
      <c r="AA9" s="1321">
        <f t="shared" si="3"/>
        <v>1</v>
      </c>
      <c r="AB9" s="1321">
        <f t="shared" si="4"/>
        <v>1</v>
      </c>
      <c r="AC9" s="1321">
        <f t="shared" si="5"/>
        <v>1</v>
      </c>
    </row>
    <row r="10" spans="1:29" s="769" customFormat="1" ht="27">
      <c r="A10" s="763"/>
      <c r="B10" s="764" t="s">
        <v>402</v>
      </c>
      <c r="C10" s="765"/>
      <c r="D10" s="425">
        <v>100</v>
      </c>
      <c r="E10" s="765"/>
      <c r="F10" s="767">
        <f>SUMIF(53:53,E10,54:54)-SUMIF(53:53,C10,54:54)+100</f>
        <v>100</v>
      </c>
      <c r="G10" s="765"/>
      <c r="H10" s="425">
        <f>SUMIF(53:53,G10,54:54)-SUMIF(53:53,C10,54:54)+100</f>
        <v>100</v>
      </c>
      <c r="I10" s="765"/>
      <c r="J10" s="425">
        <f>SUMIF(53:53,I10,54:54)-SUMIF(53:53,C10,54:54)+100</f>
        <v>100</v>
      </c>
      <c r="K10" s="954"/>
      <c r="L10" s="2346"/>
      <c r="M10" s="2347"/>
      <c r="N10" s="2347"/>
      <c r="O10" s="2348"/>
      <c r="P10" s="3642"/>
      <c r="Q10" s="296" t="str">
        <f t="shared" si="6"/>
        <v>土地使用年限（年）</v>
      </c>
      <c r="R10" s="1318" t="s">
        <v>65</v>
      </c>
      <c r="S10" s="1319">
        <f t="shared" si="0"/>
        <v>100</v>
      </c>
      <c r="T10" s="1318" t="s">
        <v>65</v>
      </c>
      <c r="U10" s="1319">
        <f t="shared" si="1"/>
        <v>100</v>
      </c>
      <c r="V10" s="1318" t="s">
        <v>65</v>
      </c>
      <c r="W10" s="1319">
        <f t="shared" si="2"/>
        <v>100</v>
      </c>
      <c r="X10" s="1320"/>
      <c r="Y10" s="3495"/>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49"/>
      <c r="M11" s="2342"/>
      <c r="N11" s="2342"/>
      <c r="O11" s="2350"/>
      <c r="P11" s="3642"/>
      <c r="Q11" s="296">
        <f t="shared" si="6"/>
        <v>111</v>
      </c>
      <c r="R11" s="1318" t="s">
        <v>65</v>
      </c>
      <c r="S11" s="1319">
        <f t="shared" si="0"/>
        <v>100</v>
      </c>
      <c r="T11" s="1318" t="s">
        <v>65</v>
      </c>
      <c r="U11" s="1319">
        <f t="shared" si="1"/>
        <v>100</v>
      </c>
      <c r="V11" s="1318" t="s">
        <v>65</v>
      </c>
      <c r="W11" s="1319">
        <f t="shared" si="2"/>
        <v>100</v>
      </c>
      <c r="X11" s="1320"/>
      <c r="Y11" s="3495"/>
      <c r="Z11" s="344">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3"/>
      <c r="M12" s="2344"/>
      <c r="N12" s="2344"/>
      <c r="O12" s="2345"/>
      <c r="P12" s="3642"/>
      <c r="Q12" s="296">
        <f t="shared" si="6"/>
        <v>111</v>
      </c>
      <c r="R12" s="1318" t="s">
        <v>65</v>
      </c>
      <c r="S12" s="1319">
        <f t="shared" si="0"/>
        <v>100</v>
      </c>
      <c r="T12" s="1318" t="s">
        <v>65</v>
      </c>
      <c r="U12" s="1319">
        <f t="shared" si="1"/>
        <v>100</v>
      </c>
      <c r="V12" s="1318" t="s">
        <v>65</v>
      </c>
      <c r="W12" s="1319">
        <f t="shared" si="2"/>
        <v>100</v>
      </c>
      <c r="X12" s="1320"/>
      <c r="Y12" s="3495"/>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1"/>
      <c r="M13" s="2342"/>
      <c r="N13" s="2342"/>
      <c r="O13" s="2350"/>
      <c r="P13" s="3642"/>
      <c r="Q13" s="296">
        <f t="shared" si="6"/>
        <v>111</v>
      </c>
      <c r="R13" s="1318" t="s">
        <v>65</v>
      </c>
      <c r="S13" s="1319">
        <f t="shared" si="0"/>
        <v>100</v>
      </c>
      <c r="T13" s="1318" t="s">
        <v>65</v>
      </c>
      <c r="U13" s="1319">
        <f t="shared" si="1"/>
        <v>100</v>
      </c>
      <c r="V13" s="1318" t="s">
        <v>65</v>
      </c>
      <c r="W13" s="1319">
        <f t="shared" si="2"/>
        <v>100</v>
      </c>
      <c r="X13" s="1320"/>
      <c r="Y13" s="3495"/>
      <c r="Z13" s="344">
        <f t="shared" si="7"/>
        <v>111</v>
      </c>
      <c r="AA13" s="1321">
        <f t="shared" si="3"/>
        <v>1</v>
      </c>
      <c r="AB13" s="1321">
        <f t="shared" si="4"/>
        <v>1</v>
      </c>
      <c r="AC13" s="1321">
        <f t="shared" si="5"/>
        <v>1</v>
      </c>
    </row>
    <row r="14" spans="1:29" ht="94.5">
      <c r="A14" s="782" t="s">
        <v>404</v>
      </c>
      <c r="B14" s="359"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1"/>
      <c r="M14" s="2342"/>
      <c r="N14" s="2342"/>
      <c r="O14" s="2350"/>
      <c r="P14" s="3624" t="s">
        <v>405</v>
      </c>
      <c r="Q14" s="1322" t="str">
        <f t="shared" si="6"/>
        <v>交通便捷度</v>
      </c>
      <c r="R14" s="1323" t="s">
        <v>65</v>
      </c>
      <c r="S14" s="1324">
        <f t="shared" si="0"/>
        <v>100</v>
      </c>
      <c r="T14" s="1323" t="s">
        <v>65</v>
      </c>
      <c r="U14" s="1324">
        <f t="shared" si="1"/>
        <v>100</v>
      </c>
      <c r="V14" s="1323" t="s">
        <v>65</v>
      </c>
      <c r="W14" s="1324">
        <f t="shared" si="2"/>
        <v>100</v>
      </c>
      <c r="X14" s="1317"/>
      <c r="Y14" s="3624" t="s">
        <v>405</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1"/>
      <c r="M15" s="2342"/>
      <c r="N15" s="2342"/>
      <c r="O15" s="2350"/>
      <c r="P15" s="3625"/>
      <c r="Q15" s="1322"/>
      <c r="R15" s="1323"/>
      <c r="S15" s="1324"/>
      <c r="T15" s="1323"/>
      <c r="U15" s="1324"/>
      <c r="V15" s="1323"/>
      <c r="W15" s="1324"/>
      <c r="X15" s="1317"/>
      <c r="Y15" s="3625"/>
      <c r="Z15" s="1325"/>
      <c r="AA15" s="1326">
        <v>1</v>
      </c>
      <c r="AB15" s="1326">
        <v>1</v>
      </c>
      <c r="AC15" s="1326">
        <v>1</v>
      </c>
    </row>
    <row r="16" spans="1:29" ht="40.5">
      <c r="A16" s="770"/>
      <c r="B16" s="1355" t="s">
        <v>2671</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1"/>
      <c r="M16" s="2342"/>
      <c r="N16" s="2342"/>
      <c r="O16" s="2350"/>
      <c r="P16" s="3625"/>
      <c r="Q16" s="1322" t="str">
        <f>B16</f>
        <v>公共配套设施</v>
      </c>
      <c r="R16" s="1323" t="s">
        <v>65</v>
      </c>
      <c r="S16" s="1324">
        <f>F16</f>
        <v>100</v>
      </c>
      <c r="T16" s="1323" t="s">
        <v>65</v>
      </c>
      <c r="U16" s="1324">
        <f>H16</f>
        <v>100</v>
      </c>
      <c r="V16" s="1323" t="s">
        <v>65</v>
      </c>
      <c r="W16" s="1324">
        <f>J16</f>
        <v>100</v>
      </c>
      <c r="X16" s="1317"/>
      <c r="Y16" s="3625"/>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1"/>
      <c r="M17" s="2342"/>
      <c r="N17" s="2342"/>
      <c r="O17" s="2350"/>
      <c r="P17" s="3625"/>
      <c r="Q17" s="1322"/>
      <c r="R17" s="1323"/>
      <c r="S17" s="1324"/>
      <c r="T17" s="1323"/>
      <c r="U17" s="1324"/>
      <c r="V17" s="1323"/>
      <c r="W17" s="1324"/>
      <c r="X17" s="1317"/>
      <c r="Y17" s="3625"/>
      <c r="Z17" s="1325"/>
      <c r="AA17" s="1326">
        <v>1</v>
      </c>
      <c r="AB17" s="1326">
        <v>1</v>
      </c>
      <c r="AC17" s="1326">
        <v>1</v>
      </c>
    </row>
    <row r="18" spans="1:29" ht="40.5">
      <c r="A18" s="770"/>
      <c r="B18" s="1411" t="s">
        <v>2673</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1"/>
      <c r="M18" s="2342"/>
      <c r="N18" s="2342"/>
      <c r="O18" s="2350"/>
      <c r="P18" s="3625"/>
      <c r="Q18" s="2742" t="str">
        <f>B18</f>
        <v>基础设施水平</v>
      </c>
      <c r="R18" s="1323" t="s">
        <v>65</v>
      </c>
      <c r="S18" s="1324">
        <f>F18</f>
        <v>100</v>
      </c>
      <c r="T18" s="1323" t="s">
        <v>65</v>
      </c>
      <c r="U18" s="1324">
        <f>H18</f>
        <v>100</v>
      </c>
      <c r="V18" s="1323" t="s">
        <v>65</v>
      </c>
      <c r="W18" s="1324">
        <f>J18</f>
        <v>100</v>
      </c>
      <c r="X18" s="2744"/>
      <c r="Y18" s="3625"/>
      <c r="Z18" s="2743" t="str">
        <f>Q18</f>
        <v>基础设施水平</v>
      </c>
      <c r="AA18" s="1326">
        <f t="shared" ref="AA18" si="8">D18/F18</f>
        <v>1</v>
      </c>
      <c r="AB18" s="1326">
        <f t="shared" ref="AB18" si="9">D18/H18</f>
        <v>1</v>
      </c>
      <c r="AC18" s="1326">
        <f t="shared" ref="AC18" si="10">D18/J18</f>
        <v>1</v>
      </c>
    </row>
    <row r="19" spans="1:29" ht="15">
      <c r="A19" s="770"/>
      <c r="B19" s="2762"/>
      <c r="C19" s="102"/>
      <c r="D19" s="792"/>
      <c r="E19" s="102"/>
      <c r="F19" s="795"/>
      <c r="G19" s="102"/>
      <c r="H19" s="790"/>
      <c r="I19" s="97"/>
      <c r="J19" s="790"/>
      <c r="K19" s="2760"/>
      <c r="L19" s="2351"/>
      <c r="M19" s="2342"/>
      <c r="N19" s="2342"/>
      <c r="O19" s="2350"/>
      <c r="P19" s="3625"/>
      <c r="Q19" s="2742"/>
      <c r="R19" s="1323"/>
      <c r="S19" s="1324"/>
      <c r="T19" s="1323"/>
      <c r="U19" s="1324"/>
      <c r="V19" s="1323"/>
      <c r="W19" s="1324"/>
      <c r="X19" s="2744"/>
      <c r="Y19" s="3625"/>
      <c r="Z19" s="2743"/>
      <c r="AA19" s="1326">
        <v>1</v>
      </c>
      <c r="AB19" s="1326">
        <v>1</v>
      </c>
      <c r="AC19" s="1326">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1"/>
      <c r="M20" s="2342"/>
      <c r="N20" s="2342"/>
      <c r="O20" s="2350"/>
      <c r="P20" s="3625"/>
      <c r="Q20" s="1322" t="str">
        <f>B20</f>
        <v>自然及人文环境</v>
      </c>
      <c r="R20" s="1323" t="s">
        <v>65</v>
      </c>
      <c r="S20" s="1324">
        <f>F20</f>
        <v>100</v>
      </c>
      <c r="T20" s="1323" t="s">
        <v>65</v>
      </c>
      <c r="U20" s="1324">
        <f>H20</f>
        <v>100</v>
      </c>
      <c r="V20" s="1323" t="s">
        <v>65</v>
      </c>
      <c r="W20" s="1324">
        <f>J20</f>
        <v>100</v>
      </c>
      <c r="X20" s="1317"/>
      <c r="Y20" s="3625"/>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1"/>
      <c r="M21" s="2342"/>
      <c r="N21" s="2342"/>
      <c r="O21" s="2350"/>
      <c r="P21" s="3625"/>
      <c r="Q21" s="1322"/>
      <c r="R21" s="1323"/>
      <c r="S21" s="1324"/>
      <c r="T21" s="1323"/>
      <c r="U21" s="1324"/>
      <c r="V21" s="1323"/>
      <c r="W21" s="1324"/>
      <c r="X21" s="1317"/>
      <c r="Y21" s="3625"/>
      <c r="Z21" s="1325"/>
      <c r="AA21" s="1326">
        <v>1</v>
      </c>
      <c r="AB21" s="1326">
        <v>1</v>
      </c>
      <c r="AC21" s="1326">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1"/>
      <c r="M22" s="2342"/>
      <c r="N22" s="2342"/>
      <c r="O22" s="2350"/>
      <c r="P22" s="3625"/>
      <c r="Q22" s="1322" t="str">
        <f>B22</f>
        <v>楼层</v>
      </c>
      <c r="R22" s="1323" t="s">
        <v>65</v>
      </c>
      <c r="S22" s="1324">
        <f>F22</f>
        <v>100</v>
      </c>
      <c r="T22" s="1323" t="s">
        <v>65</v>
      </c>
      <c r="U22" s="1324">
        <f>H22</f>
        <v>100</v>
      </c>
      <c r="V22" s="1323" t="s">
        <v>65</v>
      </c>
      <c r="W22" s="1324">
        <f>J22</f>
        <v>100</v>
      </c>
      <c r="X22" s="1317"/>
      <c r="Y22" s="3625"/>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1"/>
      <c r="M23" s="2342"/>
      <c r="N23" s="2342"/>
      <c r="O23" s="2350"/>
      <c r="P23" s="3625"/>
      <c r="Q23" s="1322">
        <f>B23</f>
        <v>111</v>
      </c>
      <c r="R23" s="1323" t="s">
        <v>65</v>
      </c>
      <c r="S23" s="1324">
        <f>F23</f>
        <v>100</v>
      </c>
      <c r="T23" s="1323" t="s">
        <v>65</v>
      </c>
      <c r="U23" s="1324">
        <f>H23</f>
        <v>100</v>
      </c>
      <c r="V23" s="1323" t="s">
        <v>65</v>
      </c>
      <c r="W23" s="1324">
        <f>J23</f>
        <v>100</v>
      </c>
      <c r="X23" s="1317"/>
      <c r="Y23" s="3625"/>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1"/>
      <c r="M24" s="2342"/>
      <c r="N24" s="2342"/>
      <c r="O24" s="2350"/>
      <c r="P24" s="3625"/>
      <c r="Q24" s="1322">
        <f t="shared" ref="Q24:Q34" si="11">B24</f>
        <v>111</v>
      </c>
      <c r="R24" s="1323" t="s">
        <v>65</v>
      </c>
      <c r="S24" s="1324">
        <f>F24</f>
        <v>100</v>
      </c>
      <c r="T24" s="1323" t="s">
        <v>65</v>
      </c>
      <c r="U24" s="1324">
        <f>H24</f>
        <v>100</v>
      </c>
      <c r="V24" s="1323" t="s">
        <v>65</v>
      </c>
      <c r="W24" s="1324">
        <f>J24</f>
        <v>100</v>
      </c>
      <c r="X24" s="1317"/>
      <c r="Y24" s="3625"/>
      <c r="Z24" s="1325">
        <f>Q24</f>
        <v>111</v>
      </c>
      <c r="AA24" s="1326">
        <f t="shared" si="3"/>
        <v>1</v>
      </c>
      <c r="AB24" s="1326">
        <f t="shared" si="4"/>
        <v>1</v>
      </c>
      <c r="AC24" s="1326">
        <f t="shared" si="5"/>
        <v>1</v>
      </c>
    </row>
    <row r="25" spans="1:29" s="406"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3"/>
      <c r="M25" s="2344"/>
      <c r="N25" s="2344"/>
      <c r="O25" s="2345"/>
      <c r="P25" s="3625"/>
      <c r="Q25" s="296">
        <f t="shared" si="11"/>
        <v>111</v>
      </c>
      <c r="R25" s="1318" t="s">
        <v>65</v>
      </c>
      <c r="S25" s="1319">
        <f>F25</f>
        <v>100</v>
      </c>
      <c r="T25" s="1318" t="s">
        <v>65</v>
      </c>
      <c r="U25" s="1319">
        <f>H25</f>
        <v>100</v>
      </c>
      <c r="V25" s="1318" t="s">
        <v>65</v>
      </c>
      <c r="W25" s="1319">
        <f>J25</f>
        <v>100</v>
      </c>
      <c r="X25" s="1320"/>
      <c r="Y25" s="3625"/>
      <c r="Z25" s="344">
        <f>Q25</f>
        <v>111</v>
      </c>
      <c r="AA25" s="1326">
        <f>D25/F25</f>
        <v>1</v>
      </c>
      <c r="AB25" s="1326">
        <f>D25/H25</f>
        <v>1</v>
      </c>
      <c r="AC25" s="1326">
        <f>D25/J25</f>
        <v>1</v>
      </c>
    </row>
    <row r="26" spans="1:29" ht="15">
      <c r="A26" s="808" t="s">
        <v>406</v>
      </c>
      <c r="B26" s="361" t="s">
        <v>459</v>
      </c>
      <c r="C26" s="197"/>
      <c r="D26" s="809">
        <v>100</v>
      </c>
      <c r="E26" s="197"/>
      <c r="F26" s="1009">
        <f>SUMIF(77:77,E26,78:78)-SUMIF(77:77,C26,78:78)+100</f>
        <v>100</v>
      </c>
      <c r="G26" s="197"/>
      <c r="H26" s="809">
        <f>SUMIF(77:77,G26,78:78)-SUMIF(77:77,C26,78:78)+100</f>
        <v>100</v>
      </c>
      <c r="I26" s="197"/>
      <c r="J26" s="809">
        <f>SUMIF(77:77,I26,78:78)-SUMIF(77:77,C26,78:78)+100</f>
        <v>100</v>
      </c>
      <c r="K26" s="954"/>
      <c r="L26" s="2351"/>
      <c r="M26" s="2342"/>
      <c r="N26" s="2342"/>
      <c r="O26" s="2350"/>
      <c r="P26" s="3643" t="s">
        <v>472</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26" t="s">
        <v>472</v>
      </c>
      <c r="Z26" s="1325" t="str">
        <f t="shared" ref="Z26:Z34" si="15">Q26</f>
        <v>公共部分装修</v>
      </c>
      <c r="AA26" s="1326">
        <f t="shared" si="3"/>
        <v>1</v>
      </c>
      <c r="AB26" s="1326">
        <f t="shared" si="4"/>
        <v>1</v>
      </c>
      <c r="AC26" s="1326">
        <f t="shared" si="5"/>
        <v>1</v>
      </c>
    </row>
    <row r="27" spans="1:29" s="813" customFormat="1" ht="15">
      <c r="A27" s="810"/>
      <c r="B27" s="764" t="s">
        <v>460</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49"/>
      <c r="M27" s="2352"/>
      <c r="N27" s="2352"/>
      <c r="O27" s="2353"/>
      <c r="P27" s="3626"/>
      <c r="Q27" s="1327" t="str">
        <f t="shared" si="11"/>
        <v>成新率</v>
      </c>
      <c r="R27" s="1328" t="s">
        <v>65</v>
      </c>
      <c r="S27" s="1329" t="e">
        <f t="shared" si="12"/>
        <v>#N/A</v>
      </c>
      <c r="T27" s="1328" t="s">
        <v>65</v>
      </c>
      <c r="U27" s="1329" t="e">
        <f t="shared" si="13"/>
        <v>#N/A</v>
      </c>
      <c r="V27" s="1328" t="s">
        <v>65</v>
      </c>
      <c r="W27" s="1329" t="e">
        <f t="shared" si="14"/>
        <v>#N/A</v>
      </c>
      <c r="X27" s="1330"/>
      <c r="Y27" s="3626"/>
      <c r="Z27" s="1331" t="str">
        <f t="shared" si="15"/>
        <v>成新率</v>
      </c>
      <c r="AA27" s="1326" t="e">
        <f t="shared" si="3"/>
        <v>#N/A</v>
      </c>
      <c r="AB27" s="1326" t="e">
        <f t="shared" si="4"/>
        <v>#N/A</v>
      </c>
      <c r="AC27" s="1326"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1"/>
      <c r="M28" s="2342"/>
      <c r="N28" s="2342"/>
      <c r="O28" s="2350"/>
      <c r="P28" s="3626"/>
      <c r="Q28" s="1322" t="str">
        <f t="shared" si="11"/>
        <v>物业等级</v>
      </c>
      <c r="R28" s="1323" t="s">
        <v>65</v>
      </c>
      <c r="S28" s="1324">
        <f t="shared" si="12"/>
        <v>100</v>
      </c>
      <c r="T28" s="1323" t="s">
        <v>65</v>
      </c>
      <c r="U28" s="1324">
        <f t="shared" si="13"/>
        <v>100</v>
      </c>
      <c r="V28" s="1323" t="s">
        <v>65</v>
      </c>
      <c r="W28" s="1324">
        <f t="shared" si="14"/>
        <v>100</v>
      </c>
      <c r="X28" s="1317"/>
      <c r="Y28" s="3626"/>
      <c r="Z28" s="1325" t="str">
        <f t="shared" si="15"/>
        <v>物业等级</v>
      </c>
      <c r="AA28" s="1326">
        <f t="shared" si="3"/>
        <v>1</v>
      </c>
      <c r="AB28" s="1326">
        <f t="shared" si="4"/>
        <v>1</v>
      </c>
      <c r="AC28" s="1326">
        <f t="shared" si="5"/>
        <v>1</v>
      </c>
    </row>
    <row r="29" spans="1:29" ht="15">
      <c r="A29" s="814"/>
      <c r="B29" s="764" t="s">
        <v>473</v>
      </c>
      <c r="C29" s="1412"/>
      <c r="D29" s="777">
        <v>100</v>
      </c>
      <c r="E29" s="1412"/>
      <c r="F29" s="803">
        <f>SUMIF(84:84,E29,85:85)-SUMIF(84:84,C29,85:85)+100</f>
        <v>100</v>
      </c>
      <c r="G29" s="1412"/>
      <c r="H29" s="777">
        <f>SUMIF(84:84,G29,85:85)-SUMIF(84:84,C29,85:85)+100</f>
        <v>100</v>
      </c>
      <c r="I29" s="1412"/>
      <c r="J29" s="777">
        <f>SUMIF(84:84,I29,85:85)-SUMIF(84:84,C29,85:85)+100</f>
        <v>100</v>
      </c>
      <c r="K29" s="954"/>
      <c r="L29" s="2351"/>
      <c r="M29" s="2342"/>
      <c r="N29" s="2342"/>
      <c r="O29" s="2350"/>
      <c r="P29" s="3626"/>
      <c r="Q29" s="1322" t="str">
        <f t="shared" si="11"/>
        <v>有无电梯</v>
      </c>
      <c r="R29" s="1323" t="s">
        <v>65</v>
      </c>
      <c r="S29" s="1324">
        <f t="shared" si="12"/>
        <v>100</v>
      </c>
      <c r="T29" s="1323" t="s">
        <v>65</v>
      </c>
      <c r="U29" s="1324">
        <f t="shared" si="13"/>
        <v>100</v>
      </c>
      <c r="V29" s="1323" t="s">
        <v>65</v>
      </c>
      <c r="W29" s="1324">
        <f t="shared" si="14"/>
        <v>100</v>
      </c>
      <c r="X29" s="1317"/>
      <c r="Y29" s="3626"/>
      <c r="Z29" s="1325" t="str">
        <f t="shared" si="15"/>
        <v>有无电梯</v>
      </c>
      <c r="AA29" s="1326">
        <f t="shared" si="3"/>
        <v>1</v>
      </c>
      <c r="AB29" s="1326">
        <f t="shared" si="4"/>
        <v>1</v>
      </c>
      <c r="AC29" s="1326">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1"/>
      <c r="M30" s="2342"/>
      <c r="N30" s="2342"/>
      <c r="O30" s="2350"/>
      <c r="P30" s="3626"/>
      <c r="Q30" s="1322" t="str">
        <f t="shared" si="11"/>
        <v>建筑面积</v>
      </c>
      <c r="R30" s="1323" t="s">
        <v>65</v>
      </c>
      <c r="S30" s="1324" t="e">
        <f t="shared" si="12"/>
        <v>#N/A</v>
      </c>
      <c r="T30" s="1323" t="s">
        <v>65</v>
      </c>
      <c r="U30" s="1324" t="e">
        <f t="shared" si="13"/>
        <v>#N/A</v>
      </c>
      <c r="V30" s="1323" t="s">
        <v>65</v>
      </c>
      <c r="W30" s="1324" t="e">
        <f t="shared" si="14"/>
        <v>#N/A</v>
      </c>
      <c r="X30" s="1317"/>
      <c r="Y30" s="3626"/>
      <c r="Z30" s="1325" t="str">
        <f t="shared" si="15"/>
        <v>建筑面积</v>
      </c>
      <c r="AA30" s="1326" t="e">
        <f t="shared" si="3"/>
        <v>#N/A</v>
      </c>
      <c r="AB30" s="1326" t="e">
        <f t="shared" si="4"/>
        <v>#N/A</v>
      </c>
      <c r="AC30" s="1326" t="e">
        <f t="shared" si="5"/>
        <v>#N/A</v>
      </c>
    </row>
    <row r="31" spans="1:29" s="406" customFormat="1" ht="15">
      <c r="A31" s="815"/>
      <c r="B31" s="764" t="s">
        <v>475</v>
      </c>
      <c r="C31" s="1412"/>
      <c r="D31" s="425">
        <v>100</v>
      </c>
      <c r="E31" s="1412"/>
      <c r="F31" s="803">
        <f>SUMIF(89:89,E31,90:90)-SUMIF(89:89,C31,90:90)+100</f>
        <v>100</v>
      </c>
      <c r="G31" s="1412"/>
      <c r="H31" s="777">
        <f>SUMIF(89:89,G31,90:90)-SUMIF(89:89,C31,90:90)+100</f>
        <v>100</v>
      </c>
      <c r="I31" s="1412"/>
      <c r="J31" s="777">
        <f>SUMIF(89:89,I31,90:90)-SUMIF(89:89,C31,90:90)+100</f>
        <v>100</v>
      </c>
      <c r="K31" s="954"/>
      <c r="L31" s="2343"/>
      <c r="M31" s="2344"/>
      <c r="N31" s="2344"/>
      <c r="O31" s="2345"/>
      <c r="P31" s="3626"/>
      <c r="Q31" s="296" t="str">
        <f t="shared" si="11"/>
        <v>是否封闭</v>
      </c>
      <c r="R31" s="1318" t="s">
        <v>65</v>
      </c>
      <c r="S31" s="1319">
        <f t="shared" si="12"/>
        <v>100</v>
      </c>
      <c r="T31" s="1318" t="s">
        <v>65</v>
      </c>
      <c r="U31" s="1319">
        <f t="shared" si="13"/>
        <v>100</v>
      </c>
      <c r="V31" s="1318" t="s">
        <v>65</v>
      </c>
      <c r="W31" s="1319">
        <f t="shared" si="14"/>
        <v>100</v>
      </c>
      <c r="X31" s="1320"/>
      <c r="Y31" s="3626"/>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1"/>
      <c r="M32" s="2342"/>
      <c r="N32" s="2342"/>
      <c r="O32" s="2350"/>
      <c r="P32" s="3626" t="s">
        <v>407</v>
      </c>
      <c r="Q32" s="1322">
        <f t="shared" si="11"/>
        <v>111</v>
      </c>
      <c r="R32" s="1323" t="s">
        <v>65</v>
      </c>
      <c r="S32" s="1324">
        <f t="shared" si="12"/>
        <v>100</v>
      </c>
      <c r="T32" s="1323" t="s">
        <v>65</v>
      </c>
      <c r="U32" s="1324">
        <f t="shared" si="13"/>
        <v>100</v>
      </c>
      <c r="V32" s="1323" t="s">
        <v>65</v>
      </c>
      <c r="W32" s="1324">
        <f t="shared" si="14"/>
        <v>100</v>
      </c>
      <c r="X32" s="1317"/>
      <c r="Y32" s="3626" t="s">
        <v>407</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1"/>
      <c r="M33" s="2342"/>
      <c r="N33" s="2342"/>
      <c r="O33" s="2350"/>
      <c r="P33" s="3626"/>
      <c r="Q33" s="1322">
        <f t="shared" si="11"/>
        <v>111</v>
      </c>
      <c r="R33" s="1323" t="s">
        <v>65</v>
      </c>
      <c r="S33" s="1324">
        <f t="shared" si="12"/>
        <v>100</v>
      </c>
      <c r="T33" s="1323" t="s">
        <v>65</v>
      </c>
      <c r="U33" s="1324">
        <f t="shared" si="13"/>
        <v>100</v>
      </c>
      <c r="V33" s="1323" t="s">
        <v>65</v>
      </c>
      <c r="W33" s="1324">
        <f t="shared" si="14"/>
        <v>100</v>
      </c>
      <c r="X33" s="1317"/>
      <c r="Y33" s="3626"/>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1"/>
      <c r="M34" s="2342"/>
      <c r="N34" s="2342"/>
      <c r="O34" s="2350"/>
      <c r="P34" s="3626"/>
      <c r="Q34" s="1322">
        <f t="shared" si="11"/>
        <v>111</v>
      </c>
      <c r="R34" s="1323" t="s">
        <v>65</v>
      </c>
      <c r="S34" s="1324">
        <f t="shared" si="12"/>
        <v>100</v>
      </c>
      <c r="T34" s="1323" t="s">
        <v>65</v>
      </c>
      <c r="U34" s="1324">
        <f t="shared" si="13"/>
        <v>100</v>
      </c>
      <c r="V34" s="1323" t="s">
        <v>65</v>
      </c>
      <c r="W34" s="1324">
        <f t="shared" si="14"/>
        <v>100</v>
      </c>
      <c r="X34" s="1317"/>
      <c r="Y34" s="3626"/>
      <c r="Z34" s="1325">
        <f t="shared" si="15"/>
        <v>111</v>
      </c>
      <c r="AA34" s="1326">
        <f t="shared" si="3"/>
        <v>1</v>
      </c>
      <c r="AB34" s="1326">
        <f t="shared" si="4"/>
        <v>1</v>
      </c>
      <c r="AC34" s="1326">
        <f t="shared" si="5"/>
        <v>1</v>
      </c>
    </row>
    <row r="35" spans="1:29" ht="15">
      <c r="A35" s="821" t="s">
        <v>408</v>
      </c>
      <c r="B35" s="822"/>
      <c r="C35" s="2829" t="s">
        <v>23</v>
      </c>
      <c r="D35" s="2830"/>
      <c r="E35" s="2831"/>
      <c r="F35" s="2832"/>
      <c r="G35" s="2833"/>
      <c r="H35" s="2834"/>
      <c r="I35" s="2831"/>
      <c r="J35" s="2834"/>
      <c r="K35" s="1399"/>
      <c r="L35" s="2354"/>
      <c r="M35" s="2355"/>
      <c r="N35" s="2342"/>
      <c r="O35" s="2355"/>
      <c r="P35" s="3642" t="str">
        <f>A35</f>
        <v>成交单价（元/平方米）</v>
      </c>
      <c r="Q35" s="3642"/>
      <c r="R35" s="3729">
        <f>E35</f>
        <v>0</v>
      </c>
      <c r="S35" s="3729"/>
      <c r="T35" s="3729">
        <f>G35</f>
        <v>0</v>
      </c>
      <c r="U35" s="3729"/>
      <c r="V35" s="3729">
        <f>I35</f>
        <v>0</v>
      </c>
      <c r="W35" s="3729"/>
      <c r="X35" s="1306"/>
      <c r="Y35" s="1332"/>
      <c r="Z35" s="1306"/>
      <c r="AA35" s="1306"/>
      <c r="AB35" s="1306"/>
      <c r="AC35" s="1306"/>
    </row>
    <row r="36" spans="1:29" ht="15.75" thickBot="1">
      <c r="A36" s="828" t="s">
        <v>409</v>
      </c>
      <c r="B36" s="829"/>
      <c r="C36" s="2835" t="e">
        <f>R37</f>
        <v>#DIV/0!</v>
      </c>
      <c r="D36" s="2836"/>
      <c r="E36" s="2837" t="e">
        <f>R36</f>
        <v>#DIV/0!</v>
      </c>
      <c r="F36" s="2837"/>
      <c r="G36" s="2835" t="e">
        <f>T36</f>
        <v>#DIV/0!</v>
      </c>
      <c r="H36" s="2836"/>
      <c r="I36" s="2837" t="e">
        <f>V36</f>
        <v>#DIV/0!</v>
      </c>
      <c r="J36" s="2836"/>
      <c r="K36" s="1400"/>
      <c r="L36" s="2354"/>
      <c r="M36" s="2355"/>
      <c r="N36" s="2342"/>
      <c r="O36" s="2355"/>
      <c r="P36" s="3642" t="str">
        <f>A36</f>
        <v>比较价值（元/平方米）</v>
      </c>
      <c r="Q36" s="3642"/>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1306"/>
      <c r="Y36" s="1306"/>
      <c r="Z36" s="1306"/>
      <c r="AA36" s="1306"/>
      <c r="AB36" s="1306"/>
      <c r="AC36" s="1306"/>
    </row>
    <row r="37" spans="1:29" ht="15.75" thickBot="1">
      <c r="A37" s="115" t="s">
        <v>3025</v>
      </c>
      <c r="B37" s="835"/>
      <c r="C37" s="2839" t="e">
        <f>R37</f>
        <v>#DIV/0!</v>
      </c>
      <c r="D37" s="2839"/>
      <c r="E37" s="2839"/>
      <c r="F37" s="2839"/>
      <c r="G37" s="2839"/>
      <c r="H37" s="2839"/>
      <c r="I37" s="2839"/>
      <c r="J37" s="2839"/>
      <c r="K37" s="1401"/>
      <c r="L37" s="2354"/>
      <c r="M37" s="2355"/>
      <c r="N37" s="2355"/>
      <c r="O37" s="2355"/>
      <c r="P37" s="3644" t="str">
        <f>A37</f>
        <v>估价对象XX用房的比较价值（楼面单价，元/平方米）</v>
      </c>
      <c r="Q37" s="3645"/>
      <c r="R37" s="3730" t="e">
        <f>IF(F1="售价",ROUND(AVERAGE(R36:V36),0),ROUND(AVERAGE(R36:V36),1))</f>
        <v>#DIV/0!</v>
      </c>
      <c r="S37" s="3730"/>
      <c r="T37" s="3730"/>
      <c r="U37" s="3730"/>
      <c r="V37" s="3730"/>
      <c r="W37" s="3730"/>
      <c r="X37" s="1306"/>
      <c r="Y37" s="1306"/>
      <c r="Z37" s="1306"/>
      <c r="AA37" s="1306"/>
      <c r="AB37" s="1306"/>
      <c r="AC37" s="1306"/>
    </row>
    <row r="38" spans="1:29">
      <c r="A38" s="2355"/>
      <c r="B38" s="2355"/>
      <c r="C38" s="2355"/>
      <c r="D38" s="2355"/>
      <c r="E38" s="2355"/>
      <c r="F38" s="2355"/>
      <c r="G38" s="2358"/>
      <c r="H38" s="2355"/>
      <c r="I38" s="2355"/>
      <c r="J38" s="2355"/>
      <c r="K38" s="2181"/>
      <c r="L38" s="2182"/>
      <c r="M38" s="2355"/>
      <c r="N38" s="2355"/>
      <c r="O38" s="2355"/>
    </row>
    <row r="39" spans="1:29">
      <c r="A39" s="2355"/>
      <c r="B39" s="2355"/>
      <c r="C39" s="2355"/>
      <c r="D39" s="2355"/>
      <c r="E39" s="2355"/>
      <c r="F39" s="2355"/>
      <c r="G39" s="2355"/>
      <c r="H39" s="2355"/>
      <c r="I39" s="2355"/>
      <c r="J39" s="2355"/>
      <c r="K39" s="2181"/>
      <c r="L39" s="2182"/>
      <c r="M39" s="2355"/>
      <c r="N39" s="2355"/>
      <c r="O39" s="2355"/>
    </row>
    <row r="40" spans="1:29" ht="13.5" customHeight="1">
      <c r="A40" s="2355"/>
      <c r="B40" s="2355"/>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1"/>
      <c r="L40" s="2182"/>
      <c r="M40" s="2355"/>
      <c r="N40" s="2355"/>
      <c r="O40" s="2355"/>
    </row>
    <row r="41" spans="1:29" ht="13.5" customHeight="1">
      <c r="A41" s="2355"/>
      <c r="B41" s="2355"/>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1"/>
      <c r="L41" s="2182"/>
      <c r="M41" s="2355"/>
      <c r="N41" s="2355"/>
      <c r="O41" s="2355"/>
    </row>
    <row r="42" spans="1:29" s="844" customFormat="1" ht="13.5" customHeight="1">
      <c r="A42" s="2356"/>
      <c r="B42" s="2356"/>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59"/>
      <c r="L42" s="2360"/>
      <c r="M42" s="2356"/>
      <c r="N42" s="2356"/>
      <c r="O42" s="2356"/>
    </row>
    <row r="43" spans="1:29" s="844" customFormat="1">
      <c r="A43" s="2356"/>
      <c r="B43" s="2357"/>
      <c r="C43" s="2361"/>
      <c r="D43" s="2356"/>
      <c r="E43" s="2356"/>
      <c r="F43" s="2356"/>
      <c r="G43" s="2356"/>
      <c r="H43" s="2356"/>
      <c r="I43" s="2356"/>
      <c r="J43" s="2356"/>
      <c r="K43" s="2359"/>
      <c r="L43" s="2360"/>
      <c r="M43" s="2356"/>
      <c r="N43" s="2356"/>
      <c r="O43" s="2356"/>
    </row>
    <row r="44" spans="1:29">
      <c r="A44" s="2355"/>
      <c r="B44" s="2357"/>
      <c r="C44" s="2361"/>
      <c r="D44" s="2355"/>
      <c r="E44" s="2355"/>
      <c r="F44" s="2355"/>
      <c r="G44" s="2355"/>
      <c r="H44" s="2355"/>
      <c r="I44" s="2355"/>
      <c r="J44" s="2355"/>
      <c r="K44" s="2181"/>
      <c r="L44" s="2182"/>
      <c r="M44" s="2355"/>
      <c r="N44" s="2355"/>
      <c r="O44" s="2355"/>
    </row>
    <row r="45" spans="1:29" ht="21.75" thickBot="1">
      <c r="A45" s="1310" t="s">
        <v>413</v>
      </c>
      <c r="B45" s="1306"/>
      <c r="C45" s="1311"/>
      <c r="D45" s="1311"/>
      <c r="E45" s="1311"/>
      <c r="F45" s="1312"/>
      <c r="G45" s="1312"/>
      <c r="H45" s="1311"/>
      <c r="I45" s="1311"/>
      <c r="J45" s="1311"/>
      <c r="K45" s="1313"/>
      <c r="L45" s="1314"/>
      <c r="M45" s="1311"/>
      <c r="N45" s="1311"/>
      <c r="O45" s="1311"/>
      <c r="P45" s="845"/>
      <c r="Q45" s="846"/>
    </row>
    <row r="46" spans="1:29" s="850" customFormat="1" ht="15">
      <c r="A46" s="847" t="s">
        <v>396</v>
      </c>
      <c r="B46" s="848"/>
      <c r="C46" s="3038" t="str">
        <f>YEAR(C7)&amp;"-"&amp;MONTH(C7)</f>
        <v>2017-7</v>
      </c>
      <c r="D46" s="3039">
        <f>EDATE(C46,-1)</f>
        <v>42887</v>
      </c>
      <c r="E46" s="3039">
        <f t="shared" ref="E46:O46" si="16">EDATE(D46,-1)</f>
        <v>42856</v>
      </c>
      <c r="F46" s="3039">
        <f t="shared" si="16"/>
        <v>42826</v>
      </c>
      <c r="G46" s="3039">
        <f t="shared" si="16"/>
        <v>42795</v>
      </c>
      <c r="H46" s="3039">
        <f t="shared" si="16"/>
        <v>42767</v>
      </c>
      <c r="I46" s="3039">
        <f t="shared" si="16"/>
        <v>42736</v>
      </c>
      <c r="J46" s="3039">
        <f t="shared" si="16"/>
        <v>42705</v>
      </c>
      <c r="K46" s="3039">
        <f t="shared" si="16"/>
        <v>42675</v>
      </c>
      <c r="L46" s="3039">
        <f t="shared" si="16"/>
        <v>42644</v>
      </c>
      <c r="M46" s="3039">
        <f t="shared" si="16"/>
        <v>42614</v>
      </c>
      <c r="N46" s="3039">
        <f t="shared" si="16"/>
        <v>42583</v>
      </c>
      <c r="O46" s="3039">
        <f t="shared" si="16"/>
        <v>42552</v>
      </c>
      <c r="P46" s="849"/>
    </row>
    <row r="47" spans="1:29" s="406" customFormat="1" ht="15">
      <c r="A47" s="851"/>
      <c r="B47" s="852"/>
      <c r="C47" s="3036">
        <v>100</v>
      </c>
      <c r="D47" s="854"/>
      <c r="E47" s="854"/>
      <c r="F47" s="854"/>
      <c r="G47" s="854"/>
      <c r="H47" s="854"/>
      <c r="I47" s="854"/>
      <c r="J47" s="854"/>
      <c r="K47" s="854"/>
      <c r="L47" s="854"/>
      <c r="M47" s="855"/>
      <c r="N47" s="854"/>
      <c r="O47" s="856"/>
      <c r="P47" s="846"/>
    </row>
    <row r="48" spans="1:29" s="406" customFormat="1" ht="15.75" thickBot="1">
      <c r="A48" s="857" t="s">
        <v>414</v>
      </c>
      <c r="B48" s="858"/>
      <c r="C48" s="859"/>
      <c r="D48" s="860"/>
      <c r="E48" s="860"/>
      <c r="F48" s="860"/>
      <c r="G48" s="860"/>
      <c r="H48" s="860"/>
      <c r="I48" s="860"/>
      <c r="J48" s="860"/>
      <c r="K48" s="860"/>
      <c r="L48" s="860"/>
      <c r="M48" s="861"/>
      <c r="N48" s="860"/>
      <c r="O48" s="862"/>
      <c r="P48" s="846"/>
      <c r="Q48" s="846"/>
    </row>
    <row r="49" spans="1:17" s="406" customFormat="1" ht="15">
      <c r="A49" s="863" t="s">
        <v>398</v>
      </c>
      <c r="B49" s="852"/>
      <c r="C49" s="864" t="s">
        <v>415</v>
      </c>
      <c r="D49" s="140"/>
      <c r="E49" s="140"/>
      <c r="F49" s="140"/>
      <c r="G49" s="140"/>
      <c r="H49" s="140"/>
      <c r="I49" s="140"/>
      <c r="J49" s="140"/>
      <c r="K49" s="140"/>
      <c r="L49" s="141"/>
      <c r="M49" s="1050"/>
      <c r="N49" s="2362"/>
      <c r="O49" s="2362"/>
      <c r="P49" s="868"/>
      <c r="Q49" s="846"/>
    </row>
    <row r="50" spans="1:17" s="406" customFormat="1" ht="15.75" thickBot="1">
      <c r="A50" s="863"/>
      <c r="B50" s="852"/>
      <c r="C50" s="981">
        <v>100</v>
      </c>
      <c r="D50" s="854"/>
      <c r="E50" s="854"/>
      <c r="F50" s="854"/>
      <c r="G50" s="854"/>
      <c r="H50" s="854"/>
      <c r="I50" s="854"/>
      <c r="J50" s="854"/>
      <c r="K50" s="854"/>
      <c r="L50" s="854"/>
      <c r="M50" s="856"/>
      <c r="N50" s="2362"/>
      <c r="O50" s="2362"/>
      <c r="P50" s="846"/>
      <c r="Q50" s="846"/>
    </row>
    <row r="51" spans="1:17">
      <c r="A51" s="869" t="s">
        <v>416</v>
      </c>
      <c r="B51" s="870" t="s">
        <v>417</v>
      </c>
      <c r="C51" s="871">
        <f>C9</f>
        <v>0</v>
      </c>
      <c r="D51" s="122"/>
      <c r="E51" s="122"/>
      <c r="F51" s="122"/>
      <c r="G51" s="122"/>
      <c r="H51" s="122"/>
      <c r="I51" s="122"/>
      <c r="J51" s="122"/>
      <c r="K51" s="123"/>
      <c r="L51" s="124"/>
      <c r="M51" s="125"/>
      <c r="N51" s="2363"/>
      <c r="O51" s="2363"/>
      <c r="P51" s="334"/>
      <c r="Q51" s="846"/>
    </row>
    <row r="52" spans="1:17" ht="15.75" thickBot="1">
      <c r="A52" s="876"/>
      <c r="B52" s="877"/>
      <c r="C52" s="878">
        <v>100</v>
      </c>
      <c r="D52" s="878"/>
      <c r="E52" s="878"/>
      <c r="F52" s="878"/>
      <c r="G52" s="878"/>
      <c r="H52" s="878"/>
      <c r="I52" s="878"/>
      <c r="J52" s="878"/>
      <c r="K52" s="878"/>
      <c r="L52" s="878"/>
      <c r="M52" s="879"/>
      <c r="N52" s="2364"/>
      <c r="O52" s="2364"/>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63"/>
      <c r="O53" s="2363"/>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4"/>
      <c r="O54" s="2364"/>
      <c r="P54" s="334"/>
      <c r="Q54" s="846"/>
    </row>
    <row r="55" spans="1:17" ht="15.75" thickTop="1">
      <c r="A55" s="876"/>
      <c r="B55" s="213">
        <f>B11</f>
        <v>111</v>
      </c>
      <c r="C55" s="126"/>
      <c r="D55" s="126"/>
      <c r="E55" s="126"/>
      <c r="F55" s="126"/>
      <c r="G55" s="126"/>
      <c r="H55" s="126"/>
      <c r="I55" s="126"/>
      <c r="J55" s="126"/>
      <c r="K55" s="127"/>
      <c r="L55" s="128"/>
      <c r="M55" s="129"/>
      <c r="N55" s="2363"/>
      <c r="O55" s="2363"/>
      <c r="P55" s="334"/>
      <c r="Q55" s="846"/>
    </row>
    <row r="56" spans="1:17" ht="15.75" thickBot="1">
      <c r="A56" s="876"/>
      <c r="B56" s="1052"/>
      <c r="C56" s="902"/>
      <c r="D56" s="878"/>
      <c r="E56" s="878"/>
      <c r="F56" s="878"/>
      <c r="G56" s="878"/>
      <c r="H56" s="878"/>
      <c r="I56" s="878"/>
      <c r="J56" s="878"/>
      <c r="K56" s="878"/>
      <c r="L56" s="878"/>
      <c r="M56" s="879"/>
      <c r="N56" s="2364"/>
      <c r="O56" s="2364"/>
      <c r="P56" s="334"/>
      <c r="Q56" s="846"/>
    </row>
    <row r="57" spans="1:17" s="813" customFormat="1" ht="15.75" thickTop="1">
      <c r="A57" s="895"/>
      <c r="B57" s="1053">
        <f>B12</f>
        <v>111</v>
      </c>
      <c r="C57" s="126"/>
      <c r="D57" s="126"/>
      <c r="E57" s="126"/>
      <c r="F57" s="126"/>
      <c r="G57" s="139"/>
      <c r="H57" s="1058"/>
      <c r="I57" s="1058"/>
      <c r="J57" s="1058"/>
      <c r="K57" s="1058"/>
      <c r="L57" s="1059"/>
      <c r="M57" s="1060"/>
      <c r="N57" s="2365"/>
      <c r="O57" s="2365"/>
      <c r="P57" s="900"/>
      <c r="Q57" s="901"/>
    </row>
    <row r="58" spans="1:17" s="813" customFormat="1" ht="15.75" thickBot="1">
      <c r="A58" s="895"/>
      <c r="B58" s="1054"/>
      <c r="C58" s="902"/>
      <c r="D58" s="878"/>
      <c r="E58" s="878"/>
      <c r="F58" s="878"/>
      <c r="G58" s="878"/>
      <c r="H58" s="878"/>
      <c r="I58" s="878"/>
      <c r="J58" s="878"/>
      <c r="K58" s="878"/>
      <c r="L58" s="878"/>
      <c r="M58" s="879"/>
      <c r="N58" s="2364"/>
      <c r="O58" s="2364"/>
      <c r="P58" s="900"/>
      <c r="Q58" s="901"/>
    </row>
    <row r="59" spans="1:17" s="813" customFormat="1" ht="15.75" thickTop="1">
      <c r="A59" s="895"/>
      <c r="B59" s="1053">
        <f>B13</f>
        <v>111</v>
      </c>
      <c r="C59" s="126"/>
      <c r="D59" s="126"/>
      <c r="E59" s="126"/>
      <c r="F59" s="126"/>
      <c r="G59" s="139"/>
      <c r="H59" s="1058"/>
      <c r="I59" s="1058"/>
      <c r="J59" s="1058"/>
      <c r="K59" s="1058"/>
      <c r="L59" s="1059"/>
      <c r="M59" s="1060"/>
      <c r="N59" s="2365"/>
      <c r="O59" s="2365"/>
      <c r="P59" s="812"/>
      <c r="Q59" s="903"/>
    </row>
    <row r="60" spans="1:17" s="813" customFormat="1" ht="15.75" thickBot="1">
      <c r="A60" s="895"/>
      <c r="B60" s="1054"/>
      <c r="C60" s="902"/>
      <c r="D60" s="902"/>
      <c r="E60" s="902"/>
      <c r="F60" s="902"/>
      <c r="G60" s="902"/>
      <c r="H60" s="904"/>
      <c r="I60" s="904"/>
      <c r="J60" s="904"/>
      <c r="K60" s="904"/>
      <c r="L60" s="904"/>
      <c r="M60" s="905"/>
      <c r="N60" s="2365"/>
      <c r="O60" s="2365"/>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63"/>
      <c r="O61" s="2363"/>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4"/>
      <c r="O62" s="2364"/>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63"/>
      <c r="O63" s="2363"/>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4"/>
      <c r="O64" s="2364"/>
      <c r="P64" s="334"/>
      <c r="Q64" s="846"/>
    </row>
    <row r="65" spans="1:17" ht="15.75" thickTop="1">
      <c r="A65" s="876"/>
      <c r="B65" s="1055" t="s">
        <v>2672</v>
      </c>
      <c r="C65" s="213" t="s">
        <v>2662</v>
      </c>
      <c r="D65" s="213" t="s">
        <v>2663</v>
      </c>
      <c r="E65" s="213" t="s">
        <v>2664</v>
      </c>
      <c r="F65" s="213" t="s">
        <v>2665</v>
      </c>
      <c r="G65" s="213" t="s">
        <v>2666</v>
      </c>
      <c r="H65" s="881"/>
      <c r="I65" s="881"/>
      <c r="J65" s="881"/>
      <c r="K65" s="881"/>
      <c r="L65" s="881"/>
      <c r="M65" s="2758"/>
      <c r="N65" s="2364"/>
      <c r="O65" s="2364"/>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4"/>
      <c r="O66" s="2364"/>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63"/>
      <c r="O67" s="2363"/>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4"/>
      <c r="O68" s="2364"/>
      <c r="P68" s="334"/>
      <c r="Q68" s="846"/>
    </row>
    <row r="69" spans="1:17" ht="15.75" thickTop="1">
      <c r="A69" s="876"/>
      <c r="B69" s="880" t="s">
        <v>431</v>
      </c>
      <c r="C69" s="139"/>
      <c r="D69" s="139"/>
      <c r="E69" s="139"/>
      <c r="F69" s="139"/>
      <c r="G69" s="139"/>
      <c r="H69" s="131"/>
      <c r="I69" s="131"/>
      <c r="J69" s="131"/>
      <c r="K69" s="132"/>
      <c r="L69" s="133"/>
      <c r="M69" s="134"/>
      <c r="N69" s="2363"/>
      <c r="O69" s="2363"/>
      <c r="P69" s="334"/>
      <c r="Q69" s="846"/>
    </row>
    <row r="70" spans="1:17" ht="15.75" thickBot="1">
      <c r="A70" s="876"/>
      <c r="B70" s="885"/>
      <c r="C70" s="886">
        <v>100</v>
      </c>
      <c r="D70" s="886">
        <f>C70-$K22</f>
        <v>100</v>
      </c>
      <c r="E70" s="886"/>
      <c r="F70" s="886"/>
      <c r="G70" s="886"/>
      <c r="H70" s="886"/>
      <c r="I70" s="886"/>
      <c r="J70" s="886"/>
      <c r="K70" s="886"/>
      <c r="L70" s="886"/>
      <c r="M70" s="887"/>
      <c r="N70" s="2364"/>
      <c r="O70" s="2364"/>
      <c r="P70" s="334"/>
      <c r="Q70" s="846"/>
    </row>
    <row r="71" spans="1:17" s="406" customFormat="1" ht="15.75" thickTop="1">
      <c r="A71" s="921"/>
      <c r="B71" s="1053">
        <f>B23</f>
        <v>111</v>
      </c>
      <c r="C71" s="126"/>
      <c r="D71" s="126"/>
      <c r="E71" s="126"/>
      <c r="F71" s="126"/>
      <c r="G71" s="139"/>
      <c r="H71" s="139"/>
      <c r="I71" s="139"/>
      <c r="J71" s="139"/>
      <c r="K71" s="139"/>
      <c r="L71" s="1383"/>
      <c r="M71" s="1384"/>
      <c r="N71" s="2362"/>
      <c r="O71" s="2362"/>
      <c r="P71" s="334"/>
      <c r="Q71" s="846"/>
    </row>
    <row r="72" spans="1:17" s="406" customFormat="1" ht="15.75" thickBot="1">
      <c r="A72" s="921"/>
      <c r="B72" s="1054"/>
      <c r="C72" s="902"/>
      <c r="D72" s="878"/>
      <c r="E72" s="878"/>
      <c r="F72" s="878"/>
      <c r="G72" s="878"/>
      <c r="H72" s="878"/>
      <c r="I72" s="878"/>
      <c r="J72" s="878"/>
      <c r="K72" s="878"/>
      <c r="L72" s="878"/>
      <c r="M72" s="879"/>
      <c r="N72" s="2364"/>
      <c r="O72" s="2364"/>
      <c r="P72" s="334"/>
      <c r="Q72" s="846"/>
    </row>
    <row r="73" spans="1:17" s="406" customFormat="1" ht="15.75" thickTop="1">
      <c r="A73" s="921"/>
      <c r="B73" s="1053">
        <f>B24</f>
        <v>111</v>
      </c>
      <c r="C73" s="126"/>
      <c r="D73" s="126"/>
      <c r="E73" s="126"/>
      <c r="F73" s="126"/>
      <c r="G73" s="139"/>
      <c r="H73" s="139"/>
      <c r="I73" s="139"/>
      <c r="J73" s="139"/>
      <c r="K73" s="139"/>
      <c r="L73" s="139"/>
      <c r="M73" s="1384"/>
      <c r="N73" s="2362"/>
      <c r="O73" s="2362"/>
      <c r="P73" s="334"/>
      <c r="Q73" s="846"/>
    </row>
    <row r="74" spans="1:17" s="406" customFormat="1" ht="15.75" thickBot="1">
      <c r="A74" s="921"/>
      <c r="B74" s="1054"/>
      <c r="C74" s="902"/>
      <c r="D74" s="878"/>
      <c r="E74" s="878"/>
      <c r="F74" s="878"/>
      <c r="G74" s="878"/>
      <c r="H74" s="878"/>
      <c r="I74" s="878"/>
      <c r="J74" s="878"/>
      <c r="K74" s="878"/>
      <c r="L74" s="878"/>
      <c r="M74" s="879"/>
      <c r="N74" s="2364"/>
      <c r="O74" s="2364"/>
      <c r="P74" s="334"/>
      <c r="Q74" s="846"/>
    </row>
    <row r="75" spans="1:17" s="813" customFormat="1" ht="15.75" thickTop="1">
      <c r="A75" s="895"/>
      <c r="B75" s="1053">
        <f>B25</f>
        <v>111</v>
      </c>
      <c r="C75" s="126"/>
      <c r="D75" s="126"/>
      <c r="E75" s="126"/>
      <c r="F75" s="126"/>
      <c r="G75" s="139"/>
      <c r="H75" s="1058"/>
      <c r="I75" s="1058"/>
      <c r="J75" s="1058"/>
      <c r="K75" s="1058"/>
      <c r="L75" s="1059"/>
      <c r="M75" s="1060"/>
      <c r="N75" s="2365"/>
      <c r="O75" s="2365"/>
      <c r="P75" s="900"/>
      <c r="Q75" s="901"/>
    </row>
    <row r="76" spans="1:17" s="813" customFormat="1" ht="15.75" thickBot="1">
      <c r="A76" s="895"/>
      <c r="B76" s="1054"/>
      <c r="C76" s="902"/>
      <c r="D76" s="902"/>
      <c r="E76" s="902"/>
      <c r="F76" s="902"/>
      <c r="G76" s="878"/>
      <c r="H76" s="878"/>
      <c r="I76" s="878"/>
      <c r="J76" s="878"/>
      <c r="K76" s="878"/>
      <c r="L76" s="878"/>
      <c r="M76" s="879"/>
      <c r="N76" s="2365"/>
      <c r="O76" s="2365"/>
      <c r="P76" s="900"/>
      <c r="Q76" s="901"/>
    </row>
    <row r="77" spans="1:17" ht="15" thickTop="1">
      <c r="A77" s="869" t="s">
        <v>406</v>
      </c>
      <c r="B77" s="870" t="s">
        <v>432</v>
      </c>
      <c r="C77" s="139"/>
      <c r="D77" s="139"/>
      <c r="E77" s="122"/>
      <c r="F77" s="122"/>
      <c r="G77" s="122"/>
      <c r="H77" s="122"/>
      <c r="I77" s="122"/>
      <c r="J77" s="122"/>
      <c r="K77" s="123"/>
      <c r="L77" s="124"/>
      <c r="M77" s="125"/>
      <c r="N77" s="2363"/>
      <c r="O77" s="2363"/>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4"/>
      <c r="O78" s="2364"/>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2"/>
      <c r="O79" s="2362"/>
      <c r="P79" s="334"/>
      <c r="Q79" s="846"/>
    </row>
    <row r="80" spans="1:17" ht="15">
      <c r="A80" s="876"/>
      <c r="B80" s="888"/>
      <c r="C80" s="945">
        <v>0.5</v>
      </c>
      <c r="D80" s="945">
        <v>0.6</v>
      </c>
      <c r="E80" s="945">
        <v>0.7</v>
      </c>
      <c r="F80" s="945">
        <v>0.8</v>
      </c>
      <c r="G80" s="945">
        <v>0.9</v>
      </c>
      <c r="H80" s="945">
        <v>1.0001</v>
      </c>
      <c r="I80" s="1002"/>
      <c r="J80" s="1002"/>
      <c r="K80" s="1010"/>
      <c r="L80" s="1011"/>
      <c r="M80" s="1012"/>
      <c r="N80" s="2362"/>
      <c r="O80" s="2362"/>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4"/>
      <c r="O81" s="2364"/>
      <c r="P81" s="900"/>
      <c r="Q81" s="901"/>
    </row>
    <row r="82" spans="1:17" ht="15" thickTop="1">
      <c r="A82" s="941"/>
      <c r="B82" s="888" t="s">
        <v>468</v>
      </c>
      <c r="C82" s="139"/>
      <c r="D82" s="139"/>
      <c r="E82" s="131"/>
      <c r="F82" s="131"/>
      <c r="G82" s="131"/>
      <c r="H82" s="131"/>
      <c r="I82" s="131"/>
      <c r="J82" s="131"/>
      <c r="K82" s="132"/>
      <c r="L82" s="133"/>
      <c r="M82" s="134"/>
      <c r="N82" s="2363"/>
      <c r="O82" s="2363"/>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4"/>
      <c r="O83" s="2364"/>
      <c r="P83" s="334"/>
      <c r="Q83" s="846"/>
    </row>
    <row r="84" spans="1:17" ht="15" thickTop="1">
      <c r="A84" s="941"/>
      <c r="B84" s="880" t="s">
        <v>476</v>
      </c>
      <c r="C84" s="139"/>
      <c r="D84" s="139"/>
      <c r="E84" s="139"/>
      <c r="F84" s="139"/>
      <c r="G84" s="139"/>
      <c r="H84" s="139"/>
      <c r="I84" s="131"/>
      <c r="J84" s="131"/>
      <c r="K84" s="132"/>
      <c r="L84" s="133"/>
      <c r="M84" s="134"/>
      <c r="N84" s="2363"/>
      <c r="O84" s="2363"/>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4"/>
      <c r="O85" s="2364"/>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3"/>
      <c r="O86" s="2363"/>
      <c r="P86" s="334"/>
      <c r="Q86" s="846"/>
    </row>
    <row r="87" spans="1:17">
      <c r="A87" s="941"/>
      <c r="B87" s="888"/>
      <c r="C87" s="937"/>
      <c r="D87" s="937"/>
      <c r="E87" s="937"/>
      <c r="F87" s="937"/>
      <c r="G87" s="937"/>
      <c r="H87" s="937"/>
      <c r="I87" s="937"/>
      <c r="J87" s="938"/>
      <c r="K87" s="938"/>
      <c r="L87" s="939"/>
      <c r="M87" s="940"/>
      <c r="N87" s="2363"/>
      <c r="O87" s="2363"/>
      <c r="P87" s="334"/>
      <c r="Q87" s="846"/>
    </row>
    <row r="88" spans="1:17" ht="15.75" thickBot="1">
      <c r="A88" s="876"/>
      <c r="B88" s="885"/>
      <c r="C88" s="902"/>
      <c r="D88" s="878"/>
      <c r="E88" s="878"/>
      <c r="F88" s="878"/>
      <c r="G88" s="878"/>
      <c r="H88" s="878"/>
      <c r="I88" s="878"/>
      <c r="J88" s="878"/>
      <c r="K88" s="878"/>
      <c r="L88" s="878"/>
      <c r="M88" s="878"/>
      <c r="N88" s="2364"/>
      <c r="O88" s="2364"/>
      <c r="P88" s="334"/>
      <c r="Q88" s="846"/>
    </row>
    <row r="89" spans="1:17" s="813" customFormat="1" ht="15" thickTop="1">
      <c r="A89" s="935"/>
      <c r="B89" s="880" t="s">
        <v>478</v>
      </c>
      <c r="C89" s="139"/>
      <c r="D89" s="139"/>
      <c r="E89" s="139"/>
      <c r="F89" s="139"/>
      <c r="G89" s="139"/>
      <c r="H89" s="139"/>
      <c r="I89" s="139"/>
      <c r="J89" s="139"/>
      <c r="K89" s="139"/>
      <c r="L89" s="139"/>
      <c r="M89" s="1384"/>
      <c r="N89" s="2365"/>
      <c r="O89" s="2365"/>
      <c r="P89" s="900"/>
      <c r="Q89" s="901"/>
    </row>
    <row r="90" spans="1:17" s="813" customFormat="1" ht="15.75" thickBot="1">
      <c r="A90" s="895"/>
      <c r="B90" s="885"/>
      <c r="C90" s="902"/>
      <c r="D90" s="878"/>
      <c r="E90" s="878"/>
      <c r="F90" s="878"/>
      <c r="G90" s="878"/>
      <c r="H90" s="878"/>
      <c r="I90" s="878"/>
      <c r="J90" s="878"/>
      <c r="K90" s="878"/>
      <c r="L90" s="878"/>
      <c r="M90" s="879"/>
      <c r="N90" s="2365"/>
      <c r="O90" s="2365"/>
      <c r="P90" s="900"/>
      <c r="Q90" s="901"/>
    </row>
    <row r="91" spans="1:17" ht="15" thickTop="1">
      <c r="A91" s="941"/>
      <c r="B91" s="1053">
        <f>B32</f>
        <v>111</v>
      </c>
      <c r="C91" s="126"/>
      <c r="D91" s="126"/>
      <c r="E91" s="126"/>
      <c r="F91" s="126"/>
      <c r="G91" s="139"/>
      <c r="H91" s="1058"/>
      <c r="I91" s="1058"/>
      <c r="J91" s="1058"/>
      <c r="K91" s="1058"/>
      <c r="L91" s="1059"/>
      <c r="M91" s="1060"/>
      <c r="N91" s="2363"/>
      <c r="O91" s="2363"/>
      <c r="P91" s="334"/>
      <c r="Q91" s="846"/>
    </row>
    <row r="92" spans="1:17" ht="15.75" thickBot="1">
      <c r="A92" s="876"/>
      <c r="B92" s="1054"/>
      <c r="C92" s="902"/>
      <c r="D92" s="878"/>
      <c r="E92" s="878"/>
      <c r="F92" s="878"/>
      <c r="G92" s="902"/>
      <c r="H92" s="904"/>
      <c r="I92" s="904"/>
      <c r="J92" s="904"/>
      <c r="K92" s="904"/>
      <c r="L92" s="904"/>
      <c r="M92" s="905"/>
      <c r="N92" s="2364"/>
      <c r="O92" s="2364"/>
      <c r="P92" s="334"/>
      <c r="Q92" s="846"/>
    </row>
    <row r="93" spans="1:17" ht="15" thickTop="1">
      <c r="A93" s="941"/>
      <c r="B93" s="1053">
        <f>B33</f>
        <v>111</v>
      </c>
      <c r="C93" s="126"/>
      <c r="D93" s="126"/>
      <c r="E93" s="126"/>
      <c r="F93" s="126"/>
      <c r="G93" s="139"/>
      <c r="H93" s="1058"/>
      <c r="I93" s="1058"/>
      <c r="J93" s="1058"/>
      <c r="K93" s="1058"/>
      <c r="L93" s="1059"/>
      <c r="M93" s="1060"/>
      <c r="N93" s="2363"/>
      <c r="O93" s="2363"/>
      <c r="P93" s="334"/>
      <c r="Q93" s="846"/>
    </row>
    <row r="94" spans="1:17" ht="15.75" thickBot="1">
      <c r="A94" s="876"/>
      <c r="B94" s="1054"/>
      <c r="C94" s="902"/>
      <c r="D94" s="878"/>
      <c r="E94" s="878"/>
      <c r="F94" s="878"/>
      <c r="G94" s="902"/>
      <c r="H94" s="904"/>
      <c r="I94" s="904"/>
      <c r="J94" s="904"/>
      <c r="K94" s="904"/>
      <c r="L94" s="904"/>
      <c r="M94" s="905"/>
      <c r="N94" s="2364"/>
      <c r="O94" s="2364"/>
      <c r="P94" s="334"/>
      <c r="Q94" s="846"/>
    </row>
    <row r="95" spans="1:17" ht="15" thickTop="1">
      <c r="A95" s="941"/>
      <c r="B95" s="211">
        <f>B34</f>
        <v>111</v>
      </c>
      <c r="C95" s="126"/>
      <c r="D95" s="126"/>
      <c r="E95" s="126"/>
      <c r="F95" s="126"/>
      <c r="G95" s="139"/>
      <c r="H95" s="1058"/>
      <c r="I95" s="1058"/>
      <c r="J95" s="1058"/>
      <c r="K95" s="1058"/>
      <c r="L95" s="1059"/>
      <c r="M95" s="1060"/>
      <c r="N95" s="2364"/>
      <c r="O95" s="2364"/>
      <c r="P95" s="979"/>
      <c r="Q95" s="980"/>
    </row>
    <row r="96" spans="1:17" ht="15.75" thickBot="1">
      <c r="A96" s="876"/>
      <c r="B96" s="1054"/>
      <c r="C96" s="902"/>
      <c r="D96" s="902"/>
      <c r="E96" s="902"/>
      <c r="F96" s="902"/>
      <c r="G96" s="902"/>
      <c r="H96" s="904"/>
      <c r="I96" s="904"/>
      <c r="J96" s="904"/>
      <c r="K96" s="904"/>
      <c r="L96" s="904"/>
      <c r="M96" s="905"/>
      <c r="N96" s="2364"/>
      <c r="O96" s="2364"/>
      <c r="P96" s="334"/>
      <c r="Q96" s="846"/>
    </row>
    <row r="97" spans="1:20" ht="15" thickTop="1"/>
    <row r="98" spans="1:20">
      <c r="A98" s="2366"/>
      <c r="B98" s="2366"/>
      <c r="C98" s="2366"/>
      <c r="D98" s="2366"/>
      <c r="E98" s="2366"/>
      <c r="F98" s="2366"/>
      <c r="G98" s="2366"/>
      <c r="H98" s="2366"/>
      <c r="I98" s="2366"/>
      <c r="J98" s="2366"/>
      <c r="K98" s="2367"/>
      <c r="L98" s="2368"/>
      <c r="M98" s="2366"/>
      <c r="N98" s="2366"/>
      <c r="O98" s="2366"/>
      <c r="P98" s="2366"/>
      <c r="Q98" s="2366"/>
      <c r="R98" s="2366"/>
      <c r="S98" s="2366"/>
      <c r="T98" s="2366"/>
    </row>
    <row r="99" spans="1:20">
      <c r="A99" s="2366"/>
      <c r="B99" s="2366"/>
      <c r="C99" s="2366"/>
      <c r="D99" s="2366"/>
      <c r="E99" s="2366"/>
      <c r="F99" s="2366"/>
      <c r="G99" s="2366"/>
      <c r="H99" s="2366"/>
      <c r="I99" s="2366"/>
      <c r="J99" s="2366"/>
      <c r="K99" s="2367"/>
      <c r="L99" s="2368"/>
      <c r="M99" s="2366"/>
      <c r="N99" s="2366"/>
      <c r="O99" s="2366"/>
      <c r="P99" s="2366"/>
      <c r="Q99" s="2366"/>
      <c r="R99" s="2366"/>
      <c r="S99" s="2366"/>
      <c r="T99" s="2366"/>
    </row>
    <row r="100" spans="1:20">
      <c r="A100" s="2366"/>
      <c r="B100" s="2366"/>
      <c r="C100" s="2366"/>
      <c r="D100" s="2366"/>
      <c r="E100" s="2366"/>
      <c r="F100" s="2366"/>
      <c r="G100" s="2366"/>
      <c r="H100" s="2366"/>
      <c r="I100" s="2366"/>
      <c r="J100" s="2366"/>
      <c r="K100" s="2367"/>
      <c r="L100" s="2368"/>
      <c r="M100" s="2366"/>
      <c r="N100" s="2366"/>
      <c r="O100" s="2366"/>
      <c r="P100" s="2366"/>
      <c r="Q100" s="2366"/>
      <c r="R100" s="2366"/>
      <c r="S100" s="2366"/>
      <c r="T100" s="2366"/>
    </row>
    <row r="101" spans="1:20">
      <c r="A101" s="2366"/>
      <c r="B101" s="2366"/>
      <c r="C101" s="2366"/>
      <c r="D101" s="2366"/>
      <c r="E101" s="2366"/>
      <c r="F101" s="2366"/>
      <c r="G101" s="2366"/>
      <c r="H101" s="2366"/>
      <c r="I101" s="2366"/>
      <c r="J101" s="2366"/>
      <c r="K101" s="2367"/>
      <c r="L101" s="2368"/>
      <c r="M101" s="2366"/>
      <c r="N101" s="2366"/>
      <c r="O101" s="2366"/>
      <c r="P101" s="2366"/>
      <c r="Q101" s="2366"/>
      <c r="R101" s="2366"/>
      <c r="S101" s="2366"/>
      <c r="T101" s="2366"/>
    </row>
    <row r="102" spans="1:20">
      <c r="A102" s="2366"/>
      <c r="B102" s="2366"/>
      <c r="C102" s="2366"/>
      <c r="D102" s="2366"/>
      <c r="E102" s="2366"/>
      <c r="F102" s="2366"/>
      <c r="G102" s="2366"/>
      <c r="H102" s="2366"/>
      <c r="I102" s="2366"/>
      <c r="J102" s="2366"/>
      <c r="K102" s="2367"/>
      <c r="L102" s="2368"/>
      <c r="M102" s="2366"/>
      <c r="N102" s="2366"/>
      <c r="O102" s="2366"/>
      <c r="P102" s="2366"/>
      <c r="Q102" s="2366"/>
      <c r="R102" s="2366"/>
      <c r="S102" s="2366"/>
      <c r="T102" s="2366"/>
    </row>
    <row r="103" spans="1:20">
      <c r="A103" s="2366"/>
      <c r="B103" s="2366"/>
      <c r="C103" s="2366"/>
      <c r="D103" s="2366"/>
      <c r="E103" s="2366"/>
      <c r="F103" s="2366"/>
      <c r="G103" s="2366"/>
      <c r="H103" s="2366"/>
      <c r="I103" s="2366"/>
      <c r="J103" s="2366"/>
      <c r="K103" s="2367"/>
      <c r="L103" s="2368"/>
      <c r="M103" s="2366"/>
      <c r="N103" s="2366"/>
      <c r="O103" s="2366"/>
      <c r="P103" s="2366"/>
      <c r="Q103" s="2366"/>
      <c r="R103" s="2366"/>
      <c r="S103" s="2366"/>
      <c r="T103" s="2366"/>
    </row>
    <row r="104" spans="1:20">
      <c r="A104" s="2366"/>
      <c r="B104" s="2366"/>
      <c r="C104" s="2366"/>
      <c r="D104" s="2366"/>
      <c r="E104" s="2366"/>
      <c r="F104" s="2366"/>
      <c r="G104" s="2366"/>
      <c r="H104" s="2366"/>
      <c r="I104" s="2366"/>
      <c r="J104" s="2366"/>
      <c r="K104" s="2367"/>
      <c r="L104" s="2368"/>
      <c r="M104" s="2366"/>
      <c r="N104" s="2366"/>
      <c r="O104" s="2366"/>
      <c r="P104" s="2366"/>
      <c r="Q104" s="2366"/>
      <c r="R104" s="2366"/>
      <c r="S104" s="2366"/>
      <c r="T104" s="2366"/>
    </row>
    <row r="105" spans="1:20">
      <c r="A105" s="2366"/>
      <c r="B105" s="2366"/>
      <c r="C105" s="2366"/>
      <c r="D105" s="2366"/>
      <c r="E105" s="2366"/>
      <c r="F105" s="2366"/>
      <c r="G105" s="2366"/>
      <c r="H105" s="2366"/>
      <c r="I105" s="2366"/>
      <c r="J105" s="2366"/>
      <c r="K105" s="2367"/>
      <c r="L105" s="2368"/>
      <c r="M105" s="2366"/>
      <c r="N105" s="2366"/>
      <c r="O105" s="2366"/>
      <c r="P105" s="2366"/>
      <c r="Q105" s="2366"/>
      <c r="R105" s="2366"/>
      <c r="S105" s="2366"/>
      <c r="T105" s="2366"/>
    </row>
    <row r="106" spans="1:20">
      <c r="A106" s="2366"/>
      <c r="B106" s="2366"/>
      <c r="C106" s="2366"/>
      <c r="D106" s="2366"/>
      <c r="E106" s="2366"/>
      <c r="F106" s="2366"/>
      <c r="G106" s="2366"/>
      <c r="H106" s="2366"/>
      <c r="I106" s="2366"/>
      <c r="J106" s="2366"/>
      <c r="K106" s="2367"/>
      <c r="L106" s="2368"/>
      <c r="M106" s="2366"/>
      <c r="N106" s="2366"/>
      <c r="O106" s="2366"/>
      <c r="P106" s="2366"/>
      <c r="Q106" s="2366"/>
      <c r="R106" s="2366"/>
      <c r="S106" s="2366"/>
      <c r="T106" s="2366"/>
    </row>
    <row r="107" spans="1:20">
      <c r="A107" s="2366"/>
      <c r="B107" s="2366"/>
      <c r="C107" s="2366"/>
      <c r="D107" s="2366"/>
      <c r="E107" s="2366"/>
      <c r="F107" s="2366"/>
      <c r="G107" s="2366"/>
      <c r="H107" s="2366"/>
      <c r="I107" s="2366"/>
      <c r="J107" s="2366"/>
      <c r="K107" s="2367"/>
      <c r="L107" s="2368"/>
      <c r="M107" s="2366"/>
      <c r="N107" s="2366"/>
      <c r="O107" s="2366"/>
      <c r="P107" s="2366"/>
      <c r="Q107" s="2366"/>
      <c r="R107" s="2366"/>
      <c r="S107" s="2366"/>
      <c r="T107" s="2366"/>
    </row>
    <row r="108" spans="1:20">
      <c r="A108" s="2366"/>
      <c r="B108" s="2366"/>
      <c r="C108" s="2366"/>
      <c r="D108" s="2366"/>
      <c r="E108" s="2366"/>
      <c r="F108" s="2366"/>
      <c r="G108" s="2366"/>
      <c r="H108" s="2366"/>
      <c r="I108" s="2366"/>
      <c r="J108" s="2366"/>
      <c r="K108" s="2367"/>
      <c r="L108" s="2368"/>
      <c r="M108" s="2366"/>
      <c r="N108" s="2366"/>
      <c r="O108" s="2366"/>
      <c r="P108" s="2366"/>
      <c r="Q108" s="2366"/>
      <c r="R108" s="2366"/>
      <c r="S108" s="2366"/>
      <c r="T108" s="2366"/>
    </row>
    <row r="109" spans="1:20">
      <c r="A109" s="2366"/>
      <c r="B109" s="2366"/>
      <c r="C109" s="2366"/>
      <c r="D109" s="2366"/>
      <c r="E109" s="2366"/>
      <c r="F109" s="2366"/>
      <c r="G109" s="2366"/>
      <c r="H109" s="2366"/>
      <c r="I109" s="2366"/>
      <c r="J109" s="2366"/>
      <c r="K109" s="2367"/>
      <c r="L109" s="2368"/>
      <c r="M109" s="2366"/>
      <c r="N109" s="2366"/>
      <c r="O109" s="2366"/>
      <c r="P109" s="2366"/>
      <c r="Q109" s="2366"/>
      <c r="R109" s="2366"/>
      <c r="S109" s="2366"/>
      <c r="T109" s="2366"/>
    </row>
    <row r="110" spans="1:20">
      <c r="A110" s="2366"/>
      <c r="B110" s="2366"/>
      <c r="C110" s="2366"/>
      <c r="D110" s="2366"/>
      <c r="E110" s="2366"/>
      <c r="F110" s="2366"/>
      <c r="G110" s="2366"/>
      <c r="H110" s="2366"/>
      <c r="I110" s="2366"/>
      <c r="J110" s="2366"/>
      <c r="K110" s="2367"/>
      <c r="L110" s="2368"/>
      <c r="M110" s="2366"/>
      <c r="N110" s="2366"/>
      <c r="O110" s="2366"/>
      <c r="P110" s="2366"/>
      <c r="Q110" s="2366"/>
      <c r="R110" s="2366"/>
      <c r="S110" s="2366"/>
      <c r="T110" s="2366"/>
    </row>
    <row r="111" spans="1:20">
      <c r="A111" s="2366"/>
      <c r="B111" s="2366"/>
      <c r="C111" s="2366"/>
      <c r="D111" s="2366"/>
      <c r="E111" s="2366"/>
      <c r="F111" s="2366"/>
      <c r="G111" s="2366"/>
      <c r="H111" s="2366"/>
      <c r="I111" s="2366"/>
      <c r="J111" s="2366"/>
      <c r="K111" s="2367"/>
      <c r="L111" s="2368"/>
      <c r="M111" s="2366"/>
      <c r="N111" s="2366"/>
      <c r="O111" s="2366"/>
      <c r="P111" s="2366"/>
      <c r="Q111" s="2366"/>
      <c r="R111" s="2366"/>
      <c r="S111" s="2366"/>
      <c r="T111" s="2366"/>
    </row>
    <row r="112" spans="1:20">
      <c r="A112" s="2366"/>
      <c r="B112" s="2366"/>
      <c r="C112" s="2366"/>
      <c r="D112" s="2366"/>
      <c r="E112" s="2366"/>
      <c r="F112" s="2366"/>
      <c r="G112" s="2366"/>
      <c r="H112" s="2366"/>
      <c r="I112" s="2366"/>
      <c r="J112" s="2366"/>
      <c r="K112" s="2367"/>
      <c r="L112" s="2368"/>
      <c r="M112" s="2366"/>
      <c r="N112" s="2366"/>
      <c r="O112" s="2366"/>
      <c r="P112" s="2366"/>
      <c r="Q112" s="2366"/>
      <c r="R112" s="2366"/>
      <c r="S112" s="2366"/>
      <c r="T112" s="2366"/>
    </row>
    <row r="113" spans="1:20">
      <c r="A113" s="2366"/>
      <c r="B113" s="2366"/>
      <c r="C113" s="2366"/>
      <c r="D113" s="2366"/>
      <c r="E113" s="2366"/>
      <c r="F113" s="2366"/>
      <c r="G113" s="2366"/>
      <c r="H113" s="2366"/>
      <c r="I113" s="2366"/>
      <c r="J113" s="2366"/>
      <c r="K113" s="2367"/>
      <c r="L113" s="2368"/>
      <c r="M113" s="2366"/>
      <c r="N113" s="2366"/>
      <c r="O113" s="2366"/>
      <c r="P113" s="2366"/>
      <c r="Q113" s="2366"/>
      <c r="R113" s="2366"/>
      <c r="S113" s="2366"/>
      <c r="T113" s="2366"/>
    </row>
    <row r="114" spans="1:20">
      <c r="A114" s="2366"/>
      <c r="B114" s="2366"/>
      <c r="C114" s="2366"/>
      <c r="D114" s="2366"/>
      <c r="E114" s="2366"/>
      <c r="F114" s="2366"/>
      <c r="G114" s="2366"/>
      <c r="H114" s="2366"/>
      <c r="I114" s="2366"/>
      <c r="J114" s="2366"/>
      <c r="K114" s="2367"/>
      <c r="L114" s="2368"/>
      <c r="M114" s="2366"/>
      <c r="N114" s="2366"/>
      <c r="O114" s="2366"/>
      <c r="P114" s="2366"/>
      <c r="Q114" s="2366"/>
      <c r="R114" s="2366"/>
      <c r="S114" s="2366"/>
      <c r="T114" s="2366"/>
    </row>
    <row r="115" spans="1:20">
      <c r="A115" s="2366"/>
      <c r="B115" s="2366"/>
      <c r="C115" s="2366"/>
      <c r="D115" s="2366"/>
      <c r="E115" s="2366"/>
      <c r="F115" s="2366"/>
      <c r="G115" s="2366"/>
      <c r="H115" s="2366"/>
      <c r="I115" s="2366"/>
      <c r="J115" s="2366"/>
      <c r="K115" s="2367"/>
      <c r="L115" s="2368"/>
      <c r="M115" s="2366"/>
      <c r="N115" s="2366"/>
      <c r="O115" s="2366"/>
      <c r="P115" s="2366"/>
      <c r="Q115" s="2366"/>
      <c r="R115" s="2366"/>
      <c r="S115" s="2366"/>
      <c r="T115" s="2366"/>
    </row>
    <row r="116" spans="1:20">
      <c r="A116" s="2366"/>
      <c r="B116" s="2366"/>
      <c r="C116" s="2366"/>
      <c r="D116" s="2366"/>
      <c r="E116" s="2366"/>
      <c r="F116" s="2366"/>
      <c r="G116" s="2366"/>
      <c r="H116" s="2366"/>
      <c r="I116" s="2366"/>
      <c r="J116" s="2366"/>
      <c r="K116" s="2367"/>
      <c r="L116" s="2368"/>
      <c r="M116" s="2366"/>
      <c r="N116" s="2366"/>
      <c r="O116" s="2366"/>
      <c r="P116" s="2366"/>
      <c r="Q116" s="2366"/>
      <c r="R116" s="2366"/>
      <c r="S116" s="2366"/>
      <c r="T116" s="2366"/>
    </row>
    <row r="117" spans="1:20">
      <c r="A117" s="2366"/>
      <c r="B117" s="2366"/>
      <c r="C117" s="2366"/>
      <c r="D117" s="2366"/>
      <c r="E117" s="2366"/>
      <c r="F117" s="2366"/>
      <c r="G117" s="2366"/>
      <c r="H117" s="2366"/>
      <c r="I117" s="2366"/>
      <c r="J117" s="2366"/>
      <c r="K117" s="2367"/>
      <c r="L117" s="2368"/>
      <c r="M117" s="2366"/>
      <c r="N117" s="2366"/>
      <c r="O117" s="2366"/>
      <c r="P117" s="2366"/>
      <c r="Q117" s="2366"/>
      <c r="R117" s="2366"/>
      <c r="S117" s="2366"/>
      <c r="T117" s="2366"/>
    </row>
    <row r="118" spans="1:20">
      <c r="A118" s="2366"/>
      <c r="B118" s="2366"/>
      <c r="C118" s="2366"/>
      <c r="D118" s="2366"/>
      <c r="E118" s="2366"/>
      <c r="F118" s="2366"/>
      <c r="G118" s="2366"/>
      <c r="H118" s="2366"/>
      <c r="I118" s="2366"/>
      <c r="J118" s="2366"/>
      <c r="K118" s="2367"/>
      <c r="L118" s="2368"/>
      <c r="M118" s="2366"/>
      <c r="N118" s="2366"/>
      <c r="O118" s="2366"/>
      <c r="P118" s="2366"/>
      <c r="Q118" s="2366"/>
      <c r="R118" s="2366"/>
      <c r="S118" s="2366"/>
      <c r="T118" s="2366"/>
    </row>
    <row r="119" spans="1:20">
      <c r="A119" s="2366"/>
      <c r="B119" s="2366"/>
      <c r="C119" s="2366"/>
      <c r="D119" s="2366"/>
      <c r="E119" s="2366"/>
      <c r="F119" s="2366"/>
      <c r="G119" s="2366"/>
      <c r="H119" s="2366"/>
      <c r="I119" s="2366"/>
      <c r="J119" s="2366"/>
      <c r="K119" s="2367"/>
      <c r="L119" s="2368"/>
      <c r="M119" s="2366"/>
      <c r="N119" s="2366"/>
      <c r="O119" s="2366"/>
      <c r="P119" s="2366"/>
      <c r="Q119" s="2366"/>
      <c r="R119" s="2366"/>
      <c r="S119" s="2366"/>
      <c r="T119" s="2366"/>
    </row>
    <row r="120" spans="1:20">
      <c r="A120" s="2366"/>
      <c r="B120" s="2366"/>
      <c r="C120" s="2366"/>
      <c r="D120" s="2366"/>
      <c r="E120" s="2366"/>
      <c r="F120" s="2366"/>
      <c r="G120" s="2366"/>
      <c r="H120" s="2366"/>
      <c r="I120" s="2366"/>
      <c r="J120" s="2366"/>
      <c r="K120" s="2367"/>
      <c r="L120" s="2368"/>
      <c r="M120" s="2366"/>
      <c r="N120" s="2366"/>
      <c r="O120" s="2366"/>
      <c r="P120" s="2366"/>
      <c r="Q120" s="2366"/>
      <c r="R120" s="2366"/>
      <c r="S120" s="2366"/>
      <c r="T120" s="2366"/>
    </row>
    <row r="121" spans="1:20">
      <c r="A121" s="2366"/>
      <c r="B121" s="2366"/>
      <c r="C121" s="2366"/>
      <c r="D121" s="2366"/>
      <c r="E121" s="2366"/>
      <c r="F121" s="2366"/>
      <c r="G121" s="2366"/>
      <c r="H121" s="2366"/>
      <c r="I121" s="2366"/>
      <c r="J121" s="2366"/>
      <c r="K121" s="2367"/>
      <c r="L121" s="2368"/>
      <c r="M121" s="2366"/>
      <c r="N121" s="2366"/>
      <c r="O121" s="2366"/>
      <c r="P121" s="2366"/>
      <c r="Q121" s="2366"/>
      <c r="R121" s="2366"/>
      <c r="S121" s="2366"/>
      <c r="T121" s="2366"/>
    </row>
    <row r="122" spans="1:20">
      <c r="A122" s="2366"/>
      <c r="B122" s="2366"/>
      <c r="C122" s="2366"/>
      <c r="D122" s="2366"/>
      <c r="E122" s="2366"/>
      <c r="F122" s="2366"/>
      <c r="G122" s="2366"/>
      <c r="H122" s="2366"/>
      <c r="I122" s="2366"/>
      <c r="J122" s="2366"/>
      <c r="K122" s="2367"/>
      <c r="L122" s="2368"/>
      <c r="M122" s="2366"/>
      <c r="N122" s="2366"/>
      <c r="O122" s="2366"/>
      <c r="P122" s="2366"/>
      <c r="Q122" s="2366"/>
      <c r="R122" s="2366"/>
      <c r="S122" s="2366"/>
      <c r="T122" s="2366"/>
    </row>
    <row r="123" spans="1:20">
      <c r="A123" s="2366"/>
      <c r="B123" s="2366"/>
      <c r="C123" s="2366"/>
      <c r="D123" s="2366"/>
      <c r="E123" s="2366"/>
      <c r="F123" s="2366"/>
      <c r="G123" s="2366"/>
      <c r="H123" s="2366"/>
      <c r="I123" s="2366"/>
      <c r="J123" s="2366"/>
      <c r="K123" s="2367"/>
      <c r="L123" s="2368"/>
      <c r="M123" s="2366"/>
      <c r="N123" s="2366"/>
      <c r="O123" s="2366"/>
      <c r="P123" s="2366"/>
      <c r="Q123" s="2366"/>
      <c r="R123" s="2366"/>
      <c r="S123" s="2366"/>
      <c r="T123" s="2366"/>
    </row>
    <row r="124" spans="1:20">
      <c r="A124" s="2366"/>
      <c r="B124" s="2366"/>
      <c r="C124" s="2366"/>
      <c r="D124" s="2366"/>
      <c r="E124" s="2366"/>
      <c r="F124" s="2366"/>
      <c r="G124" s="2366"/>
      <c r="H124" s="2366"/>
      <c r="I124" s="2366"/>
      <c r="J124" s="2366"/>
      <c r="K124" s="2367"/>
      <c r="L124" s="2368"/>
      <c r="M124" s="2366"/>
      <c r="N124" s="2366"/>
      <c r="O124" s="2366"/>
      <c r="P124" s="2366"/>
      <c r="Q124" s="2366"/>
      <c r="R124" s="2366"/>
      <c r="S124" s="2366"/>
      <c r="T124" s="2366"/>
    </row>
    <row r="125" spans="1:20">
      <c r="A125" s="2366"/>
      <c r="B125" s="2366"/>
      <c r="C125" s="2366"/>
      <c r="D125" s="2366"/>
      <c r="E125" s="2366"/>
      <c r="F125" s="2366"/>
      <c r="G125" s="2366"/>
      <c r="H125" s="2366"/>
      <c r="I125" s="2366"/>
      <c r="J125" s="2366"/>
      <c r="K125" s="2367"/>
      <c r="L125" s="2368"/>
      <c r="M125" s="2366"/>
      <c r="N125" s="2366"/>
      <c r="O125" s="2366"/>
      <c r="P125" s="2366"/>
      <c r="Q125" s="2366"/>
      <c r="R125" s="2366"/>
      <c r="S125" s="2366"/>
      <c r="T125" s="2366"/>
    </row>
    <row r="126" spans="1:20">
      <c r="A126" s="2366"/>
      <c r="B126" s="2366"/>
      <c r="C126" s="2366"/>
      <c r="D126" s="2366"/>
      <c r="E126" s="2366"/>
      <c r="F126" s="2366"/>
      <c r="G126" s="2366"/>
      <c r="H126" s="2366"/>
      <c r="I126" s="2366"/>
      <c r="J126" s="2366"/>
      <c r="K126" s="2367"/>
      <c r="L126" s="2368"/>
      <c r="M126" s="2366"/>
      <c r="N126" s="2366"/>
      <c r="O126" s="2366"/>
      <c r="P126" s="2366"/>
      <c r="Q126" s="2366"/>
      <c r="R126" s="2366"/>
      <c r="S126" s="2366"/>
      <c r="T126" s="2366"/>
    </row>
    <row r="127" spans="1:20">
      <c r="A127" s="2366"/>
      <c r="B127" s="2366"/>
      <c r="C127" s="2366"/>
      <c r="D127" s="2366"/>
      <c r="E127" s="2366"/>
      <c r="F127" s="2366"/>
      <c r="G127" s="2366"/>
      <c r="H127" s="2366"/>
      <c r="I127" s="2366"/>
      <c r="J127" s="2366"/>
      <c r="K127" s="2367"/>
      <c r="L127" s="2368"/>
      <c r="M127" s="2366"/>
      <c r="N127" s="2366"/>
      <c r="O127" s="2366"/>
      <c r="P127" s="2366"/>
      <c r="Q127" s="2366"/>
      <c r="R127" s="2366"/>
      <c r="S127" s="2366"/>
      <c r="T127" s="2366"/>
    </row>
    <row r="128" spans="1:20">
      <c r="A128" s="2366"/>
      <c r="B128" s="2366"/>
      <c r="C128" s="2366"/>
      <c r="D128" s="2366"/>
      <c r="E128" s="2366"/>
      <c r="F128" s="2366"/>
      <c r="G128" s="2366"/>
      <c r="H128" s="2366"/>
      <c r="I128" s="2366"/>
      <c r="J128" s="2366"/>
      <c r="K128" s="2367"/>
      <c r="L128" s="2368"/>
      <c r="M128" s="2366"/>
      <c r="N128" s="2366"/>
      <c r="O128" s="2366"/>
      <c r="P128" s="2366"/>
      <c r="Q128" s="2366"/>
      <c r="R128" s="2366"/>
      <c r="S128" s="2366"/>
      <c r="T128" s="2366"/>
    </row>
    <row r="129" spans="1:20">
      <c r="A129" s="2366"/>
      <c r="B129" s="2366"/>
      <c r="C129" s="2366"/>
      <c r="D129" s="2366"/>
      <c r="E129" s="2366"/>
      <c r="F129" s="2366"/>
      <c r="G129" s="2366"/>
      <c r="H129" s="2366"/>
      <c r="I129" s="2366"/>
      <c r="J129" s="2366"/>
      <c r="K129" s="2367"/>
      <c r="L129" s="2368"/>
      <c r="M129" s="2366"/>
      <c r="N129" s="2366"/>
      <c r="O129" s="2366"/>
      <c r="P129" s="2366"/>
      <c r="Q129" s="2366"/>
      <c r="R129" s="2366"/>
      <c r="S129" s="2366"/>
      <c r="T129" s="2366"/>
    </row>
    <row r="130" spans="1:20">
      <c r="A130" s="2366"/>
      <c r="B130" s="2366"/>
      <c r="C130" s="2366"/>
      <c r="D130" s="2366"/>
      <c r="E130" s="2366"/>
      <c r="F130" s="2366"/>
      <c r="G130" s="2366"/>
      <c r="H130" s="2366"/>
      <c r="I130" s="2366"/>
      <c r="J130" s="2366"/>
      <c r="K130" s="2367"/>
      <c r="L130" s="2368"/>
      <c r="M130" s="2366"/>
      <c r="N130" s="2366"/>
      <c r="O130" s="2366"/>
      <c r="P130" s="2366"/>
      <c r="Q130" s="2366"/>
      <c r="R130" s="2366"/>
      <c r="S130" s="2366"/>
      <c r="T130" s="2366"/>
    </row>
    <row r="131" spans="1:20">
      <c r="A131" s="2366"/>
      <c r="B131" s="2366"/>
      <c r="C131" s="2366"/>
      <c r="D131" s="2366"/>
      <c r="E131" s="2366"/>
      <c r="F131" s="2366"/>
      <c r="G131" s="2366"/>
      <c r="H131" s="2366"/>
      <c r="I131" s="2366"/>
      <c r="J131" s="2366"/>
      <c r="K131" s="2367"/>
      <c r="L131" s="2368"/>
      <c r="M131" s="2366"/>
      <c r="N131" s="2366"/>
      <c r="O131" s="2366"/>
      <c r="P131" s="2366"/>
      <c r="Q131" s="2366"/>
      <c r="R131" s="2366"/>
      <c r="S131" s="2366"/>
      <c r="T131" s="2366"/>
    </row>
    <row r="132" spans="1:20">
      <c r="A132" s="2366"/>
      <c r="B132" s="2366"/>
      <c r="C132" s="2366"/>
      <c r="D132" s="2366"/>
      <c r="E132" s="2366"/>
      <c r="F132" s="2366"/>
      <c r="G132" s="2366"/>
      <c r="H132" s="2366"/>
      <c r="I132" s="2366"/>
      <c r="J132" s="2366"/>
      <c r="K132" s="2367"/>
      <c r="L132" s="2368"/>
      <c r="M132" s="2366"/>
      <c r="N132" s="2366"/>
      <c r="O132" s="2366"/>
      <c r="P132" s="2366"/>
      <c r="Q132" s="2366"/>
      <c r="R132" s="2366"/>
      <c r="S132" s="2366"/>
      <c r="T132" s="2366"/>
    </row>
    <row r="133" spans="1:20">
      <c r="A133" s="2366"/>
      <c r="B133" s="2366"/>
      <c r="C133" s="2366"/>
      <c r="D133" s="2366"/>
      <c r="E133" s="2366"/>
      <c r="F133" s="2366"/>
      <c r="G133" s="2366"/>
      <c r="H133" s="2366"/>
      <c r="I133" s="2366"/>
      <c r="J133" s="2366"/>
      <c r="K133" s="2367"/>
      <c r="L133" s="2368"/>
      <c r="M133" s="2366"/>
      <c r="N133" s="2366"/>
      <c r="O133" s="2366"/>
      <c r="P133" s="2366"/>
      <c r="Q133" s="2366"/>
      <c r="R133" s="2366"/>
      <c r="S133" s="2366"/>
      <c r="T133" s="2366"/>
    </row>
    <row r="134" spans="1:20">
      <c r="A134" s="2366"/>
      <c r="B134" s="2366"/>
      <c r="C134" s="2366"/>
      <c r="D134" s="2366"/>
      <c r="E134" s="2366"/>
      <c r="F134" s="2366"/>
      <c r="G134" s="2366"/>
      <c r="H134" s="2366"/>
      <c r="I134" s="2366"/>
      <c r="J134" s="2366"/>
      <c r="K134" s="2367"/>
      <c r="L134" s="2368"/>
      <c r="M134" s="2366"/>
      <c r="N134" s="2366"/>
      <c r="O134" s="2366"/>
      <c r="P134" s="2366"/>
      <c r="Q134" s="2366"/>
      <c r="R134" s="2366"/>
      <c r="S134" s="2366"/>
      <c r="T134" s="2366"/>
    </row>
    <row r="135" spans="1:20">
      <c r="A135" s="2366"/>
      <c r="B135" s="2366"/>
      <c r="C135" s="2366"/>
      <c r="D135" s="2366"/>
      <c r="E135" s="2366"/>
      <c r="F135" s="2366"/>
      <c r="G135" s="2366"/>
      <c r="H135" s="2366"/>
      <c r="I135" s="2366"/>
      <c r="J135" s="2366"/>
      <c r="K135" s="2367"/>
      <c r="L135" s="2368"/>
      <c r="M135" s="2366"/>
      <c r="N135" s="2366"/>
      <c r="O135" s="2366"/>
      <c r="P135" s="2366"/>
      <c r="Q135" s="2366"/>
      <c r="R135" s="2366"/>
      <c r="S135" s="2366"/>
      <c r="T135" s="2366"/>
    </row>
    <row r="136" spans="1:20">
      <c r="A136" s="2366"/>
      <c r="B136" s="2366"/>
      <c r="C136" s="2366"/>
      <c r="D136" s="2366"/>
      <c r="E136" s="2366"/>
      <c r="F136" s="2366"/>
      <c r="G136" s="2366"/>
      <c r="H136" s="2366"/>
      <c r="I136" s="2366"/>
      <c r="J136" s="2366"/>
      <c r="K136" s="2367"/>
      <c r="L136" s="2368"/>
      <c r="M136" s="2366"/>
      <c r="N136" s="2366"/>
      <c r="O136" s="2366"/>
      <c r="P136" s="2366"/>
      <c r="Q136" s="2366"/>
      <c r="R136" s="2366"/>
      <c r="S136" s="2366"/>
      <c r="T136" s="2366"/>
    </row>
    <row r="137" spans="1:20">
      <c r="A137" s="2366"/>
      <c r="B137" s="2366"/>
      <c r="C137" s="2366"/>
      <c r="D137" s="2366"/>
      <c r="E137" s="2366"/>
      <c r="F137" s="2366"/>
      <c r="G137" s="2366"/>
      <c r="H137" s="2366"/>
      <c r="I137" s="2366"/>
      <c r="J137" s="2366"/>
      <c r="K137" s="2367"/>
      <c r="L137" s="2368"/>
      <c r="M137" s="2366"/>
      <c r="N137" s="2366"/>
      <c r="O137" s="2366"/>
      <c r="P137" s="2366"/>
      <c r="Q137" s="2366"/>
      <c r="R137" s="2366"/>
      <c r="S137" s="2366"/>
      <c r="T137" s="2366"/>
    </row>
    <row r="138" spans="1:20">
      <c r="A138" s="2366"/>
      <c r="B138" s="2366"/>
      <c r="C138" s="2366"/>
      <c r="D138" s="2366"/>
      <c r="E138" s="2366"/>
      <c r="F138" s="2366"/>
      <c r="G138" s="2366"/>
      <c r="H138" s="2366"/>
      <c r="I138" s="2366"/>
      <c r="J138" s="2366"/>
      <c r="K138" s="2367"/>
      <c r="L138" s="2368"/>
      <c r="M138" s="2366"/>
      <c r="N138" s="2366"/>
      <c r="O138" s="2366"/>
      <c r="P138" s="2366"/>
      <c r="Q138" s="2366"/>
      <c r="R138" s="2366"/>
      <c r="S138" s="2366"/>
      <c r="T138" s="2366"/>
    </row>
    <row r="139" spans="1:20">
      <c r="A139" s="2366"/>
      <c r="B139" s="2366"/>
      <c r="C139" s="2366"/>
      <c r="D139" s="2366"/>
      <c r="E139" s="2366"/>
      <c r="F139" s="2366"/>
      <c r="G139" s="2366"/>
      <c r="H139" s="2366"/>
      <c r="I139" s="2366"/>
      <c r="J139" s="2366"/>
      <c r="K139" s="2367"/>
      <c r="L139" s="2368"/>
      <c r="M139" s="2366"/>
      <c r="N139" s="2366"/>
      <c r="O139" s="2366"/>
      <c r="P139" s="2366"/>
      <c r="Q139" s="2366"/>
      <c r="R139" s="2366"/>
      <c r="S139" s="2366"/>
      <c r="T139" s="2366"/>
    </row>
    <row r="140" spans="1:20">
      <c r="A140" s="2366"/>
      <c r="B140" s="2366"/>
      <c r="C140" s="2366"/>
      <c r="D140" s="2366"/>
      <c r="E140" s="2366"/>
      <c r="F140" s="2366"/>
      <c r="G140" s="2366"/>
      <c r="H140" s="2366"/>
      <c r="I140" s="2366"/>
      <c r="J140" s="2366"/>
      <c r="K140" s="2367"/>
      <c r="L140" s="2368"/>
      <c r="M140" s="2366"/>
      <c r="N140" s="2366"/>
      <c r="O140" s="2366"/>
      <c r="P140" s="2366"/>
      <c r="Q140" s="2366"/>
      <c r="R140" s="2366"/>
      <c r="S140" s="2366"/>
      <c r="T140" s="2366"/>
    </row>
    <row r="141" spans="1:20">
      <c r="A141" s="2366"/>
      <c r="B141" s="2366"/>
      <c r="C141" s="2366"/>
      <c r="D141" s="2366"/>
      <c r="E141" s="2366"/>
      <c r="F141" s="2366"/>
      <c r="G141" s="2366"/>
      <c r="H141" s="2366"/>
      <c r="I141" s="2366"/>
      <c r="J141" s="2366"/>
      <c r="K141" s="2367"/>
      <c r="L141" s="2368"/>
      <c r="M141" s="2366"/>
      <c r="N141" s="2366"/>
      <c r="O141" s="2366"/>
      <c r="P141" s="2366"/>
      <c r="Q141" s="2366"/>
      <c r="R141" s="2366"/>
      <c r="S141" s="2366"/>
      <c r="T141" s="2366"/>
    </row>
    <row r="142" spans="1:20">
      <c r="A142" s="2366"/>
      <c r="B142" s="2366"/>
      <c r="C142" s="2366"/>
      <c r="D142" s="2366"/>
      <c r="E142" s="2366"/>
      <c r="F142" s="2366"/>
      <c r="G142" s="2366"/>
      <c r="H142" s="2366"/>
      <c r="I142" s="2366"/>
      <c r="J142" s="2366"/>
      <c r="K142" s="2367"/>
      <c r="L142" s="2368"/>
      <c r="M142" s="2366"/>
      <c r="N142" s="2366"/>
      <c r="O142" s="2366"/>
      <c r="P142" s="2366"/>
      <c r="Q142" s="2366"/>
      <c r="R142" s="2366"/>
      <c r="S142" s="2366"/>
      <c r="T142" s="2366"/>
    </row>
    <row r="143" spans="1:20">
      <c r="A143" s="2366"/>
      <c r="B143" s="2366"/>
      <c r="C143" s="2366"/>
      <c r="D143" s="2366"/>
      <c r="E143" s="2366"/>
      <c r="F143" s="2366"/>
      <c r="G143" s="2366"/>
      <c r="H143" s="2366"/>
      <c r="I143" s="2366"/>
      <c r="J143" s="2366"/>
      <c r="K143" s="2367"/>
      <c r="L143" s="2368"/>
      <c r="M143" s="2366"/>
      <c r="N143" s="2366"/>
      <c r="O143" s="2366"/>
      <c r="P143" s="2366"/>
      <c r="Q143" s="2366"/>
      <c r="R143" s="2366"/>
      <c r="S143" s="2366"/>
      <c r="T143" s="2366"/>
    </row>
    <row r="144" spans="1:20">
      <c r="A144" s="2366"/>
      <c r="B144" s="2366"/>
      <c r="C144" s="2366"/>
      <c r="D144" s="2366"/>
      <c r="E144" s="2366"/>
      <c r="F144" s="2366"/>
      <c r="G144" s="2366"/>
      <c r="H144" s="2366"/>
      <c r="I144" s="2366"/>
      <c r="J144" s="2366"/>
      <c r="K144" s="2367"/>
      <c r="L144" s="2368"/>
      <c r="M144" s="2366"/>
      <c r="N144" s="2366"/>
      <c r="O144" s="2366"/>
      <c r="P144" s="2366"/>
      <c r="Q144" s="2366"/>
      <c r="R144" s="2366"/>
      <c r="S144" s="2366"/>
      <c r="T144" s="2366"/>
    </row>
    <row r="145" spans="1:20">
      <c r="A145" s="2366"/>
      <c r="B145" s="2366"/>
      <c r="C145" s="2366"/>
      <c r="D145" s="2366"/>
      <c r="E145" s="2366"/>
      <c r="F145" s="2366"/>
      <c r="G145" s="2366"/>
      <c r="H145" s="2366"/>
      <c r="I145" s="2366"/>
      <c r="J145" s="2366"/>
      <c r="K145" s="2367"/>
      <c r="L145" s="2368"/>
      <c r="M145" s="2366"/>
      <c r="N145" s="2366"/>
      <c r="O145" s="2366"/>
      <c r="P145" s="2366"/>
      <c r="Q145" s="2366"/>
      <c r="R145" s="2366"/>
      <c r="S145" s="2366"/>
      <c r="T145" s="2366"/>
    </row>
    <row r="146" spans="1:20">
      <c r="A146" s="2366"/>
      <c r="B146" s="2366"/>
      <c r="C146" s="2366"/>
      <c r="D146" s="2366"/>
      <c r="E146" s="2366"/>
      <c r="F146" s="2366"/>
      <c r="G146" s="2366"/>
      <c r="H146" s="2366"/>
      <c r="I146" s="2366"/>
      <c r="J146" s="2366"/>
      <c r="K146" s="2367"/>
      <c r="L146" s="2368"/>
      <c r="M146" s="2366"/>
      <c r="N146" s="2366"/>
      <c r="O146" s="2366"/>
      <c r="P146" s="2366"/>
      <c r="Q146" s="2366"/>
      <c r="R146" s="2366"/>
      <c r="S146" s="2366"/>
      <c r="T146" s="2366"/>
    </row>
    <row r="147" spans="1:20">
      <c r="A147" s="2366"/>
      <c r="B147" s="2366"/>
      <c r="C147" s="2366"/>
      <c r="D147" s="2366"/>
      <c r="E147" s="2366"/>
      <c r="F147" s="2366"/>
      <c r="G147" s="2366"/>
      <c r="H147" s="2366"/>
      <c r="I147" s="2366"/>
      <c r="J147" s="2366"/>
      <c r="K147" s="2367"/>
      <c r="L147" s="2368"/>
      <c r="M147" s="2366"/>
      <c r="N147" s="2366"/>
      <c r="O147" s="2366"/>
      <c r="P147" s="2366"/>
      <c r="Q147" s="2366"/>
      <c r="R147" s="2366"/>
      <c r="S147" s="2366"/>
      <c r="T147" s="2366"/>
    </row>
    <row r="148" spans="1:20">
      <c r="A148" s="2366"/>
      <c r="B148" s="2366"/>
      <c r="C148" s="2366"/>
      <c r="D148" s="2366"/>
      <c r="E148" s="2366"/>
      <c r="F148" s="2366"/>
      <c r="G148" s="2366"/>
      <c r="H148" s="2366"/>
      <c r="I148" s="2366"/>
      <c r="J148" s="2366"/>
      <c r="K148" s="2367"/>
      <c r="L148" s="2368"/>
      <c r="M148" s="2366"/>
      <c r="N148" s="2366"/>
      <c r="O148" s="2366"/>
      <c r="P148" s="2366"/>
      <c r="Q148" s="2366"/>
      <c r="R148" s="2366"/>
      <c r="S148" s="2366"/>
      <c r="T148" s="2366"/>
    </row>
    <row r="149" spans="1:20">
      <c r="A149" s="2366"/>
      <c r="B149" s="2366"/>
      <c r="C149" s="2366"/>
      <c r="D149" s="2366"/>
      <c r="E149" s="2366"/>
      <c r="F149" s="2366"/>
      <c r="G149" s="2366"/>
      <c r="H149" s="2366"/>
      <c r="I149" s="2366"/>
      <c r="J149" s="2366"/>
      <c r="K149" s="2367"/>
      <c r="L149" s="2368"/>
      <c r="M149" s="2366"/>
      <c r="N149" s="2366"/>
      <c r="O149" s="2366"/>
      <c r="P149" s="2366"/>
      <c r="Q149" s="2366"/>
      <c r="R149" s="2366"/>
      <c r="S149" s="2366"/>
      <c r="T149" s="2366"/>
    </row>
    <row r="150" spans="1:20">
      <c r="A150" s="2366"/>
      <c r="B150" s="2366"/>
      <c r="C150" s="2366"/>
      <c r="D150" s="2366"/>
      <c r="E150" s="2366"/>
      <c r="F150" s="2366"/>
      <c r="G150" s="2366"/>
      <c r="H150" s="2366"/>
      <c r="I150" s="2366"/>
      <c r="J150" s="2366"/>
      <c r="K150" s="2367"/>
      <c r="L150" s="2368"/>
      <c r="M150" s="2366"/>
      <c r="N150" s="2366"/>
      <c r="O150" s="2366"/>
      <c r="P150" s="2366"/>
      <c r="Q150" s="2366"/>
      <c r="R150" s="2366"/>
      <c r="S150" s="2366"/>
      <c r="T150" s="2366"/>
    </row>
    <row r="151" spans="1:20">
      <c r="A151" s="2366"/>
      <c r="B151" s="2366"/>
      <c r="C151" s="2366"/>
      <c r="D151" s="2366"/>
      <c r="E151" s="2366"/>
      <c r="F151" s="2366"/>
      <c r="G151" s="2366"/>
      <c r="H151" s="2366"/>
      <c r="I151" s="2366"/>
      <c r="J151" s="2366"/>
      <c r="K151" s="2367"/>
      <c r="L151" s="2368"/>
      <c r="M151" s="2366"/>
      <c r="N151" s="2366"/>
      <c r="O151" s="2366"/>
      <c r="P151" s="2366"/>
      <c r="Q151" s="2366"/>
      <c r="R151" s="2366"/>
      <c r="S151" s="2366"/>
      <c r="T151" s="2366"/>
    </row>
    <row r="152" spans="1:20">
      <c r="A152" s="2366"/>
      <c r="B152" s="2366"/>
      <c r="C152" s="2366"/>
      <c r="D152" s="2366"/>
      <c r="E152" s="2366"/>
      <c r="F152" s="2366"/>
      <c r="G152" s="2366"/>
      <c r="H152" s="2366"/>
      <c r="I152" s="2366"/>
      <c r="J152" s="2366"/>
      <c r="K152" s="2367"/>
      <c r="L152" s="2368"/>
      <c r="M152" s="2366"/>
      <c r="N152" s="2366"/>
      <c r="O152" s="2366"/>
      <c r="P152" s="2366"/>
      <c r="Q152" s="2366"/>
      <c r="R152" s="2366"/>
      <c r="S152" s="2366"/>
      <c r="T152" s="2366"/>
    </row>
    <row r="153" spans="1:20">
      <c r="A153" s="2366"/>
      <c r="B153" s="2366"/>
      <c r="C153" s="2366"/>
      <c r="D153" s="2366"/>
      <c r="E153" s="2366"/>
      <c r="F153" s="2366"/>
      <c r="G153" s="2366"/>
      <c r="H153" s="2366"/>
      <c r="I153" s="2366"/>
      <c r="J153" s="2366"/>
      <c r="K153" s="2367"/>
      <c r="L153" s="2368"/>
      <c r="M153" s="2366"/>
      <c r="N153" s="2366"/>
      <c r="O153" s="2366"/>
      <c r="P153" s="2366"/>
      <c r="Q153" s="2366"/>
      <c r="R153" s="2366"/>
      <c r="S153" s="2366"/>
      <c r="T153" s="2366"/>
    </row>
    <row r="154" spans="1:20">
      <c r="A154" s="2366"/>
      <c r="B154" s="2366"/>
      <c r="C154" s="2366"/>
      <c r="D154" s="2366"/>
      <c r="E154" s="2366"/>
      <c r="F154" s="2366"/>
      <c r="G154" s="2366"/>
      <c r="H154" s="2366"/>
      <c r="I154" s="2366"/>
      <c r="J154" s="2366"/>
      <c r="K154" s="2367"/>
      <c r="L154" s="2368"/>
      <c r="M154" s="2366"/>
      <c r="N154" s="2366"/>
      <c r="O154" s="2366"/>
      <c r="P154" s="2366"/>
      <c r="Q154" s="2366"/>
      <c r="R154" s="2366"/>
      <c r="S154" s="2366"/>
      <c r="T154" s="2366"/>
    </row>
    <row r="155" spans="1:20">
      <c r="A155" s="2366"/>
      <c r="B155" s="2366"/>
      <c r="C155" s="2366"/>
      <c r="D155" s="2366"/>
      <c r="E155" s="2366"/>
      <c r="F155" s="2366"/>
      <c r="G155" s="2366"/>
      <c r="H155" s="2366"/>
      <c r="I155" s="2366"/>
      <c r="J155" s="2366"/>
      <c r="K155" s="2367"/>
      <c r="L155" s="2368"/>
      <c r="M155" s="2366"/>
      <c r="N155" s="2366"/>
      <c r="O155" s="2366"/>
      <c r="P155" s="2366"/>
      <c r="Q155" s="2366"/>
      <c r="R155" s="2366"/>
      <c r="S155" s="2366"/>
      <c r="T155" s="2366"/>
    </row>
    <row r="156" spans="1:20">
      <c r="A156" s="2366"/>
      <c r="B156" s="2366"/>
      <c r="C156" s="2366"/>
      <c r="D156" s="2366"/>
      <c r="E156" s="2366"/>
      <c r="F156" s="2366"/>
      <c r="G156" s="2366"/>
      <c r="H156" s="2366"/>
      <c r="I156" s="2366"/>
      <c r="J156" s="2366"/>
      <c r="K156" s="2367"/>
      <c r="L156" s="2368"/>
      <c r="M156" s="2366"/>
      <c r="N156" s="2366"/>
      <c r="O156" s="2366"/>
      <c r="P156" s="2366"/>
      <c r="Q156" s="2366"/>
      <c r="R156" s="2366"/>
      <c r="S156" s="2366"/>
      <c r="T156" s="2366"/>
    </row>
    <row r="157" spans="1:20">
      <c r="A157" s="2366"/>
      <c r="B157" s="2366"/>
      <c r="C157" s="2366"/>
      <c r="D157" s="2366"/>
      <c r="E157" s="2366"/>
      <c r="F157" s="2366"/>
      <c r="G157" s="2366"/>
      <c r="H157" s="2366"/>
      <c r="I157" s="2366"/>
      <c r="J157" s="2366"/>
      <c r="K157" s="2367"/>
      <c r="L157" s="2368"/>
      <c r="M157" s="2366"/>
      <c r="N157" s="2366"/>
      <c r="O157" s="2366"/>
      <c r="P157" s="2366"/>
      <c r="Q157" s="2366"/>
      <c r="R157" s="2366"/>
      <c r="S157" s="2366"/>
      <c r="T157" s="2366"/>
    </row>
    <row r="158" spans="1:20">
      <c r="A158" s="2366"/>
      <c r="B158" s="2366"/>
      <c r="C158" s="2366"/>
      <c r="D158" s="2366"/>
      <c r="E158" s="2366"/>
      <c r="F158" s="2366"/>
      <c r="G158" s="2366"/>
      <c r="H158" s="2366"/>
      <c r="I158" s="2366"/>
      <c r="J158" s="2366"/>
      <c r="K158" s="2367"/>
      <c r="L158" s="2368"/>
      <c r="M158" s="2366"/>
      <c r="N158" s="2366"/>
      <c r="O158" s="2366"/>
      <c r="P158" s="2366"/>
      <c r="Q158" s="2366"/>
      <c r="R158" s="2366"/>
      <c r="S158" s="2366"/>
      <c r="T158" s="2366"/>
    </row>
    <row r="159" spans="1:20">
      <c r="A159" s="2366"/>
      <c r="B159" s="2366"/>
      <c r="C159" s="2366"/>
      <c r="D159" s="2366"/>
      <c r="E159" s="2366"/>
      <c r="F159" s="2366"/>
      <c r="G159" s="2366"/>
      <c r="H159" s="2366"/>
      <c r="I159" s="2366"/>
      <c r="J159" s="2366"/>
      <c r="K159" s="2367"/>
      <c r="L159" s="2368"/>
      <c r="M159" s="2366"/>
      <c r="N159" s="2366"/>
      <c r="O159" s="2366"/>
      <c r="P159" s="2366"/>
      <c r="Q159" s="2366"/>
      <c r="R159" s="2366"/>
      <c r="S159" s="2366"/>
      <c r="T159" s="2366"/>
    </row>
    <row r="160" spans="1:20">
      <c r="A160" s="2366"/>
      <c r="B160" s="2366"/>
      <c r="C160" s="2366"/>
      <c r="D160" s="2366"/>
      <c r="E160" s="2366"/>
      <c r="F160" s="2366"/>
      <c r="G160" s="2366"/>
      <c r="H160" s="2366"/>
      <c r="I160" s="2366"/>
      <c r="J160" s="2366"/>
      <c r="K160" s="2367"/>
      <c r="L160" s="2368"/>
      <c r="M160" s="2366"/>
      <c r="N160" s="2366"/>
      <c r="O160" s="2366"/>
      <c r="P160" s="2366"/>
      <c r="Q160" s="2366"/>
      <c r="R160" s="2366"/>
      <c r="S160" s="2366"/>
      <c r="T160" s="2366"/>
    </row>
    <row r="161" spans="1:20">
      <c r="A161" s="2366"/>
      <c r="B161" s="2366"/>
      <c r="C161" s="2366"/>
      <c r="D161" s="2366"/>
      <c r="E161" s="2366"/>
      <c r="F161" s="2366"/>
      <c r="G161" s="2366"/>
      <c r="H161" s="2366"/>
      <c r="I161" s="2366"/>
      <c r="J161" s="2366"/>
      <c r="K161" s="2367"/>
      <c r="L161" s="2368"/>
      <c r="M161" s="2366"/>
      <c r="N161" s="2366"/>
      <c r="O161" s="2366"/>
      <c r="P161" s="2366"/>
      <c r="Q161" s="2366"/>
      <c r="R161" s="2366"/>
      <c r="S161" s="2366"/>
      <c r="T161" s="2366"/>
    </row>
    <row r="162" spans="1:20">
      <c r="A162" s="2366"/>
      <c r="B162" s="2366"/>
      <c r="C162" s="2366"/>
      <c r="D162" s="2366"/>
      <c r="E162" s="2366"/>
      <c r="F162" s="2366"/>
      <c r="G162" s="2366"/>
      <c r="H162" s="2366"/>
      <c r="I162" s="2366"/>
      <c r="J162" s="2366"/>
      <c r="K162" s="2367"/>
      <c r="L162" s="2368"/>
      <c r="M162" s="2366"/>
      <c r="N162" s="2366"/>
      <c r="O162" s="2366"/>
      <c r="P162" s="2366"/>
      <c r="Q162" s="2366"/>
      <c r="R162" s="2366"/>
      <c r="S162" s="2366"/>
      <c r="T162" s="2366"/>
    </row>
    <row r="163" spans="1:20">
      <c r="A163" s="2366"/>
      <c r="B163" s="2366"/>
      <c r="C163" s="2366"/>
      <c r="D163" s="2366"/>
      <c r="E163" s="2366"/>
      <c r="F163" s="2366"/>
      <c r="G163" s="2366"/>
      <c r="H163" s="2366"/>
      <c r="I163" s="2366"/>
      <c r="J163" s="2366"/>
      <c r="K163" s="2367"/>
      <c r="L163" s="2368"/>
      <c r="M163" s="2366"/>
      <c r="N163" s="2366"/>
      <c r="O163" s="2366"/>
      <c r="P163" s="2366"/>
      <c r="Q163" s="2366"/>
      <c r="R163" s="2366"/>
      <c r="S163" s="2366"/>
      <c r="T163" s="2366"/>
    </row>
    <row r="164" spans="1:20">
      <c r="A164" s="2366"/>
      <c r="B164" s="2366"/>
      <c r="C164" s="2366"/>
      <c r="D164" s="2366"/>
      <c r="E164" s="2366"/>
      <c r="F164" s="2366"/>
      <c r="G164" s="2366"/>
      <c r="H164" s="2366"/>
      <c r="I164" s="2366"/>
      <c r="J164" s="2366"/>
      <c r="K164" s="2367"/>
      <c r="L164" s="2368"/>
      <c r="M164" s="2366"/>
      <c r="N164" s="2366"/>
      <c r="O164" s="2366"/>
      <c r="P164" s="2366"/>
      <c r="Q164" s="2366"/>
      <c r="R164" s="2366"/>
      <c r="S164" s="2366"/>
      <c r="T164" s="2366"/>
    </row>
    <row r="165" spans="1:20">
      <c r="A165" s="2366"/>
      <c r="B165" s="2366"/>
      <c r="C165" s="2366"/>
      <c r="D165" s="2366"/>
      <c r="E165" s="2366"/>
      <c r="F165" s="2366"/>
      <c r="G165" s="2366"/>
      <c r="H165" s="2366"/>
      <c r="I165" s="2366"/>
      <c r="J165" s="2366"/>
      <c r="K165" s="2367"/>
      <c r="L165" s="2368"/>
      <c r="M165" s="2366"/>
      <c r="N165" s="2366"/>
      <c r="O165" s="2366"/>
      <c r="P165" s="2366"/>
      <c r="Q165" s="2366"/>
      <c r="R165" s="2366"/>
      <c r="S165" s="2366"/>
      <c r="T165" s="2366"/>
    </row>
    <row r="166" spans="1:20">
      <c r="A166" s="2366"/>
      <c r="B166" s="2366"/>
      <c r="C166" s="2366"/>
      <c r="D166" s="2366"/>
      <c r="E166" s="2366"/>
      <c r="F166" s="2366"/>
      <c r="G166" s="2366"/>
      <c r="H166" s="2366"/>
      <c r="I166" s="2366"/>
      <c r="J166" s="2366"/>
      <c r="K166" s="2367"/>
      <c r="L166" s="2368"/>
      <c r="M166" s="2366"/>
      <c r="N166" s="2366"/>
      <c r="O166" s="2366"/>
      <c r="P166" s="2366"/>
      <c r="Q166" s="2366"/>
      <c r="R166" s="2366"/>
      <c r="S166" s="2366"/>
      <c r="T166" s="2366"/>
    </row>
    <row r="167" spans="1:20">
      <c r="A167" s="2366"/>
      <c r="B167" s="2366"/>
      <c r="C167" s="2366"/>
      <c r="D167" s="2366"/>
      <c r="E167" s="2366"/>
      <c r="F167" s="2366"/>
      <c r="G167" s="2366"/>
      <c r="H167" s="2366"/>
      <c r="I167" s="2366"/>
      <c r="J167" s="2366"/>
      <c r="K167" s="2367"/>
      <c r="L167" s="2368"/>
      <c r="M167" s="2366"/>
      <c r="N167" s="2366"/>
      <c r="O167" s="2366"/>
      <c r="P167" s="2366"/>
      <c r="Q167" s="2366"/>
      <c r="R167" s="2366"/>
      <c r="S167" s="2366"/>
      <c r="T167" s="2366"/>
    </row>
    <row r="168" spans="1:20">
      <c r="A168" s="2366"/>
      <c r="B168" s="2366"/>
      <c r="C168" s="2366"/>
      <c r="D168" s="2366"/>
      <c r="E168" s="2366"/>
      <c r="F168" s="2366"/>
      <c r="G168" s="2366"/>
      <c r="H168" s="2366"/>
      <c r="I168" s="2366"/>
      <c r="J168" s="2366"/>
      <c r="K168" s="2367"/>
      <c r="L168" s="2368"/>
      <c r="M168" s="2366"/>
      <c r="N168" s="2366"/>
      <c r="O168" s="2366"/>
      <c r="P168" s="2366"/>
      <c r="Q168" s="2366"/>
      <c r="R168" s="2366"/>
      <c r="S168" s="2366"/>
      <c r="T168" s="2366"/>
    </row>
    <row r="169" spans="1:20">
      <c r="A169" s="2366"/>
      <c r="B169" s="2366"/>
      <c r="C169" s="2366"/>
      <c r="D169" s="2366"/>
      <c r="E169" s="2366"/>
      <c r="F169" s="2366"/>
      <c r="G169" s="2366"/>
      <c r="H169" s="2366"/>
      <c r="I169" s="2366"/>
      <c r="J169" s="2366"/>
      <c r="K169" s="2367"/>
      <c r="L169" s="2368"/>
      <c r="M169" s="2366"/>
      <c r="N169" s="2366"/>
      <c r="O169" s="2366"/>
      <c r="P169" s="2366"/>
      <c r="Q169" s="2366"/>
      <c r="R169" s="2366"/>
      <c r="S169" s="2366"/>
      <c r="T169" s="2366"/>
    </row>
    <row r="170" spans="1:20">
      <c r="A170" s="2366"/>
      <c r="B170" s="2366"/>
      <c r="C170" s="2366"/>
      <c r="D170" s="2366"/>
      <c r="E170" s="2366"/>
      <c r="F170" s="2366"/>
      <c r="G170" s="2366"/>
      <c r="H170" s="2366"/>
      <c r="I170" s="2366"/>
      <c r="J170" s="2366"/>
      <c r="K170" s="2367"/>
      <c r="L170" s="2368"/>
      <c r="M170" s="2366"/>
      <c r="N170" s="2366"/>
      <c r="O170" s="2366"/>
      <c r="P170" s="2366"/>
      <c r="Q170" s="2366"/>
      <c r="R170" s="2366"/>
      <c r="S170" s="2366"/>
      <c r="T170" s="2366"/>
    </row>
    <row r="171" spans="1:20">
      <c r="A171" s="2366"/>
      <c r="B171" s="2366"/>
      <c r="C171" s="2366"/>
      <c r="D171" s="2366"/>
      <c r="E171" s="2366"/>
      <c r="F171" s="2366"/>
      <c r="G171" s="2366"/>
      <c r="H171" s="2366"/>
      <c r="I171" s="2366"/>
      <c r="J171" s="2366"/>
      <c r="K171" s="2367"/>
      <c r="L171" s="2368"/>
      <c r="M171" s="2366"/>
      <c r="N171" s="2366"/>
      <c r="O171" s="2366"/>
      <c r="P171" s="2366"/>
      <c r="Q171" s="2366"/>
      <c r="R171" s="2366"/>
      <c r="S171" s="2366"/>
      <c r="T171" s="2366"/>
    </row>
    <row r="172" spans="1:20">
      <c r="A172" s="2366"/>
      <c r="B172" s="2366"/>
      <c r="C172" s="2366"/>
      <c r="D172" s="2366"/>
      <c r="E172" s="2366"/>
      <c r="F172" s="2366"/>
      <c r="G172" s="2366"/>
      <c r="H172" s="2366"/>
      <c r="I172" s="2366"/>
      <c r="J172" s="2366"/>
      <c r="K172" s="2367"/>
      <c r="L172" s="2368"/>
      <c r="M172" s="2366"/>
      <c r="N172" s="2366"/>
      <c r="O172" s="2366"/>
      <c r="P172" s="2366"/>
      <c r="Q172" s="2366"/>
      <c r="R172" s="2366"/>
      <c r="S172" s="2366"/>
      <c r="T172" s="2366"/>
    </row>
    <row r="173" spans="1:20">
      <c r="A173" s="2366"/>
      <c r="B173" s="2366"/>
      <c r="C173" s="2366"/>
      <c r="D173" s="2366"/>
      <c r="E173" s="2366"/>
      <c r="F173" s="2366"/>
      <c r="G173" s="2366"/>
      <c r="H173" s="2366"/>
      <c r="I173" s="2366"/>
      <c r="J173" s="2366"/>
      <c r="K173" s="2367"/>
      <c r="L173" s="2368"/>
      <c r="M173" s="2366"/>
      <c r="N173" s="2366"/>
      <c r="O173" s="2366"/>
      <c r="P173" s="2366"/>
      <c r="Q173" s="2366"/>
      <c r="R173" s="2366"/>
      <c r="S173" s="2366"/>
      <c r="T173" s="2366"/>
    </row>
    <row r="174" spans="1:20">
      <c r="A174" s="2366"/>
      <c r="B174" s="2366"/>
      <c r="C174" s="2366"/>
      <c r="D174" s="2366"/>
      <c r="E174" s="2366"/>
      <c r="F174" s="2366"/>
      <c r="G174" s="2366"/>
      <c r="H174" s="2366"/>
      <c r="I174" s="2366"/>
      <c r="J174" s="2366"/>
      <c r="K174" s="2367"/>
      <c r="L174" s="2368"/>
      <c r="M174" s="2366"/>
      <c r="N174" s="2366"/>
      <c r="O174" s="2366"/>
      <c r="P174" s="2366"/>
      <c r="Q174" s="2366"/>
      <c r="R174" s="2366"/>
      <c r="S174" s="2366"/>
      <c r="T174" s="2366"/>
    </row>
    <row r="175" spans="1:20">
      <c r="A175" s="2366"/>
      <c r="B175" s="2366"/>
      <c r="C175" s="2366"/>
      <c r="D175" s="2366"/>
      <c r="E175" s="2366"/>
      <c r="F175" s="2366"/>
      <c r="G175" s="2366"/>
      <c r="H175" s="2366"/>
      <c r="I175" s="2366"/>
      <c r="J175" s="2366"/>
      <c r="K175" s="2367"/>
      <c r="L175" s="2368"/>
      <c r="M175" s="2366"/>
      <c r="N175" s="2366"/>
      <c r="O175" s="2366"/>
      <c r="P175" s="2366"/>
      <c r="Q175" s="2366"/>
      <c r="R175" s="2366"/>
      <c r="S175" s="2366"/>
      <c r="T175" s="2366"/>
    </row>
    <row r="176" spans="1:20">
      <c r="A176" s="2366"/>
      <c r="B176" s="2366"/>
      <c r="C176" s="2366"/>
      <c r="D176" s="2366"/>
      <c r="E176" s="2366"/>
      <c r="F176" s="2366"/>
      <c r="G176" s="2366"/>
      <c r="H176" s="2366"/>
      <c r="I176" s="2366"/>
      <c r="J176" s="2366"/>
      <c r="K176" s="2367"/>
      <c r="L176" s="2368"/>
      <c r="M176" s="2366"/>
      <c r="N176" s="2366"/>
      <c r="O176" s="2366"/>
      <c r="P176" s="2366"/>
      <c r="Q176" s="2366"/>
      <c r="R176" s="2366"/>
      <c r="S176" s="2366"/>
      <c r="T176" s="2366"/>
    </row>
    <row r="177" spans="1:20">
      <c r="A177" s="2366"/>
      <c r="B177" s="2366"/>
      <c r="C177" s="2366"/>
      <c r="D177" s="2366"/>
      <c r="E177" s="2366"/>
      <c r="F177" s="2366"/>
      <c r="G177" s="2366"/>
      <c r="H177" s="2366"/>
      <c r="I177" s="2366"/>
      <c r="J177" s="2366"/>
      <c r="K177" s="2367"/>
      <c r="L177" s="2368"/>
      <c r="M177" s="2366"/>
      <c r="N177" s="2366"/>
      <c r="O177" s="2366"/>
      <c r="P177" s="2366"/>
      <c r="Q177" s="2366"/>
      <c r="R177" s="2366"/>
      <c r="S177" s="2366"/>
      <c r="T177" s="2366"/>
    </row>
    <row r="178" spans="1:20">
      <c r="A178" s="2366"/>
      <c r="B178" s="2366"/>
      <c r="C178" s="2366"/>
      <c r="D178" s="2366"/>
      <c r="E178" s="2366"/>
      <c r="F178" s="2366"/>
      <c r="G178" s="2366"/>
      <c r="H178" s="2366"/>
      <c r="I178" s="2366"/>
      <c r="J178" s="2366"/>
      <c r="K178" s="2367"/>
      <c r="L178" s="2368"/>
      <c r="M178" s="2366"/>
      <c r="N178" s="2366"/>
      <c r="O178" s="2366"/>
      <c r="P178" s="2366"/>
      <c r="Q178" s="2366"/>
      <c r="R178" s="2366"/>
      <c r="S178" s="2366"/>
      <c r="T178" s="2366"/>
    </row>
    <row r="179" spans="1:20">
      <c r="A179" s="2366"/>
      <c r="B179" s="2366"/>
      <c r="C179" s="2366"/>
      <c r="D179" s="2366"/>
      <c r="E179" s="2366"/>
      <c r="F179" s="2366"/>
      <c r="G179" s="2366"/>
      <c r="H179" s="2366"/>
      <c r="I179" s="2366"/>
      <c r="J179" s="2366"/>
      <c r="K179" s="2367"/>
      <c r="L179" s="2368"/>
      <c r="M179" s="2366"/>
      <c r="N179" s="2366"/>
      <c r="O179" s="2366"/>
      <c r="P179" s="2366"/>
      <c r="Q179" s="2366"/>
      <c r="R179" s="2366"/>
      <c r="S179" s="2366"/>
      <c r="T179" s="2366"/>
    </row>
    <row r="180" spans="1:20">
      <c r="A180" s="2366"/>
      <c r="B180" s="2366"/>
      <c r="C180" s="2366"/>
      <c r="D180" s="2366"/>
      <c r="E180" s="2366"/>
      <c r="F180" s="2366"/>
      <c r="G180" s="2366"/>
      <c r="H180" s="2366"/>
      <c r="I180" s="2366"/>
      <c r="J180" s="2366"/>
      <c r="K180" s="2367"/>
      <c r="L180" s="2368"/>
      <c r="M180" s="2366"/>
      <c r="N180" s="2366"/>
      <c r="O180" s="2366"/>
      <c r="P180" s="2366"/>
      <c r="Q180" s="2366"/>
      <c r="R180" s="2366"/>
      <c r="S180" s="2366"/>
      <c r="T180" s="2366"/>
    </row>
    <row r="181" spans="1:20">
      <c r="A181" s="2366"/>
      <c r="B181" s="2366"/>
      <c r="C181" s="2366"/>
      <c r="D181" s="2366"/>
      <c r="E181" s="2366"/>
      <c r="F181" s="2366"/>
      <c r="G181" s="2366"/>
      <c r="H181" s="2366"/>
      <c r="I181" s="2366"/>
      <c r="J181" s="2366"/>
      <c r="K181" s="2367"/>
      <c r="L181" s="2368"/>
      <c r="M181" s="2366"/>
      <c r="N181" s="2366"/>
      <c r="O181" s="2366"/>
      <c r="P181" s="2366"/>
      <c r="Q181" s="2366"/>
      <c r="R181" s="2366"/>
      <c r="S181" s="2366"/>
      <c r="T181" s="2366"/>
    </row>
    <row r="182" spans="1:20">
      <c r="A182" s="2366"/>
      <c r="B182" s="2366"/>
      <c r="C182" s="2366"/>
      <c r="D182" s="2366"/>
      <c r="E182" s="2366"/>
      <c r="F182" s="2366"/>
      <c r="G182" s="2366"/>
      <c r="H182" s="2366"/>
      <c r="I182" s="2366"/>
      <c r="J182" s="2366"/>
      <c r="K182" s="2367"/>
      <c r="L182" s="2368"/>
      <c r="M182" s="2366"/>
      <c r="N182" s="2366"/>
      <c r="O182" s="2366"/>
      <c r="P182" s="2366"/>
      <c r="Q182" s="2366"/>
      <c r="R182" s="2366"/>
      <c r="S182" s="2366"/>
      <c r="T182" s="2366"/>
    </row>
    <row r="183" spans="1:20">
      <c r="A183" s="2366"/>
      <c r="B183" s="2366"/>
      <c r="C183" s="2366"/>
      <c r="D183" s="2366"/>
      <c r="E183" s="2366"/>
      <c r="F183" s="2366"/>
      <c r="G183" s="2366"/>
      <c r="H183" s="2366"/>
      <c r="I183" s="2366"/>
      <c r="J183" s="2366"/>
      <c r="K183" s="2367"/>
      <c r="L183" s="2368"/>
      <c r="M183" s="2366"/>
      <c r="N183" s="2366"/>
      <c r="O183" s="2366"/>
      <c r="P183" s="2366"/>
      <c r="Q183" s="2366"/>
      <c r="R183" s="2366"/>
      <c r="S183" s="2366"/>
      <c r="T183" s="2366"/>
    </row>
    <row r="184" spans="1:20">
      <c r="A184" s="2366"/>
      <c r="B184" s="2366"/>
      <c r="C184" s="2366"/>
      <c r="D184" s="2366"/>
      <c r="E184" s="2366"/>
      <c r="F184" s="2366"/>
      <c r="G184" s="2366"/>
      <c r="H184" s="2366"/>
      <c r="I184" s="2366"/>
      <c r="J184" s="2366"/>
      <c r="K184" s="2367"/>
      <c r="L184" s="2368"/>
      <c r="M184" s="2366"/>
      <c r="N184" s="2366"/>
      <c r="O184" s="2366"/>
      <c r="P184" s="2366"/>
      <c r="Q184" s="2366"/>
      <c r="R184" s="2366"/>
      <c r="S184" s="2366"/>
      <c r="T184" s="2366"/>
    </row>
    <row r="185" spans="1:20">
      <c r="A185" s="2366"/>
      <c r="B185" s="2366"/>
      <c r="C185" s="2366"/>
      <c r="D185" s="2366"/>
      <c r="E185" s="2366"/>
      <c r="F185" s="2366"/>
      <c r="G185" s="2366"/>
      <c r="H185" s="2366"/>
      <c r="I185" s="2366"/>
      <c r="J185" s="2366"/>
      <c r="K185" s="2367"/>
      <c r="L185" s="2368"/>
      <c r="M185" s="2366"/>
      <c r="N185" s="2366"/>
      <c r="O185" s="2366"/>
      <c r="P185" s="2366"/>
      <c r="Q185" s="2366"/>
      <c r="R185" s="2366"/>
      <c r="S185" s="2366"/>
      <c r="T185" s="2366"/>
    </row>
    <row r="186" spans="1:20">
      <c r="A186" s="2366"/>
      <c r="B186" s="2366"/>
      <c r="C186" s="2366"/>
      <c r="D186" s="2366"/>
      <c r="E186" s="2366"/>
      <c r="F186" s="2366"/>
      <c r="G186" s="2366"/>
      <c r="H186" s="2366"/>
      <c r="I186" s="2366"/>
      <c r="J186" s="2366"/>
      <c r="K186" s="2367"/>
      <c r="L186" s="2368"/>
      <c r="M186" s="2366"/>
      <c r="N186" s="2366"/>
      <c r="O186" s="2366"/>
      <c r="P186" s="2366"/>
      <c r="Q186" s="2366"/>
      <c r="R186" s="2366"/>
      <c r="S186" s="2366"/>
      <c r="T186" s="2366"/>
    </row>
    <row r="187" spans="1:20">
      <c r="A187" s="2366"/>
      <c r="B187" s="2366"/>
      <c r="C187" s="2366"/>
      <c r="D187" s="2366"/>
      <c r="E187" s="2366"/>
      <c r="F187" s="2366"/>
      <c r="G187" s="2366"/>
      <c r="H187" s="2366"/>
      <c r="I187" s="2366"/>
      <c r="J187" s="2366"/>
      <c r="K187" s="2367"/>
      <c r="L187" s="2368"/>
      <c r="M187" s="2366"/>
      <c r="N187" s="2366"/>
      <c r="O187" s="2366"/>
      <c r="P187" s="2366"/>
      <c r="Q187" s="2366"/>
      <c r="R187" s="2366"/>
      <c r="S187" s="2366"/>
      <c r="T187" s="2366"/>
    </row>
    <row r="188" spans="1:20">
      <c r="A188" s="2366"/>
      <c r="B188" s="2366"/>
      <c r="C188" s="2366"/>
      <c r="D188" s="2366"/>
      <c r="E188" s="2366"/>
      <c r="F188" s="2366"/>
      <c r="G188" s="2366"/>
      <c r="H188" s="2366"/>
      <c r="I188" s="2366"/>
      <c r="J188" s="2366"/>
      <c r="K188" s="2367"/>
      <c r="L188" s="2368"/>
      <c r="M188" s="2366"/>
      <c r="N188" s="2366"/>
      <c r="O188" s="2366"/>
      <c r="P188" s="2366"/>
      <c r="Q188" s="2366"/>
      <c r="R188" s="2366"/>
      <c r="S188" s="2366"/>
      <c r="T188" s="2366"/>
    </row>
    <row r="189" spans="1:20">
      <c r="A189" s="2366"/>
      <c r="B189" s="2366"/>
      <c r="C189" s="2366"/>
      <c r="D189" s="2366"/>
      <c r="E189" s="2366"/>
      <c r="F189" s="2366"/>
      <c r="G189" s="2366"/>
      <c r="H189" s="2366"/>
      <c r="I189" s="2366"/>
      <c r="J189" s="2366"/>
      <c r="K189" s="2367"/>
      <c r="L189" s="2368"/>
      <c r="M189" s="2366"/>
      <c r="N189" s="2366"/>
      <c r="O189" s="2366"/>
      <c r="P189" s="2366"/>
      <c r="Q189" s="2366"/>
      <c r="R189" s="2366"/>
      <c r="S189" s="2366"/>
      <c r="T189" s="2366"/>
    </row>
    <row r="190" spans="1:20">
      <c r="A190" s="2366"/>
      <c r="B190" s="2366"/>
      <c r="C190" s="2366"/>
      <c r="D190" s="2366"/>
      <c r="E190" s="2366"/>
      <c r="F190" s="2366"/>
      <c r="G190" s="2366"/>
      <c r="H190" s="2366"/>
      <c r="I190" s="2366"/>
      <c r="J190" s="2366"/>
      <c r="K190" s="2367"/>
      <c r="L190" s="2368"/>
      <c r="M190" s="2366"/>
      <c r="N190" s="2366"/>
      <c r="O190" s="2366"/>
      <c r="P190" s="2366"/>
      <c r="Q190" s="2366"/>
      <c r="R190" s="2366"/>
      <c r="S190" s="2366"/>
      <c r="T190" s="2366"/>
    </row>
    <row r="191" spans="1:20">
      <c r="A191" s="2366"/>
      <c r="B191" s="2366"/>
      <c r="C191" s="2366"/>
      <c r="D191" s="2366"/>
      <c r="E191" s="2366"/>
      <c r="F191" s="2366"/>
      <c r="G191" s="2366"/>
      <c r="H191" s="2366"/>
      <c r="I191" s="2366"/>
      <c r="J191" s="2366"/>
      <c r="K191" s="2367"/>
      <c r="L191" s="2368"/>
      <c r="M191" s="2366"/>
      <c r="N191" s="2366"/>
      <c r="O191" s="2366"/>
      <c r="P191" s="2366"/>
      <c r="Q191" s="2366"/>
      <c r="R191" s="2366"/>
      <c r="S191" s="2366"/>
      <c r="T191" s="2366"/>
    </row>
    <row r="192" spans="1:20">
      <c r="A192" s="2366"/>
      <c r="B192" s="2366"/>
      <c r="C192" s="2366"/>
      <c r="D192" s="2366"/>
      <c r="E192" s="2366"/>
      <c r="F192" s="2366"/>
      <c r="G192" s="2366"/>
      <c r="H192" s="2366"/>
      <c r="I192" s="2366"/>
      <c r="J192" s="2366"/>
      <c r="K192" s="2367"/>
      <c r="L192" s="2368"/>
      <c r="M192" s="2366"/>
      <c r="N192" s="2366"/>
      <c r="O192" s="2366"/>
      <c r="P192" s="2366"/>
      <c r="Q192" s="2366"/>
      <c r="R192" s="2366"/>
      <c r="S192" s="2366"/>
      <c r="T192" s="2366"/>
    </row>
    <row r="193" spans="1:20">
      <c r="A193" s="2366"/>
      <c r="B193" s="2366"/>
      <c r="C193" s="2366"/>
      <c r="D193" s="2366"/>
      <c r="E193" s="2366"/>
      <c r="F193" s="2366"/>
      <c r="G193" s="2366"/>
      <c r="H193" s="2366"/>
      <c r="I193" s="2366"/>
      <c r="J193" s="2366"/>
      <c r="K193" s="2367"/>
      <c r="L193" s="2368"/>
      <c r="M193" s="2366"/>
      <c r="N193" s="2366"/>
      <c r="O193" s="2366"/>
      <c r="P193" s="2366"/>
      <c r="Q193" s="2366"/>
      <c r="R193" s="2366"/>
      <c r="S193" s="2366"/>
      <c r="T193" s="2366"/>
    </row>
    <row r="194" spans="1:20">
      <c r="A194" s="2366"/>
      <c r="B194" s="2366"/>
      <c r="C194" s="2366"/>
      <c r="D194" s="2366"/>
      <c r="E194" s="2366"/>
      <c r="F194" s="2366"/>
      <c r="G194" s="2366"/>
      <c r="H194" s="2366"/>
      <c r="I194" s="2366"/>
      <c r="J194" s="2366"/>
      <c r="K194" s="2367"/>
      <c r="L194" s="2368"/>
      <c r="M194" s="2366"/>
      <c r="N194" s="2366"/>
      <c r="O194" s="2366"/>
      <c r="P194" s="2366"/>
      <c r="Q194" s="2366"/>
      <c r="R194" s="2366"/>
      <c r="S194" s="2366"/>
      <c r="T194" s="2366"/>
    </row>
    <row r="195" spans="1:20">
      <c r="A195" s="2366"/>
      <c r="B195" s="2366"/>
      <c r="C195" s="2366"/>
      <c r="D195" s="2366"/>
      <c r="E195" s="2366"/>
      <c r="F195" s="2366"/>
      <c r="G195" s="2366"/>
      <c r="H195" s="2366"/>
      <c r="I195" s="2366"/>
      <c r="J195" s="2366"/>
      <c r="K195" s="2367"/>
      <c r="L195" s="2368"/>
      <c r="M195" s="2366"/>
      <c r="N195" s="2366"/>
      <c r="O195" s="2366"/>
      <c r="P195" s="2366"/>
      <c r="Q195" s="2366"/>
      <c r="R195" s="2366"/>
      <c r="S195" s="2366"/>
      <c r="T195" s="2366"/>
    </row>
    <row r="196" spans="1:20">
      <c r="A196" s="2366"/>
      <c r="B196" s="2366"/>
      <c r="C196" s="2366"/>
      <c r="D196" s="2366"/>
      <c r="E196" s="2366"/>
      <c r="F196" s="2366"/>
      <c r="G196" s="2366"/>
      <c r="H196" s="2366"/>
      <c r="I196" s="2366"/>
      <c r="J196" s="2366"/>
      <c r="K196" s="2367"/>
      <c r="L196" s="2368"/>
      <c r="M196" s="2366"/>
      <c r="N196" s="2366"/>
      <c r="O196" s="2366"/>
      <c r="P196" s="2366"/>
      <c r="Q196" s="2366"/>
      <c r="R196" s="2366"/>
      <c r="S196" s="2366"/>
      <c r="T196" s="2366"/>
    </row>
    <row r="197" spans="1:20">
      <c r="A197" s="2366"/>
      <c r="B197" s="2366"/>
      <c r="C197" s="2366"/>
      <c r="D197" s="2366"/>
      <c r="E197" s="2366"/>
      <c r="F197" s="2366"/>
      <c r="G197" s="2366"/>
      <c r="H197" s="2366"/>
      <c r="I197" s="2366"/>
      <c r="J197" s="2366"/>
      <c r="K197" s="2367"/>
      <c r="L197" s="2368"/>
      <c r="M197" s="2366"/>
      <c r="N197" s="2366"/>
      <c r="O197" s="2366"/>
      <c r="P197" s="2366"/>
      <c r="Q197" s="2366"/>
      <c r="R197" s="2366"/>
      <c r="S197" s="2366"/>
      <c r="T197" s="2366"/>
    </row>
    <row r="198" spans="1:20">
      <c r="A198" s="2366"/>
      <c r="B198" s="2366"/>
      <c r="C198" s="2366"/>
      <c r="D198" s="2366"/>
      <c r="E198" s="2366"/>
      <c r="F198" s="2366"/>
      <c r="G198" s="2366"/>
      <c r="H198" s="2366"/>
      <c r="I198" s="2366"/>
      <c r="J198" s="2366"/>
      <c r="K198" s="2367"/>
      <c r="L198" s="2368"/>
      <c r="M198" s="2366"/>
      <c r="N198" s="2366"/>
      <c r="O198" s="2366"/>
      <c r="P198" s="2366"/>
      <c r="Q198" s="2366"/>
      <c r="R198" s="2366"/>
      <c r="S198" s="2366"/>
      <c r="T198" s="2366"/>
    </row>
    <row r="199" spans="1:20">
      <c r="A199" s="2366"/>
      <c r="B199" s="2366"/>
      <c r="C199" s="2366"/>
      <c r="D199" s="2366"/>
      <c r="E199" s="2366"/>
      <c r="F199" s="2366"/>
      <c r="G199" s="2366"/>
      <c r="H199" s="2366"/>
      <c r="I199" s="2366"/>
      <c r="J199" s="2366"/>
      <c r="K199" s="2367"/>
      <c r="L199" s="2368"/>
      <c r="M199" s="2366"/>
      <c r="N199" s="2366"/>
      <c r="O199" s="2366"/>
      <c r="P199" s="2366"/>
      <c r="Q199" s="2366"/>
      <c r="R199" s="2366"/>
      <c r="S199" s="2366"/>
      <c r="T199" s="2366"/>
    </row>
    <row r="200" spans="1:20">
      <c r="A200" s="2366"/>
      <c r="B200" s="2366"/>
      <c r="C200" s="2366"/>
      <c r="D200" s="2366"/>
      <c r="E200" s="2366"/>
      <c r="F200" s="2366"/>
      <c r="G200" s="2366"/>
      <c r="H200" s="2366"/>
      <c r="I200" s="2366"/>
      <c r="J200" s="2366"/>
      <c r="K200" s="2367"/>
      <c r="L200" s="2368"/>
      <c r="M200" s="2366"/>
      <c r="N200" s="2366"/>
      <c r="O200" s="2366"/>
      <c r="P200" s="2366"/>
      <c r="Q200" s="2366"/>
      <c r="R200" s="2366"/>
      <c r="S200" s="2366"/>
      <c r="T200" s="2366"/>
    </row>
    <row r="201" spans="1:20">
      <c r="A201" s="2366"/>
      <c r="B201" s="2366"/>
      <c r="C201" s="2366"/>
      <c r="D201" s="2366"/>
      <c r="E201" s="2366"/>
      <c r="F201" s="2366"/>
      <c r="G201" s="2366"/>
      <c r="H201" s="2366"/>
      <c r="I201" s="2366"/>
      <c r="J201" s="2366"/>
      <c r="K201" s="2367"/>
      <c r="L201" s="2368"/>
      <c r="M201" s="2366"/>
      <c r="N201" s="2366"/>
      <c r="O201" s="2366"/>
      <c r="P201" s="2366"/>
      <c r="Q201" s="2366"/>
      <c r="R201" s="2366"/>
      <c r="S201" s="2366"/>
      <c r="T201" s="2366"/>
    </row>
    <row r="202" spans="1:20">
      <c r="A202" s="2366"/>
      <c r="B202" s="2366"/>
      <c r="C202" s="2366"/>
      <c r="D202" s="2366"/>
      <c r="E202" s="2366"/>
      <c r="F202" s="2366"/>
      <c r="G202" s="2366"/>
      <c r="H202" s="2366"/>
      <c r="I202" s="2366"/>
      <c r="J202" s="2366"/>
      <c r="K202" s="2367"/>
      <c r="L202" s="2368"/>
      <c r="M202" s="2366"/>
      <c r="N202" s="2366"/>
      <c r="O202" s="2366"/>
      <c r="P202" s="2366"/>
      <c r="Q202" s="2366"/>
      <c r="R202" s="2366"/>
      <c r="S202" s="2366"/>
      <c r="T202" s="2366"/>
    </row>
    <row r="203" spans="1:20">
      <c r="A203" s="2366"/>
      <c r="B203" s="2366"/>
      <c r="C203" s="2366"/>
      <c r="D203" s="2366"/>
      <c r="E203" s="2366"/>
      <c r="F203" s="2366"/>
      <c r="G203" s="2366"/>
      <c r="H203" s="2366"/>
      <c r="I203" s="2366"/>
      <c r="J203" s="2366"/>
      <c r="K203" s="2367"/>
      <c r="L203" s="2368"/>
      <c r="M203" s="2366"/>
      <c r="N203" s="2366"/>
      <c r="O203" s="2366"/>
      <c r="P203" s="2366"/>
      <c r="Q203" s="2366"/>
      <c r="R203" s="2366"/>
      <c r="S203" s="2366"/>
      <c r="T203" s="2366"/>
    </row>
    <row r="204" spans="1:20">
      <c r="A204" s="2366"/>
      <c r="B204" s="2366"/>
      <c r="C204" s="2366"/>
      <c r="D204" s="2366"/>
      <c r="E204" s="2366"/>
      <c r="F204" s="2366"/>
      <c r="G204" s="2366"/>
      <c r="H204" s="2366"/>
      <c r="I204" s="2366"/>
      <c r="J204" s="2366"/>
      <c r="K204" s="2367"/>
      <c r="L204" s="2368"/>
      <c r="M204" s="2366"/>
      <c r="N204" s="2366"/>
      <c r="O204" s="2366"/>
      <c r="P204" s="2366"/>
      <c r="Q204" s="2366"/>
      <c r="R204" s="2366"/>
      <c r="S204" s="2366"/>
      <c r="T204" s="2366"/>
    </row>
    <row r="205" spans="1:20">
      <c r="A205" s="2366"/>
      <c r="B205" s="2366"/>
      <c r="C205" s="2366"/>
      <c r="D205" s="2366"/>
      <c r="E205" s="2366"/>
      <c r="F205" s="2366"/>
      <c r="G205" s="2366"/>
      <c r="H205" s="2366"/>
      <c r="I205" s="2366"/>
      <c r="J205" s="2366"/>
      <c r="K205" s="2367"/>
      <c r="L205" s="2368"/>
      <c r="M205" s="2366"/>
      <c r="N205" s="2366"/>
      <c r="O205" s="2366"/>
      <c r="P205" s="2366"/>
      <c r="Q205" s="2366"/>
      <c r="R205" s="2366"/>
      <c r="S205" s="2366"/>
      <c r="T205" s="2366"/>
    </row>
    <row r="206" spans="1:20">
      <c r="A206" s="2366"/>
      <c r="B206" s="2366"/>
      <c r="C206" s="2366"/>
      <c r="D206" s="2366"/>
      <c r="E206" s="2366"/>
      <c r="F206" s="2366"/>
      <c r="G206" s="2366"/>
      <c r="H206" s="2366"/>
      <c r="I206" s="2366"/>
      <c r="J206" s="2366"/>
      <c r="K206" s="2367"/>
      <c r="L206" s="2368"/>
      <c r="M206" s="2366"/>
      <c r="N206" s="2366"/>
      <c r="O206" s="2366"/>
      <c r="P206" s="2366"/>
      <c r="Q206" s="2366"/>
      <c r="R206" s="2366"/>
      <c r="S206" s="2366"/>
      <c r="T206" s="2366"/>
    </row>
    <row r="207" spans="1:20">
      <c r="A207" s="2366"/>
      <c r="B207" s="2366"/>
      <c r="C207" s="2366"/>
      <c r="D207" s="2366"/>
      <c r="E207" s="2366"/>
      <c r="F207" s="2366"/>
      <c r="G207" s="2366"/>
      <c r="H207" s="2366"/>
      <c r="I207" s="2366"/>
      <c r="J207" s="2366"/>
      <c r="K207" s="2367"/>
      <c r="L207" s="2368"/>
      <c r="M207" s="2366"/>
      <c r="N207" s="2366"/>
      <c r="O207" s="2366"/>
      <c r="P207" s="2366"/>
      <c r="Q207" s="2366"/>
      <c r="R207" s="2366"/>
      <c r="S207" s="2366"/>
      <c r="T207" s="2366"/>
    </row>
    <row r="208" spans="1:20">
      <c r="A208" s="2366"/>
      <c r="B208" s="2366"/>
      <c r="C208" s="2366"/>
      <c r="D208" s="2366"/>
      <c r="E208" s="2366"/>
      <c r="F208" s="2366"/>
      <c r="G208" s="2366"/>
      <c r="H208" s="2366"/>
      <c r="I208" s="2366"/>
      <c r="J208" s="2366"/>
      <c r="K208" s="2367"/>
      <c r="L208" s="2368"/>
      <c r="M208" s="2366"/>
      <c r="N208" s="2366"/>
      <c r="O208" s="2366"/>
      <c r="P208" s="2366"/>
      <c r="Q208" s="2366"/>
      <c r="R208" s="2366"/>
      <c r="S208" s="2366"/>
      <c r="T208" s="2366"/>
    </row>
    <row r="209" spans="1:20">
      <c r="A209" s="2366"/>
      <c r="B209" s="2366"/>
      <c r="C209" s="2366"/>
      <c r="D209" s="2366"/>
      <c r="E209" s="2366"/>
      <c r="F209" s="2366"/>
      <c r="G209" s="2366"/>
      <c r="H209" s="2366"/>
      <c r="I209" s="2366"/>
      <c r="J209" s="2366"/>
      <c r="K209" s="2367"/>
      <c r="L209" s="2368"/>
      <c r="M209" s="2366"/>
      <c r="N209" s="2366"/>
      <c r="O209" s="2366"/>
      <c r="P209" s="2366"/>
      <c r="Q209" s="2366"/>
      <c r="R209" s="2366"/>
      <c r="S209" s="2366"/>
      <c r="T209" s="2366"/>
    </row>
    <row r="210" spans="1:20">
      <c r="A210" s="2366"/>
      <c r="B210" s="2366"/>
      <c r="C210" s="2366"/>
      <c r="D210" s="2366"/>
      <c r="E210" s="2366"/>
      <c r="F210" s="2366"/>
      <c r="G210" s="2366"/>
      <c r="H210" s="2366"/>
      <c r="I210" s="2366"/>
      <c r="J210" s="2366"/>
      <c r="K210" s="2367"/>
      <c r="L210" s="2368"/>
      <c r="M210" s="2366"/>
      <c r="N210" s="2366"/>
      <c r="O210" s="2366"/>
      <c r="P210" s="2366"/>
      <c r="Q210" s="2366"/>
      <c r="R210" s="2366"/>
      <c r="S210" s="2366"/>
      <c r="T210" s="2366"/>
    </row>
    <row r="211" spans="1:20">
      <c r="A211" s="2366"/>
      <c r="B211" s="2366"/>
      <c r="C211" s="2366"/>
      <c r="D211" s="2366"/>
      <c r="E211" s="2366"/>
      <c r="F211" s="2366"/>
      <c r="G211" s="2366"/>
      <c r="H211" s="2366"/>
      <c r="I211" s="2366"/>
      <c r="J211" s="2366"/>
      <c r="K211" s="2367"/>
      <c r="L211" s="2368"/>
      <c r="M211" s="2366"/>
      <c r="N211" s="2366"/>
      <c r="O211" s="2366"/>
      <c r="P211" s="2366"/>
      <c r="Q211" s="2366"/>
      <c r="R211" s="2366"/>
      <c r="S211" s="2366"/>
      <c r="T211" s="2366"/>
    </row>
    <row r="212" spans="1:20">
      <c r="A212" s="2366"/>
      <c r="B212" s="2366"/>
      <c r="C212" s="2366"/>
      <c r="D212" s="2366"/>
      <c r="E212" s="2366"/>
      <c r="F212" s="2366"/>
      <c r="G212" s="2366"/>
      <c r="H212" s="2366"/>
      <c r="I212" s="2366"/>
      <c r="J212" s="2366"/>
      <c r="K212" s="2367"/>
      <c r="L212" s="2368"/>
      <c r="M212" s="2366"/>
      <c r="N212" s="2366"/>
      <c r="O212" s="2366"/>
      <c r="P212" s="2366"/>
      <c r="Q212" s="2366"/>
      <c r="R212" s="2366"/>
      <c r="S212" s="2366"/>
      <c r="T212" s="2366"/>
    </row>
    <row r="213" spans="1:20">
      <c r="A213" s="2366"/>
      <c r="B213" s="2366"/>
      <c r="C213" s="2366"/>
      <c r="D213" s="2366"/>
      <c r="E213" s="2366"/>
      <c r="F213" s="2366"/>
      <c r="G213" s="2366"/>
      <c r="H213" s="2366"/>
      <c r="I213" s="2366"/>
      <c r="J213" s="2366"/>
      <c r="K213" s="2367"/>
      <c r="L213" s="2368"/>
      <c r="M213" s="2366"/>
      <c r="N213" s="2366"/>
      <c r="O213" s="2366"/>
      <c r="P213" s="2366"/>
      <c r="Q213" s="2366"/>
      <c r="R213" s="2366"/>
      <c r="S213" s="2366"/>
      <c r="T213" s="2366"/>
    </row>
    <row r="214" spans="1:20">
      <c r="A214" s="2366"/>
      <c r="B214" s="2366"/>
      <c r="C214" s="2366"/>
      <c r="D214" s="2366"/>
      <c r="E214" s="2366"/>
      <c r="F214" s="2366"/>
      <c r="G214" s="2366"/>
      <c r="H214" s="2366"/>
      <c r="I214" s="2366"/>
      <c r="J214" s="2366"/>
      <c r="K214" s="2367"/>
      <c r="L214" s="2368"/>
      <c r="M214" s="2366"/>
      <c r="N214" s="2366"/>
      <c r="O214" s="2366"/>
      <c r="P214" s="2366"/>
      <c r="Q214" s="2366"/>
      <c r="R214" s="2366"/>
      <c r="S214" s="2366"/>
      <c r="T214" s="2366"/>
    </row>
    <row r="215" spans="1:20">
      <c r="A215" s="2366"/>
      <c r="B215" s="2366"/>
      <c r="C215" s="2366"/>
      <c r="D215" s="2366"/>
      <c r="E215" s="2366"/>
      <c r="F215" s="2366"/>
      <c r="G215" s="2366"/>
      <c r="H215" s="2366"/>
      <c r="I215" s="2366"/>
      <c r="J215" s="2366"/>
      <c r="K215" s="2367"/>
      <c r="L215" s="2368"/>
      <c r="M215" s="2366"/>
      <c r="N215" s="2366"/>
      <c r="O215" s="2366"/>
      <c r="P215" s="2366"/>
      <c r="Q215" s="2366"/>
      <c r="R215" s="2366"/>
      <c r="S215" s="2366"/>
      <c r="T215" s="2366"/>
    </row>
    <row r="216" spans="1:20">
      <c r="A216" s="2366"/>
      <c r="B216" s="2366"/>
      <c r="C216" s="2366"/>
      <c r="D216" s="2366"/>
      <c r="E216" s="2366"/>
      <c r="F216" s="2366"/>
      <c r="G216" s="2366"/>
      <c r="H216" s="2366"/>
      <c r="I216" s="2366"/>
      <c r="J216" s="2366"/>
      <c r="K216" s="2367"/>
      <c r="L216" s="2368"/>
      <c r="M216" s="2366"/>
      <c r="N216" s="2366"/>
      <c r="O216" s="2366"/>
      <c r="P216" s="2366"/>
      <c r="Q216" s="2366"/>
      <c r="R216" s="2366"/>
      <c r="S216" s="2366"/>
      <c r="T216" s="2366"/>
    </row>
    <row r="217" spans="1:20">
      <c r="A217" s="2366"/>
      <c r="B217" s="2366"/>
      <c r="C217" s="2366"/>
      <c r="D217" s="2366"/>
      <c r="E217" s="2366"/>
      <c r="F217" s="2366"/>
      <c r="G217" s="2366"/>
      <c r="H217" s="2366"/>
      <c r="I217" s="2366"/>
      <c r="J217" s="2366"/>
      <c r="K217" s="2367"/>
      <c r="L217" s="2368"/>
      <c r="M217" s="2366"/>
      <c r="N217" s="2366"/>
      <c r="O217" s="2366"/>
      <c r="P217" s="2366"/>
      <c r="Q217" s="2366"/>
      <c r="R217" s="2366"/>
      <c r="S217" s="2366"/>
      <c r="T217" s="2366"/>
    </row>
    <row r="218" spans="1:20">
      <c r="A218" s="2366"/>
      <c r="B218" s="2366"/>
      <c r="C218" s="2366"/>
      <c r="D218" s="2366"/>
      <c r="E218" s="2366"/>
      <c r="F218" s="2366"/>
      <c r="G218" s="2366"/>
      <c r="H218" s="2366"/>
      <c r="I218" s="2366"/>
      <c r="J218" s="2366"/>
      <c r="K218" s="2367"/>
      <c r="L218" s="2368"/>
      <c r="M218" s="2366"/>
      <c r="N218" s="2366"/>
      <c r="O218" s="2366"/>
      <c r="P218" s="2366"/>
      <c r="Q218" s="2366"/>
      <c r="R218" s="2366"/>
      <c r="S218" s="2366"/>
      <c r="T218" s="2366"/>
    </row>
    <row r="219" spans="1:20">
      <c r="A219" s="2366"/>
      <c r="B219" s="2366"/>
      <c r="C219" s="2366"/>
      <c r="D219" s="2366"/>
      <c r="E219" s="2366"/>
      <c r="F219" s="2366"/>
      <c r="G219" s="2366"/>
      <c r="H219" s="2366"/>
      <c r="I219" s="2366"/>
      <c r="J219" s="2366"/>
      <c r="K219" s="2367"/>
      <c r="L219" s="2368"/>
      <c r="M219" s="2366"/>
      <c r="N219" s="2366"/>
      <c r="O219" s="2366"/>
      <c r="P219" s="2366"/>
      <c r="Q219" s="2366"/>
      <c r="R219" s="2366"/>
      <c r="S219" s="2366"/>
      <c r="T219" s="2366"/>
    </row>
    <row r="220" spans="1:20">
      <c r="A220" s="2366"/>
      <c r="B220" s="2366"/>
      <c r="C220" s="2366"/>
      <c r="D220" s="2366"/>
      <c r="E220" s="2366"/>
      <c r="F220" s="2366"/>
      <c r="G220" s="2366"/>
      <c r="H220" s="2366"/>
      <c r="I220" s="2366"/>
      <c r="J220" s="2366"/>
      <c r="K220" s="2367"/>
      <c r="L220" s="2368"/>
      <c r="M220" s="2366"/>
      <c r="N220" s="2366"/>
      <c r="O220" s="2366"/>
      <c r="P220" s="2366"/>
      <c r="Q220" s="2366"/>
      <c r="R220" s="2366"/>
      <c r="S220" s="2366"/>
      <c r="T220" s="2366"/>
    </row>
    <row r="221" spans="1:20">
      <c r="A221" s="2366"/>
      <c r="B221" s="2366"/>
      <c r="C221" s="2366"/>
      <c r="D221" s="2366"/>
      <c r="E221" s="2366"/>
      <c r="F221" s="2366"/>
      <c r="G221" s="2366"/>
      <c r="H221" s="2366"/>
      <c r="I221" s="2366"/>
      <c r="J221" s="2366"/>
      <c r="K221" s="2367"/>
      <c r="L221" s="2368"/>
      <c r="M221" s="2366"/>
      <c r="N221" s="2366"/>
      <c r="O221" s="2366"/>
      <c r="P221" s="2366"/>
      <c r="Q221" s="2366"/>
      <c r="R221" s="2366"/>
      <c r="S221" s="2366"/>
      <c r="T221" s="2366"/>
    </row>
    <row r="222" spans="1:20">
      <c r="A222" s="2366"/>
      <c r="B222" s="2366"/>
      <c r="C222" s="2366"/>
      <c r="D222" s="2366"/>
      <c r="E222" s="2366"/>
      <c r="F222" s="2366"/>
      <c r="G222" s="2366"/>
      <c r="H222" s="2366"/>
      <c r="I222" s="2366"/>
      <c r="J222" s="2366"/>
      <c r="K222" s="2367"/>
      <c r="L222" s="2368"/>
      <c r="M222" s="2366"/>
      <c r="N222" s="2366"/>
      <c r="O222" s="2366"/>
      <c r="P222" s="2366"/>
      <c r="Q222" s="2366"/>
      <c r="R222" s="2366"/>
      <c r="S222" s="2366"/>
      <c r="T222" s="2366"/>
    </row>
    <row r="223" spans="1:20">
      <c r="A223" s="2366"/>
      <c r="B223" s="2366"/>
      <c r="C223" s="2366"/>
      <c r="D223" s="2366"/>
      <c r="E223" s="2366"/>
      <c r="F223" s="2366"/>
      <c r="G223" s="2366"/>
      <c r="H223" s="2366"/>
      <c r="I223" s="2366"/>
      <c r="J223" s="2366"/>
      <c r="K223" s="2367"/>
      <c r="L223" s="2368"/>
      <c r="M223" s="2366"/>
      <c r="N223" s="2366"/>
      <c r="O223" s="2366"/>
      <c r="P223" s="2366"/>
      <c r="Q223" s="2366"/>
      <c r="R223" s="2366"/>
      <c r="S223" s="2366"/>
      <c r="T223" s="2366"/>
    </row>
    <row r="224" spans="1:20">
      <c r="A224" s="2366"/>
      <c r="B224" s="2366"/>
      <c r="C224" s="2366"/>
      <c r="D224" s="2366"/>
      <c r="E224" s="2366"/>
      <c r="F224" s="2366"/>
      <c r="G224" s="2366"/>
      <c r="H224" s="2366"/>
      <c r="I224" s="2366"/>
      <c r="J224" s="2366"/>
      <c r="K224" s="2367"/>
      <c r="L224" s="2368"/>
      <c r="M224" s="2366"/>
      <c r="N224" s="2366"/>
      <c r="O224" s="2366"/>
      <c r="P224" s="2366"/>
      <c r="Q224" s="2366"/>
      <c r="R224" s="2366"/>
      <c r="S224" s="2366"/>
      <c r="T224" s="2366"/>
    </row>
    <row r="225" spans="1:20">
      <c r="A225" s="2366"/>
      <c r="B225" s="2366"/>
      <c r="C225" s="2366"/>
      <c r="D225" s="2366"/>
      <c r="E225" s="2366"/>
      <c r="F225" s="2366"/>
      <c r="G225" s="2366"/>
      <c r="H225" s="2366"/>
      <c r="I225" s="2366"/>
      <c r="J225" s="2366"/>
      <c r="K225" s="2367"/>
      <c r="L225" s="2368"/>
      <c r="M225" s="2366"/>
      <c r="N225" s="2366"/>
      <c r="O225" s="2366"/>
      <c r="P225" s="2366"/>
      <c r="Q225" s="2366"/>
      <c r="R225" s="2366"/>
      <c r="S225" s="2366"/>
      <c r="T225" s="2366"/>
    </row>
    <row r="226" spans="1:20">
      <c r="A226" s="2366"/>
      <c r="B226" s="2366"/>
      <c r="C226" s="2366"/>
      <c r="D226" s="2366"/>
      <c r="E226" s="2366"/>
      <c r="F226" s="2366"/>
      <c r="G226" s="2366"/>
      <c r="H226" s="2366"/>
      <c r="I226" s="2366"/>
      <c r="J226" s="2366"/>
      <c r="K226" s="2367"/>
      <c r="L226" s="2368"/>
      <c r="M226" s="2366"/>
      <c r="N226" s="2366"/>
      <c r="O226" s="2366"/>
      <c r="P226" s="2366"/>
      <c r="Q226" s="2366"/>
      <c r="R226" s="2366"/>
      <c r="S226" s="2366"/>
      <c r="T226" s="2366"/>
    </row>
    <row r="227" spans="1:20">
      <c r="A227" s="2366"/>
      <c r="B227" s="2366"/>
      <c r="C227" s="2366"/>
      <c r="D227" s="2366"/>
      <c r="E227" s="2366"/>
      <c r="F227" s="2366"/>
      <c r="G227" s="2366"/>
      <c r="H227" s="2366"/>
      <c r="I227" s="2366"/>
      <c r="J227" s="2366"/>
      <c r="K227" s="2367"/>
      <c r="L227" s="2368"/>
      <c r="M227" s="2366"/>
      <c r="N227" s="2366"/>
      <c r="O227" s="2366"/>
      <c r="P227" s="2366"/>
      <c r="Q227" s="2366"/>
      <c r="R227" s="2366"/>
      <c r="S227" s="2366"/>
      <c r="T227" s="2366"/>
    </row>
    <row r="228" spans="1:20">
      <c r="A228" s="2366"/>
      <c r="B228" s="2366"/>
      <c r="C228" s="2366"/>
      <c r="D228" s="2366"/>
      <c r="E228" s="2366"/>
      <c r="F228" s="2366"/>
      <c r="G228" s="2366"/>
      <c r="H228" s="2366"/>
      <c r="I228" s="2366"/>
      <c r="J228" s="2366"/>
      <c r="K228" s="2367"/>
      <c r="L228" s="2368"/>
      <c r="M228" s="2366"/>
      <c r="N228" s="2366"/>
      <c r="O228" s="2366"/>
      <c r="P228" s="2366"/>
      <c r="Q228" s="2366"/>
      <c r="R228" s="2366"/>
      <c r="S228" s="2366"/>
      <c r="T228" s="2366"/>
    </row>
    <row r="229" spans="1:20">
      <c r="A229" s="2366"/>
      <c r="B229" s="2366"/>
      <c r="C229" s="2366"/>
      <c r="D229" s="2366"/>
      <c r="E229" s="2366"/>
      <c r="F229" s="2366"/>
      <c r="G229" s="2366"/>
      <c r="H229" s="2366"/>
      <c r="I229" s="2366"/>
      <c r="J229" s="2366"/>
      <c r="K229" s="2367"/>
      <c r="L229" s="2368"/>
      <c r="M229" s="2366"/>
      <c r="N229" s="2366"/>
      <c r="O229" s="2366"/>
      <c r="P229" s="2366"/>
      <c r="Q229" s="2366"/>
      <c r="R229" s="2366"/>
      <c r="S229" s="2366"/>
      <c r="T229" s="2366"/>
    </row>
    <row r="230" spans="1:20">
      <c r="A230" s="2366"/>
      <c r="B230" s="2366"/>
      <c r="C230" s="2366"/>
      <c r="D230" s="2366"/>
      <c r="E230" s="2366"/>
      <c r="F230" s="2366"/>
      <c r="G230" s="2366"/>
      <c r="H230" s="2366"/>
      <c r="I230" s="2366"/>
      <c r="J230" s="2366"/>
      <c r="K230" s="2367"/>
      <c r="L230" s="2368"/>
      <c r="M230" s="2366"/>
      <c r="N230" s="2366"/>
      <c r="O230" s="2366"/>
      <c r="P230" s="2366"/>
      <c r="Q230" s="2366"/>
      <c r="R230" s="2366"/>
      <c r="S230" s="2366"/>
      <c r="T230" s="2366"/>
    </row>
    <row r="231" spans="1:20">
      <c r="A231" s="2366"/>
      <c r="B231" s="2366"/>
      <c r="C231" s="2366"/>
      <c r="D231" s="2366"/>
      <c r="E231" s="2366"/>
      <c r="F231" s="2366"/>
      <c r="G231" s="2366"/>
      <c r="H231" s="2366"/>
      <c r="I231" s="2366"/>
      <c r="J231" s="2366"/>
      <c r="K231" s="2367"/>
      <c r="L231" s="2368"/>
      <c r="M231" s="2366"/>
      <c r="N231" s="2366"/>
      <c r="O231" s="2366"/>
      <c r="P231" s="2366"/>
      <c r="Q231" s="2366"/>
      <c r="R231" s="2366"/>
      <c r="S231" s="2366"/>
      <c r="T231" s="2366"/>
    </row>
    <row r="232" spans="1:20">
      <c r="A232" s="2366"/>
      <c r="B232" s="2366"/>
      <c r="C232" s="2366"/>
      <c r="D232" s="2366"/>
      <c r="E232" s="2366"/>
      <c r="F232" s="2366"/>
      <c r="G232" s="2366"/>
      <c r="H232" s="2366"/>
      <c r="I232" s="2366"/>
      <c r="J232" s="2366"/>
      <c r="K232" s="2367"/>
      <c r="L232" s="2368"/>
      <c r="M232" s="2366"/>
      <c r="N232" s="2366"/>
      <c r="O232" s="2366"/>
      <c r="P232" s="2366"/>
      <c r="Q232" s="2366"/>
      <c r="R232" s="2366"/>
      <c r="S232" s="2366"/>
      <c r="T232" s="2366"/>
    </row>
    <row r="233" spans="1:20">
      <c r="A233" s="2366"/>
      <c r="B233" s="2366"/>
      <c r="C233" s="2366"/>
      <c r="D233" s="2366"/>
      <c r="E233" s="2366"/>
      <c r="F233" s="2366"/>
      <c r="G233" s="2366"/>
      <c r="H233" s="2366"/>
      <c r="I233" s="2366"/>
      <c r="J233" s="2366"/>
      <c r="K233" s="2367"/>
      <c r="L233" s="2368"/>
      <c r="M233" s="2366"/>
      <c r="N233" s="2366"/>
      <c r="O233" s="2366"/>
      <c r="P233" s="2366"/>
      <c r="Q233" s="2366"/>
      <c r="R233" s="2366"/>
      <c r="S233" s="2366"/>
      <c r="T233" s="2366"/>
    </row>
    <row r="234" spans="1:20">
      <c r="A234" s="2366"/>
      <c r="B234" s="2366"/>
      <c r="C234" s="2366"/>
      <c r="D234" s="2366"/>
      <c r="E234" s="2366"/>
      <c r="F234" s="2366"/>
      <c r="G234" s="2366"/>
      <c r="H234" s="2366"/>
      <c r="I234" s="2366"/>
      <c r="J234" s="2366"/>
      <c r="K234" s="2367"/>
      <c r="L234" s="2368"/>
      <c r="M234" s="2366"/>
      <c r="N234" s="2366"/>
      <c r="O234" s="2366"/>
      <c r="P234" s="2366"/>
      <c r="Q234" s="2366"/>
      <c r="R234" s="2366"/>
      <c r="S234" s="2366"/>
      <c r="T234" s="2366"/>
    </row>
    <row r="235" spans="1:20">
      <c r="A235" s="2366"/>
      <c r="B235" s="2366"/>
      <c r="C235" s="2366"/>
      <c r="D235" s="2366"/>
      <c r="E235" s="2366"/>
      <c r="F235" s="2366"/>
      <c r="G235" s="2366"/>
      <c r="H235" s="2366"/>
      <c r="I235" s="2366"/>
      <c r="J235" s="2366"/>
      <c r="K235" s="2367"/>
      <c r="L235" s="2368"/>
      <c r="M235" s="2366"/>
      <c r="N235" s="2366"/>
      <c r="O235" s="2366"/>
      <c r="P235" s="2366"/>
      <c r="Q235" s="2366"/>
      <c r="R235" s="2366"/>
      <c r="S235" s="2366"/>
      <c r="T235" s="2366"/>
    </row>
    <row r="236" spans="1:20">
      <c r="A236" s="2366"/>
      <c r="B236" s="2366"/>
      <c r="C236" s="2366"/>
      <c r="D236" s="2366"/>
      <c r="E236" s="2366"/>
      <c r="F236" s="2366"/>
      <c r="G236" s="2366"/>
      <c r="H236" s="2366"/>
      <c r="I236" s="2366"/>
      <c r="J236" s="2366"/>
      <c r="K236" s="2367"/>
      <c r="L236" s="2368"/>
      <c r="M236" s="2366"/>
      <c r="N236" s="2366"/>
      <c r="O236" s="2366"/>
      <c r="P236" s="2366"/>
      <c r="Q236" s="2366"/>
      <c r="R236" s="2366"/>
      <c r="S236" s="2366"/>
      <c r="T236" s="2366"/>
    </row>
    <row r="237" spans="1:20">
      <c r="A237" s="2366"/>
      <c r="B237" s="2366"/>
      <c r="C237" s="2366"/>
      <c r="D237" s="2366"/>
      <c r="E237" s="2366"/>
      <c r="F237" s="2366"/>
      <c r="G237" s="2366"/>
      <c r="H237" s="2366"/>
      <c r="I237" s="2366"/>
      <c r="J237" s="2366"/>
      <c r="K237" s="2367"/>
      <c r="L237" s="2368"/>
      <c r="M237" s="2366"/>
      <c r="N237" s="2366"/>
      <c r="O237" s="2366"/>
      <c r="P237" s="2366"/>
      <c r="Q237" s="2366"/>
      <c r="R237" s="2366"/>
      <c r="S237" s="2366"/>
      <c r="T237" s="2366"/>
    </row>
    <row r="238" spans="1:20">
      <c r="A238" s="2366"/>
      <c r="B238" s="2366"/>
      <c r="C238" s="2366"/>
      <c r="D238" s="2366"/>
      <c r="E238" s="2366"/>
      <c r="F238" s="2366"/>
      <c r="G238" s="2366"/>
      <c r="H238" s="2366"/>
      <c r="I238" s="2366"/>
      <c r="J238" s="2366"/>
      <c r="K238" s="2367"/>
      <c r="L238" s="2368"/>
      <c r="M238" s="2366"/>
      <c r="N238" s="2366"/>
      <c r="O238" s="2366"/>
      <c r="P238" s="2366"/>
      <c r="Q238" s="2366"/>
      <c r="R238" s="2366"/>
      <c r="S238" s="2366"/>
      <c r="T238" s="2366"/>
    </row>
    <row r="239" spans="1:20">
      <c r="A239" s="2366"/>
      <c r="B239" s="2366"/>
      <c r="C239" s="2366"/>
      <c r="D239" s="2366"/>
      <c r="E239" s="2366"/>
      <c r="F239" s="2366"/>
      <c r="G239" s="2366"/>
      <c r="H239" s="2366"/>
      <c r="I239" s="2366"/>
      <c r="J239" s="2366"/>
      <c r="K239" s="2367"/>
      <c r="L239" s="2368"/>
      <c r="M239" s="2366"/>
      <c r="N239" s="2366"/>
      <c r="O239" s="2366"/>
      <c r="P239" s="2366"/>
      <c r="Q239" s="2366"/>
      <c r="R239" s="2366"/>
      <c r="S239" s="2366"/>
      <c r="T239" s="2366"/>
    </row>
    <row r="240" spans="1:20">
      <c r="A240" s="2366"/>
      <c r="B240" s="2366"/>
      <c r="C240" s="2366"/>
      <c r="D240" s="2366"/>
      <c r="E240" s="2366"/>
      <c r="F240" s="2366"/>
      <c r="G240" s="2366"/>
      <c r="H240" s="2366"/>
      <c r="I240" s="2366"/>
      <c r="J240" s="2366"/>
      <c r="K240" s="2367"/>
      <c r="L240" s="2368"/>
      <c r="M240" s="2366"/>
      <c r="N240" s="2366"/>
      <c r="O240" s="2366"/>
      <c r="P240" s="2366"/>
      <c r="Q240" s="2366"/>
      <c r="R240" s="2366"/>
      <c r="S240" s="2366"/>
      <c r="T240" s="2366"/>
    </row>
    <row r="241" spans="1:20">
      <c r="A241" s="2366"/>
      <c r="B241" s="2366"/>
      <c r="C241" s="2366"/>
      <c r="D241" s="2366"/>
      <c r="E241" s="2366"/>
      <c r="F241" s="2366"/>
      <c r="G241" s="2366"/>
      <c r="H241" s="2366"/>
      <c r="I241" s="2366"/>
      <c r="J241" s="2366"/>
      <c r="K241" s="2367"/>
      <c r="L241" s="2368"/>
      <c r="M241" s="2366"/>
      <c r="N241" s="2366"/>
      <c r="O241" s="2366"/>
      <c r="P241" s="2366"/>
      <c r="Q241" s="2366"/>
      <c r="R241" s="2366"/>
      <c r="S241" s="2366"/>
      <c r="T241" s="236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7" type="noConversion"/>
  <conditionalFormatting sqref="F40 H40 J40">
    <cfRule type="containsText" dxfId="38" priority="14" stopIfTrue="1" operator="containsText" text="超过">
      <formula>NOT(ISERROR(SEARCH("超过",F40)))</formula>
    </cfRule>
  </conditionalFormatting>
  <conditionalFormatting sqref="J42">
    <cfRule type="containsText" dxfId="37" priority="13" stopIfTrue="1" operator="containsText" text="超过">
      <formula>NOT(ISERROR(SEARCH("超过",J42)))</formula>
    </cfRule>
  </conditionalFormatting>
  <conditionalFormatting sqref="H42">
    <cfRule type="containsText" dxfId="36" priority="12" stopIfTrue="1" operator="containsText" text="超过">
      <formula>NOT(ISERROR(SEARCH("超过",H42)))</formula>
    </cfRule>
  </conditionalFormatting>
  <conditionalFormatting sqref="F42">
    <cfRule type="containsText" dxfId="35" priority="11" stopIfTrue="1" operator="containsText" text="超过">
      <formula>NOT(ISERROR(SEARCH("超过",F42)))</formula>
    </cfRule>
  </conditionalFormatting>
  <conditionalFormatting sqref="F41 H41 J41">
    <cfRule type="containsText" dxfId="34" priority="10" stopIfTrue="1" operator="containsText" text="超过">
      <formula>NOT(ISERROR(SEARCH("超过",F41)))</formula>
    </cfRule>
  </conditionalFormatting>
  <conditionalFormatting sqref="E40">
    <cfRule type="expression" dxfId="33" priority="9" stopIfTrue="1">
      <formula>$F$40="超过30%"</formula>
    </cfRule>
  </conditionalFormatting>
  <conditionalFormatting sqref="G42">
    <cfRule type="expression" dxfId="32" priority="8" stopIfTrue="1">
      <formula>$H$54+$H$42="超过30%"</formula>
    </cfRule>
  </conditionalFormatting>
  <conditionalFormatting sqref="E41">
    <cfRule type="expression" dxfId="31" priority="7" stopIfTrue="1">
      <formula>$F$41="超过20%"</formula>
    </cfRule>
  </conditionalFormatting>
  <conditionalFormatting sqref="E42">
    <cfRule type="expression" dxfId="30" priority="6" stopIfTrue="1">
      <formula>$F$42="超过30%"</formula>
    </cfRule>
  </conditionalFormatting>
  <conditionalFormatting sqref="G40">
    <cfRule type="expression" dxfId="29" priority="5" stopIfTrue="1">
      <formula>$H$52+$H$40="超过30%"</formula>
    </cfRule>
  </conditionalFormatting>
  <conditionalFormatting sqref="G41">
    <cfRule type="expression" dxfId="28" priority="4" stopIfTrue="1">
      <formula>$H$53+$H$41="超过20%"</formula>
    </cfRule>
  </conditionalFormatting>
  <conditionalFormatting sqref="I40">
    <cfRule type="expression" dxfId="27" priority="3" stopIfTrue="1">
      <formula>$J$40="超过30%"</formula>
    </cfRule>
  </conditionalFormatting>
  <conditionalFormatting sqref="I41">
    <cfRule type="expression" dxfId="26" priority="2" stopIfTrue="1">
      <formula>$J$41="超过20%"</formula>
    </cfRule>
  </conditionalFormatting>
  <conditionalFormatting sqref="I42">
    <cfRule type="expression" dxfId="2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C5" sqref="C5:J6"/>
    </sheetView>
  </sheetViews>
  <sheetFormatPr defaultColWidth="12" defaultRowHeight="12"/>
  <cols>
    <col min="1" max="1" width="9.75" style="1618" customWidth="1"/>
    <col min="2" max="2" width="19.25" style="1739" customWidth="1"/>
    <col min="3" max="4" width="12" style="1619"/>
    <col min="5" max="5" width="14.625" style="1619" customWidth="1"/>
    <col min="6" max="8" width="12" style="1619"/>
    <col min="9" max="9" width="12.25" style="1619" bestFit="1" customWidth="1"/>
    <col min="10" max="10" width="12" style="1619"/>
    <col min="11" max="11" width="8.125" style="1616" customWidth="1"/>
    <col min="12" max="12" width="12" style="1619"/>
    <col min="13" max="13" width="8.5" style="1619" customWidth="1"/>
    <col min="14" max="14" width="9.75" style="1619" customWidth="1"/>
    <col min="15" max="25" width="12" style="1619"/>
    <col min="26" max="26" width="9.375" style="1618" customWidth="1"/>
    <col min="27" max="32" width="9.375" style="1617" customWidth="1"/>
    <col min="33" max="36" width="9.375" style="1618" customWidth="1"/>
    <col min="37" max="38" width="9.375" style="1619" customWidth="1"/>
    <col min="39" max="16384" width="12" style="1619"/>
  </cols>
  <sheetData>
    <row r="1" spans="1:36" ht="28.5">
      <c r="A1" s="1472" t="s">
        <v>1796</v>
      </c>
      <c r="B1" s="1473"/>
      <c r="C1" s="86" t="s">
        <v>2509</v>
      </c>
      <c r="D1" s="1731">
        <f>SUM(D29:D30,D33:D39)</f>
        <v>0</v>
      </c>
      <c r="E1" s="1615"/>
      <c r="F1" s="1615"/>
      <c r="G1" s="1615"/>
      <c r="H1" s="1615"/>
      <c r="I1" s="1615"/>
      <c r="J1" s="1615"/>
      <c r="K1" s="2375"/>
      <c r="L1" s="1877" t="s">
        <v>1228</v>
      </c>
      <c r="M1" s="2130">
        <f>SUMPRODUCT((区片价!B5:B9=I2)*(区片价!C3:F3=E2)*(区片价!C5:F9))</f>
        <v>0</v>
      </c>
      <c r="N1" s="2133">
        <f>SUMPRODUCT((因素修正幅度!B5:B9=I2)*(因素修正幅度!C3:F3=E2)*(因素修正幅度!C5:F9))</f>
        <v>0</v>
      </c>
      <c r="O1" s="2379"/>
      <c r="P1" s="2379"/>
      <c r="Q1" s="2375"/>
      <c r="R1" s="3069" t="s">
        <v>2898</v>
      </c>
      <c r="S1" s="3069" t="s">
        <v>2899</v>
      </c>
      <c r="T1" s="3069" t="s">
        <v>2900</v>
      </c>
      <c r="U1" s="3069" t="s">
        <v>2901</v>
      </c>
      <c r="V1" s="3069" t="s">
        <v>2902</v>
      </c>
      <c r="W1" s="3070"/>
      <c r="X1" s="3070"/>
      <c r="Y1" s="3070"/>
      <c r="Z1" s="3070"/>
      <c r="AA1" s="3070"/>
      <c r="AB1" s="3070"/>
      <c r="AC1" s="3071"/>
      <c r="AD1" s="3072"/>
      <c r="AE1" s="3072"/>
      <c r="AF1" s="3072"/>
      <c r="AG1" s="3072"/>
      <c r="AH1" s="3072"/>
      <c r="AI1" s="3072"/>
      <c r="AJ1" s="3073"/>
    </row>
    <row r="2" spans="1:36" ht="15.75">
      <c r="A2" s="86" t="s">
        <v>1797</v>
      </c>
      <c r="B2" s="579" t="e">
        <f>C26</f>
        <v>#DIV/0!</v>
      </c>
      <c r="C2" s="1471" t="s">
        <v>1138</v>
      </c>
      <c r="D2" s="1620" t="s">
        <v>1798</v>
      </c>
      <c r="E2" s="1775"/>
      <c r="F2" s="1620" t="s">
        <v>1799</v>
      </c>
      <c r="G2" s="1597">
        <f>IF(E2="商业",项目基本情况!B37,IF(E2="办公",项目基本情况!C37,IF(E2="住宅",项目基本情况!D37,项目基本情况!E37)))</f>
        <v>0</v>
      </c>
      <c r="H2" s="1620" t="s">
        <v>1800</v>
      </c>
      <c r="I2" s="1597">
        <f>IF(E2="商业",项目基本情况!B38,IF(E2="办公",项目基本情况!C38,IF(E2="住宅",项目基本情况!D38,项目基本情况!E38)))</f>
        <v>0</v>
      </c>
      <c r="J2" s="1621"/>
      <c r="K2" s="2375"/>
      <c r="L2" s="1878" t="s">
        <v>1285</v>
      </c>
      <c r="M2" s="2131">
        <f>SUMPRODUCT((区片价!B10:B28=I2)*(区片价!C3:F3=E2)*(区片价!C10:F28))</f>
        <v>0</v>
      </c>
      <c r="N2" s="2133">
        <f>SUMPRODUCT((因素修正幅度!B10:B28=I2)*(因素修正幅度!C3:F3=E2)*(因素修正幅度!C10:F28))</f>
        <v>0</v>
      </c>
      <c r="O2" s="2375"/>
      <c r="P2" s="2375"/>
      <c r="Q2" s="2375"/>
      <c r="R2" s="3074">
        <v>1</v>
      </c>
      <c r="S2" s="3074">
        <f>ROUND(IF(G3&gt;1,IF(R2&lt;7,SUMPRODUCT((B93:B98=R2)*(C92:N92=G2)*(C93:N98)),SUMIF(C92:N92,G2,C100:N100)),IF(R2&lt;7,SUMPRODUCT((B102:B107=R2)*(C92:N92=G2)*(C102:N107)),SUMIF(C92:N92,G2,C109:N109))),4)</f>
        <v>0</v>
      </c>
      <c r="T2" s="3074" t="e">
        <f>ROUND($C$5*$C$18*$C$19*$C$20*S2*$C$24,0)</f>
        <v>#DIV/0!</v>
      </c>
      <c r="U2" s="3075"/>
      <c r="V2" s="3074" t="e">
        <f>ROUND(T2*U2/10000,0)</f>
        <v>#DIV/0!</v>
      </c>
      <c r="W2" s="3070"/>
      <c r="X2" s="3070"/>
      <c r="Y2" s="3070"/>
      <c r="Z2" s="3070"/>
      <c r="AA2" s="3070"/>
      <c r="AB2" s="3070"/>
      <c r="AC2" s="3071"/>
      <c r="AD2" s="3072"/>
      <c r="AE2" s="3072"/>
      <c r="AF2" s="3072"/>
      <c r="AG2" s="3072"/>
      <c r="AH2" s="3072"/>
      <c r="AI2" s="3072"/>
      <c r="AJ2" s="3073"/>
    </row>
    <row r="3" spans="1:36" ht="15.75">
      <c r="A3" s="87" t="s">
        <v>1801</v>
      </c>
      <c r="B3" s="579" t="e">
        <f>ROUND(B2*10000/D1,0)</f>
        <v>#DIV/0!</v>
      </c>
      <c r="C3" s="1471" t="s">
        <v>1802</v>
      </c>
      <c r="D3" s="1620" t="s">
        <v>1141</v>
      </c>
      <c r="E3" s="1776"/>
      <c r="F3" s="1777" t="s">
        <v>3032</v>
      </c>
      <c r="G3" s="1622">
        <f>IF(F3="宗地容积率",'数据-汇总表'!I4,IF(F3="估价对象容积率",'数据-汇总表'!I6,'数据-汇总表'!I7))</f>
        <v>0.66</v>
      </c>
      <c r="H3" s="1623" t="s">
        <v>1142</v>
      </c>
      <c r="I3" s="1778"/>
      <c r="J3" s="1621" t="s">
        <v>1143</v>
      </c>
      <c r="K3" s="2375"/>
      <c r="L3" s="1878" t="s">
        <v>1458</v>
      </c>
      <c r="M3" s="2131">
        <f>SUMPRODUCT((区片价!B29:B48=I2)*(区片价!C3:F3=E2)*(区片价!C29:F48))</f>
        <v>0</v>
      </c>
      <c r="N3" s="2133">
        <f>SUMPRODUCT((因素修正幅度!B29:B48=I2)*(因素修正幅度!C3:F3=E2)*(因素修正幅度!C29:F48))</f>
        <v>0</v>
      </c>
      <c r="O3" s="2375"/>
      <c r="P3" s="2375"/>
      <c r="Q3" s="2375"/>
      <c r="R3" s="3074">
        <v>2</v>
      </c>
      <c r="S3" s="3074">
        <f>ROUND(IF(G3&gt;1,IF(R3&lt;7,SUMPRODUCT((B93:B98=R3)*(C92:N92=G2)*(C93:N98)),SUMIF(C92:N92,G2,C100:N100)),IF(R3&lt;7,SUMPRODUCT((B102:B107=R3)*(C92:N92=G2)*(C102:N107)),SUMIF(C92:N92,G2,C109:N109))),4)</f>
        <v>0</v>
      </c>
      <c r="T3" s="3074" t="e">
        <f t="shared" ref="T3:T16" si="0">ROUND($C$5*$C$18*$C$19*$C$20*S3*$C$24,0)</f>
        <v>#DIV/0!</v>
      </c>
      <c r="U3" s="3075"/>
      <c r="V3" s="3074" t="e">
        <f t="shared" ref="V3:V16" si="1">ROUND(T3*U3/10000,0)</f>
        <v>#DIV/0!</v>
      </c>
      <c r="W3" s="3070"/>
      <c r="X3" s="3070"/>
      <c r="Y3" s="3070"/>
      <c r="Z3" s="3070"/>
      <c r="AA3" s="3070"/>
      <c r="AB3" s="3070"/>
      <c r="AC3" s="3071"/>
      <c r="AD3" s="3072"/>
      <c r="AE3" s="3072"/>
      <c r="AF3" s="3072"/>
      <c r="AG3" s="3072"/>
      <c r="AH3" s="3072"/>
      <c r="AI3" s="3072"/>
      <c r="AJ3" s="3073"/>
    </row>
    <row r="4" spans="1:36" ht="15">
      <c r="A4" s="3742"/>
      <c r="B4" s="3743"/>
      <c r="C4" s="3743"/>
      <c r="D4" s="3744"/>
      <c r="E4" s="3744"/>
      <c r="F4" s="3744"/>
      <c r="G4" s="3744"/>
      <c r="H4" s="3744"/>
      <c r="I4" s="3744"/>
      <c r="J4" s="3745"/>
      <c r="K4" s="2375"/>
      <c r="L4" s="1878" t="s">
        <v>1139</v>
      </c>
      <c r="M4" s="2131">
        <f>SUMPRODUCT((区片价!B49:B75=I2)*(区片价!C3:F3=E2)*(区片价!C49:F75))</f>
        <v>0</v>
      </c>
      <c r="N4" s="2133">
        <f>SUMPRODUCT((因素修正幅度!B49:B75=I2)*(因素修正幅度!C3:F3=E2)*(因素修正幅度!C49:F75))</f>
        <v>0</v>
      </c>
      <c r="O4" s="2375"/>
      <c r="P4" s="2375"/>
      <c r="Q4" s="2375"/>
      <c r="R4" s="3074">
        <v>3</v>
      </c>
      <c r="S4" s="3074">
        <f>ROUND(IF(G3&gt;1,IF(R4&lt;7,SUMPRODUCT((B93:B98=R4)*(C92:N92=G2)*(C93:N98)),SUMIF(C92:N92,G2,C100:N100)),IF(R4&lt;7,SUMPRODUCT((B102:B107=R4)*(C92:N92=G2)*(C102:N107)),SUMIF(C92:N92,G2,C109:N109))),4)</f>
        <v>0</v>
      </c>
      <c r="T4" s="3074" t="e">
        <f t="shared" si="0"/>
        <v>#DIV/0!</v>
      </c>
      <c r="U4" s="3075"/>
      <c r="V4" s="3074" t="e">
        <f t="shared" si="1"/>
        <v>#DIV/0!</v>
      </c>
      <c r="W4" s="3070"/>
      <c r="X4" s="3070"/>
      <c r="Y4" s="3070"/>
      <c r="Z4" s="3070"/>
      <c r="AA4" s="3070"/>
      <c r="AB4" s="3070"/>
      <c r="AC4" s="3071"/>
      <c r="AD4" s="3072"/>
      <c r="AE4" s="3072"/>
      <c r="AF4" s="3072"/>
      <c r="AG4" s="3072"/>
      <c r="AH4" s="3072"/>
      <c r="AI4" s="3072"/>
      <c r="AJ4" s="3073"/>
    </row>
    <row r="5" spans="1:36" s="1631" customFormat="1" ht="15.75" thickBot="1">
      <c r="A5" s="1871" t="s">
        <v>1939</v>
      </c>
      <c r="B5" s="1624" t="s">
        <v>1803</v>
      </c>
      <c r="C5" s="1625" t="e">
        <f>ROUND(IF(E2="商业",IF(F16="增加",C6*C7+C16,C6*C7-C16),IF(E2="住宅",IF(F16="增加",C6*C12+C16,C6*C12-C16),IF(F16="增加",C6+C16,C6-C16))),0)</f>
        <v>#DIV/0!</v>
      </c>
      <c r="D5" s="1626"/>
      <c r="E5" s="1627"/>
      <c r="F5" s="1627"/>
      <c r="G5" s="1628"/>
      <c r="H5" s="1628"/>
      <c r="I5" s="1628"/>
      <c r="J5" s="1629"/>
      <c r="K5" s="2380"/>
      <c r="L5" s="1878" t="s">
        <v>1539</v>
      </c>
      <c r="M5" s="2131">
        <f>SUMPRODUCT((区片价!B76:B109=I2)*(区片价!C3:F3=E2)*(区片价!C76:F109))</f>
        <v>0</v>
      </c>
      <c r="N5" s="2133">
        <f>SUMPRODUCT((因素修正幅度!B76:B109=I2)*(因素修正幅度!C3:F3=E2)*(因素修正幅度!C76:F109))</f>
        <v>0</v>
      </c>
      <c r="O5" s="2375"/>
      <c r="P5" s="2375"/>
      <c r="Q5" s="2375"/>
      <c r="R5" s="3074">
        <v>4</v>
      </c>
      <c r="S5" s="3074">
        <f>ROUND(IF(G3&gt;1,IF(R5&lt;7,SUMPRODUCT((B93:B98=R5)*(C92:N92=G2)*(C93:N98)),SUMIF(C92:N92,G2,C100:N100)),IF(R5&lt;7,SUMPRODUCT((B102:B107=R5)*(C92:N92=G2)*(C102:N107)),SUMIF(C92:N92,G2,C109:N109))),4)</f>
        <v>0</v>
      </c>
      <c r="T5" s="3074" t="e">
        <f t="shared" si="0"/>
        <v>#DIV/0!</v>
      </c>
      <c r="U5" s="3075"/>
      <c r="V5" s="3074" t="e">
        <f t="shared" si="1"/>
        <v>#DIV/0!</v>
      </c>
      <c r="W5" s="3070"/>
      <c r="X5" s="3070"/>
      <c r="Y5" s="3070"/>
      <c r="Z5" s="3070"/>
      <c r="AA5" s="3070"/>
      <c r="AB5" s="3070"/>
      <c r="AC5" s="3076"/>
      <c r="AD5" s="3077"/>
      <c r="AE5" s="3077"/>
      <c r="AF5" s="3077"/>
      <c r="AG5" s="3077"/>
      <c r="AH5" s="3077"/>
      <c r="AI5" s="3077"/>
      <c r="AJ5" s="3078"/>
    </row>
    <row r="6" spans="1:36" ht="15.75" thickBot="1">
      <c r="A6" s="1875" t="s">
        <v>1946</v>
      </c>
      <c r="B6" s="1632" t="s">
        <v>1803</v>
      </c>
      <c r="C6" s="1633">
        <f>SUMIF(L1:L12,G2,M1:M12)</f>
        <v>0</v>
      </c>
      <c r="D6" s="1634" t="s">
        <v>1804</v>
      </c>
      <c r="E6" s="1635"/>
      <c r="F6" s="1635"/>
      <c r="G6" s="1636"/>
      <c r="H6" s="1636"/>
      <c r="I6" s="1636"/>
      <c r="J6" s="1637"/>
      <c r="K6" s="2381"/>
      <c r="L6" s="1878" t="s">
        <v>202</v>
      </c>
      <c r="M6" s="2131">
        <f>SUMPRODUCT((区片价!B110:B157=I2)*(区片价!C3:F3=E2)*(区片价!C110:F157))</f>
        <v>0</v>
      </c>
      <c r="N6" s="2133">
        <f>SUMPRODUCT((因素修正幅度!B110:B157=I2)*(因素修正幅度!C3:F3=E2)*(因素修正幅度!C110:F157))</f>
        <v>0</v>
      </c>
      <c r="O6" s="2375"/>
      <c r="P6" s="2375"/>
      <c r="Q6" s="2375"/>
      <c r="R6" s="3074">
        <v>5</v>
      </c>
      <c r="S6" s="3074">
        <f>ROUND(IF(G3&gt;1,IF(R6&lt;7,SUMPRODUCT((B93:B98=R6)*(C92:N92=G2)*(C93:N98)),SUMIF(C92:N92,G2,C100:N100)),IF(R6&lt;7,SUMPRODUCT((B102:B107=R6)*(C92:N92=G2)*(C102:N107)),SUMIF(C92:N92,G2,C109:N109))),4)</f>
        <v>0</v>
      </c>
      <c r="T6" s="3074" t="e">
        <f t="shared" si="0"/>
        <v>#DIV/0!</v>
      </c>
      <c r="U6" s="3075"/>
      <c r="V6" s="3074" t="e">
        <f t="shared" si="1"/>
        <v>#DIV/0!</v>
      </c>
      <c r="W6" s="3070"/>
      <c r="X6" s="3070"/>
      <c r="Y6" s="3070"/>
      <c r="Z6" s="3070"/>
      <c r="AA6" s="3070"/>
      <c r="AB6" s="3070"/>
      <c r="AC6" s="3076"/>
      <c r="AD6" s="3077"/>
      <c r="AE6" s="3077"/>
      <c r="AF6" s="3077"/>
      <c r="AG6" s="3077"/>
      <c r="AH6" s="3077"/>
      <c r="AI6" s="3077"/>
      <c r="AJ6" s="3078"/>
    </row>
    <row r="7" spans="1:36" ht="24">
      <c r="A7" s="3746" t="str">
        <f>IF(E2="商业",IF(C8="不临58条商业街","",2),"")</f>
        <v/>
      </c>
      <c r="B7" s="1638" t="s">
        <v>1805</v>
      </c>
      <c r="C7" s="1639" t="e">
        <f>IF(C8="不临58条商业街",1,ROUND(1+(1.6*E8+1.2*E9+0.8*E10+0.4*E11)*C9,4))</f>
        <v>#DIV/0!</v>
      </c>
      <c r="D7" s="1640" t="s">
        <v>1806</v>
      </c>
      <c r="E7" s="1779"/>
      <c r="F7" s="1641"/>
      <c r="G7" s="1642"/>
      <c r="H7" s="1642"/>
      <c r="I7" s="1642"/>
      <c r="J7" s="1643"/>
      <c r="K7" s="2381"/>
      <c r="L7" s="1878" t="s">
        <v>1542</v>
      </c>
      <c r="M7" s="2131">
        <f>SUMPRODUCT((区片价!B158:B205=I2)*(区片价!C3:F3=E2)*(区片价!C158:F205))</f>
        <v>0</v>
      </c>
      <c r="N7" s="2133">
        <f>SUMPRODUCT((因素修正幅度!B158:B205=I2)*(因素修正幅度!C3:F3=E2)*(因素修正幅度!C158:F205))</f>
        <v>0</v>
      </c>
      <c r="O7" s="2375"/>
      <c r="P7" s="2375"/>
      <c r="Q7" s="2375"/>
      <c r="R7" s="3074">
        <v>6</v>
      </c>
      <c r="S7" s="3074">
        <f>ROUND(IF(G3&gt;1,IF(R7&lt;7,SUMPRODUCT((B93:B98=R7)*(C92:N92=G2)*(C93:N98)),SUMIF(C92:N92,G2,C100:N100)),IF(R7&lt;7,SUMPRODUCT((B102:B107=R7)*(C92:N92=G2)*(C102:N107)),SUMIF(C92:N92,G2,C109:N109))),4)</f>
        <v>0</v>
      </c>
      <c r="T7" s="3074" t="e">
        <f t="shared" si="0"/>
        <v>#DIV/0!</v>
      </c>
      <c r="U7" s="3075"/>
      <c r="V7" s="3074" t="e">
        <f t="shared" si="1"/>
        <v>#DIV/0!</v>
      </c>
      <c r="W7" s="3079" t="s">
        <v>2903</v>
      </c>
      <c r="X7" s="3080">
        <f>G2</f>
        <v>0</v>
      </c>
      <c r="Y7" s="3080" t="s">
        <v>2904</v>
      </c>
      <c r="Z7" s="3081">
        <f>G3</f>
        <v>0.66</v>
      </c>
      <c r="AA7" s="3082"/>
      <c r="AB7" s="3082"/>
      <c r="AC7" s="3083"/>
      <c r="AD7" s="3084"/>
      <c r="AE7" s="3084"/>
      <c r="AF7" s="3084"/>
      <c r="AG7" s="3084"/>
      <c r="AH7" s="3084"/>
      <c r="AI7" s="3084"/>
      <c r="AJ7" s="3085"/>
    </row>
    <row r="8" spans="1:36" ht="15">
      <c r="A8" s="3747"/>
      <c r="B8" s="1623" t="s">
        <v>1807</v>
      </c>
      <c r="C8" s="1780"/>
      <c r="D8" s="1644" t="s">
        <v>1144</v>
      </c>
      <c r="E8" s="1645" t="e">
        <f>ROUND(C11/E7,4)</f>
        <v>#DIV/0!</v>
      </c>
      <c r="F8" s="1646" t="s">
        <v>1808</v>
      </c>
      <c r="G8" s="1647"/>
      <c r="H8" s="1647"/>
      <c r="I8" s="1647"/>
      <c r="J8" s="1648"/>
      <c r="K8" s="2375"/>
      <c r="L8" s="1878" t="s">
        <v>1544</v>
      </c>
      <c r="M8" s="2131">
        <f>SUMPRODUCT((区片价!B206:B244=I2)*(区片价!C3:F3=E2)*(区片价!C206:F244))</f>
        <v>0</v>
      </c>
      <c r="N8" s="2133">
        <f>SUMPRODUCT((因素修正幅度!B206:B244=I2)*(因素修正幅度!C3:F3=E2)*(因素修正幅度!C206:F244))</f>
        <v>0</v>
      </c>
      <c r="O8" s="2375"/>
      <c r="P8" s="2375"/>
      <c r="Q8" s="2375"/>
      <c r="R8" s="3074">
        <v>7</v>
      </c>
      <c r="S8" s="3075"/>
      <c r="T8" s="3074" t="e">
        <f t="shared" si="0"/>
        <v>#DIV/0!</v>
      </c>
      <c r="U8" s="3075"/>
      <c r="V8" s="3074" t="e">
        <f t="shared" si="1"/>
        <v>#DIV/0!</v>
      </c>
      <c r="W8" s="3739" t="s">
        <v>2905</v>
      </c>
      <c r="X8" s="3740"/>
      <c r="Y8" s="3086" t="s">
        <v>164</v>
      </c>
      <c r="Z8" s="3086" t="s">
        <v>165</v>
      </c>
      <c r="AA8" s="3086" t="s">
        <v>160</v>
      </c>
      <c r="AB8" s="3086" t="s">
        <v>161</v>
      </c>
      <c r="AC8" s="3086" t="s">
        <v>162</v>
      </c>
      <c r="AD8" s="3086" t="s">
        <v>163</v>
      </c>
      <c r="AE8" s="3086" t="s">
        <v>1179</v>
      </c>
      <c r="AF8" s="3086" t="s">
        <v>1180</v>
      </c>
      <c r="AG8" s="3086" t="s">
        <v>1181</v>
      </c>
      <c r="AH8" s="3086" t="s">
        <v>1182</v>
      </c>
      <c r="AI8" s="3086" t="s">
        <v>1183</v>
      </c>
      <c r="AJ8" s="3086" t="s">
        <v>1184</v>
      </c>
    </row>
    <row r="9" spans="1:36" ht="15">
      <c r="A9" s="3747"/>
      <c r="B9" s="1623" t="s">
        <v>1809</v>
      </c>
      <c r="C9" s="1649">
        <f>SUMIF(修正!C59:C119,C8,修正!E59:E119)</f>
        <v>0</v>
      </c>
      <c r="D9" s="531" t="s">
        <v>1145</v>
      </c>
      <c r="E9" s="531" t="e">
        <f>ROUND(C11/E7,4)</f>
        <v>#DIV/0!</v>
      </c>
      <c r="F9" s="1646" t="s">
        <v>1810</v>
      </c>
      <c r="G9" s="1647"/>
      <c r="H9" s="1647"/>
      <c r="I9" s="1647"/>
      <c r="J9" s="1648"/>
      <c r="K9" s="2375"/>
      <c r="L9" s="1878" t="s">
        <v>1546</v>
      </c>
      <c r="M9" s="2131">
        <f>SUMPRODUCT((区片价!B245:B289=I2)*(区片价!C3:F3=E2)*(区片价!C245:F289))</f>
        <v>0</v>
      </c>
      <c r="N9" s="2133">
        <f>SUMPRODUCT((因素修正幅度!B245:B289=I2)*(因素修正幅度!C3:F3=E2)*(因素修正幅度!C245:F289))</f>
        <v>0</v>
      </c>
      <c r="O9" s="2375"/>
      <c r="P9" s="2375"/>
      <c r="Q9" s="2375"/>
      <c r="R9" s="3074">
        <v>8</v>
      </c>
      <c r="S9" s="3075"/>
      <c r="T9" s="3074" t="e">
        <f t="shared" si="0"/>
        <v>#DIV/0!</v>
      </c>
      <c r="U9" s="3075"/>
      <c r="V9" s="3074" t="e">
        <f t="shared" si="1"/>
        <v>#DIV/0!</v>
      </c>
      <c r="W9" s="3741" t="s">
        <v>2906</v>
      </c>
      <c r="X9" s="3087" t="s">
        <v>1766</v>
      </c>
      <c r="Y9" s="3312"/>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47"/>
      <c r="B10" s="1623" t="s">
        <v>1811</v>
      </c>
      <c r="C10" s="531">
        <f>SUMIF(修正!C59:C119,C8,修正!F59:F119)</f>
        <v>0</v>
      </c>
      <c r="D10" s="531" t="s">
        <v>1146</v>
      </c>
      <c r="E10" s="531" t="e">
        <f>ROUND(C11/E7,4)</f>
        <v>#DIV/0!</v>
      </c>
      <c r="F10" s="1646" t="s">
        <v>1812</v>
      </c>
      <c r="G10" s="1647"/>
      <c r="H10" s="1647"/>
      <c r="I10" s="1647"/>
      <c r="J10" s="1648"/>
      <c r="K10" s="2375"/>
      <c r="L10" s="1878" t="s">
        <v>1550</v>
      </c>
      <c r="M10" s="2131">
        <f>SUMPRODUCT((区片价!B290:B316=I2)*(区片价!C3:F3=E2)*(区片价!C290:F316))</f>
        <v>0</v>
      </c>
      <c r="N10" s="2133">
        <f>SUMPRODUCT((因素修正幅度!B290:B316=I2)*(因素修正幅度!C3:F3=E2)*(因素修正幅度!C290:F316))</f>
        <v>0</v>
      </c>
      <c r="O10" s="2375"/>
      <c r="P10" s="2375"/>
      <c r="Q10" s="2375"/>
      <c r="R10" s="3074">
        <v>9</v>
      </c>
      <c r="S10" s="3075"/>
      <c r="T10" s="3074" t="e">
        <f t="shared" si="0"/>
        <v>#DIV/0!</v>
      </c>
      <c r="U10" s="3075"/>
      <c r="V10" s="3074" t="e">
        <f t="shared" si="1"/>
        <v>#DIV/0!</v>
      </c>
      <c r="W10" s="3741"/>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47"/>
      <c r="B11" s="1650" t="s">
        <v>1813</v>
      </c>
      <c r="C11" s="1651">
        <f>C10/4</f>
        <v>0</v>
      </c>
      <c r="D11" s="1651" t="s">
        <v>1147</v>
      </c>
      <c r="E11" s="1651" t="e">
        <f>ROUND(C11/E7,4)</f>
        <v>#DIV/0!</v>
      </c>
      <c r="F11" s="1652" t="s">
        <v>1814</v>
      </c>
      <c r="G11" s="1653"/>
      <c r="H11" s="1653"/>
      <c r="I11" s="1653"/>
      <c r="J11" s="1654"/>
      <c r="K11" s="2375"/>
      <c r="L11" s="1878" t="s">
        <v>1949</v>
      </c>
      <c r="M11" s="2131">
        <f>SUMPRODUCT((区片价!B317:B337=I2)*(区片价!C3:F3=E2)*(区片价!C317:F337))</f>
        <v>0</v>
      </c>
      <c r="N11" s="2133">
        <f>SUMPRODUCT((因素修正幅度!B317:B337=I2)*(因素修正幅度!C3:F3=E2)*(因素修正幅度!C317:F337))</f>
        <v>0</v>
      </c>
      <c r="O11" s="2375"/>
      <c r="P11" s="2375"/>
      <c r="Q11" s="2375"/>
      <c r="R11" s="3074">
        <v>10</v>
      </c>
      <c r="S11" s="3075"/>
      <c r="T11" s="3074" t="e">
        <f t="shared" si="0"/>
        <v>#DIV/0!</v>
      </c>
      <c r="U11" s="3075"/>
      <c r="V11" s="3074" t="e">
        <f t="shared" si="1"/>
        <v>#DIV/0!</v>
      </c>
      <c r="W11" s="3741" t="s">
        <v>2907</v>
      </c>
      <c r="X11" s="3090" t="s">
        <v>2904</v>
      </c>
      <c r="Y11" s="3091">
        <f>$G$3</f>
        <v>0.66</v>
      </c>
      <c r="Z11" s="3091">
        <f t="shared" ref="Z11:AJ11" si="3">$G$3</f>
        <v>0.66</v>
      </c>
      <c r="AA11" s="3091">
        <f t="shared" si="3"/>
        <v>0.66</v>
      </c>
      <c r="AB11" s="3091">
        <f t="shared" si="3"/>
        <v>0.66</v>
      </c>
      <c r="AC11" s="3091">
        <f t="shared" si="3"/>
        <v>0.66</v>
      </c>
      <c r="AD11" s="3091">
        <f t="shared" si="3"/>
        <v>0.66</v>
      </c>
      <c r="AE11" s="3091">
        <f t="shared" si="3"/>
        <v>0.66</v>
      </c>
      <c r="AF11" s="3091">
        <f t="shared" si="3"/>
        <v>0.66</v>
      </c>
      <c r="AG11" s="3091">
        <f t="shared" si="3"/>
        <v>0.66</v>
      </c>
      <c r="AH11" s="3091">
        <f t="shared" si="3"/>
        <v>0.66</v>
      </c>
      <c r="AI11" s="3091">
        <f t="shared" si="3"/>
        <v>0.66</v>
      </c>
      <c r="AJ11" s="3091">
        <f t="shared" si="3"/>
        <v>0.66</v>
      </c>
    </row>
    <row r="12" spans="1:36" ht="26.25" thickBot="1">
      <c r="A12" s="3746" t="s">
        <v>1947</v>
      </c>
      <c r="B12" s="1655" t="s">
        <v>1815</v>
      </c>
      <c r="C12" s="1639">
        <f>ROUND(C15*D15*E15*F15*G15*H15*I15*J15,4)</f>
        <v>1</v>
      </c>
      <c r="D12" s="1656" t="s">
        <v>1816</v>
      </c>
      <c r="E12" s="1657"/>
      <c r="F12" s="1657"/>
      <c r="G12" s="1658"/>
      <c r="H12" s="1658"/>
      <c r="I12" s="1658"/>
      <c r="J12" s="1659"/>
      <c r="K12" s="2375"/>
      <c r="L12" s="1879" t="s">
        <v>1950</v>
      </c>
      <c r="M12" s="2132">
        <f>SUMPRODUCT((区片价!B338:B344=I2)*(区片价!C3:F3=E2)*(区片价!C338:F344))</f>
        <v>0</v>
      </c>
      <c r="N12" s="2133">
        <f>SUMPRODUCT((因素修正幅度!B338:B344=I2)*(因素修正幅度!C3:F3=E2)*(因素修正幅度!C338:F344))</f>
        <v>0</v>
      </c>
      <c r="O12" s="2375"/>
      <c r="P12" s="2375"/>
      <c r="Q12" s="2375"/>
      <c r="R12" s="3074">
        <v>11</v>
      </c>
      <c r="S12" s="3075"/>
      <c r="T12" s="3074" t="e">
        <f t="shared" si="0"/>
        <v>#DIV/0!</v>
      </c>
      <c r="U12" s="3075"/>
      <c r="V12" s="3074" t="e">
        <f t="shared" si="1"/>
        <v>#DIV/0!</v>
      </c>
      <c r="W12" s="3741"/>
      <c r="X12" s="3092" t="s">
        <v>1769</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48"/>
      <c r="B13" s="1660" t="s">
        <v>1817</v>
      </c>
      <c r="C13" s="1661" t="s">
        <v>1818</v>
      </c>
      <c r="D13" s="1662" t="s">
        <v>1819</v>
      </c>
      <c r="E13" s="1662" t="s">
        <v>1820</v>
      </c>
      <c r="F13" s="81" t="s">
        <v>1148</v>
      </c>
      <c r="G13" s="1781" t="s">
        <v>1871</v>
      </c>
      <c r="H13" s="1781" t="s">
        <v>1871</v>
      </c>
      <c r="I13" s="1781" t="s">
        <v>1871</v>
      </c>
      <c r="J13" s="1782" t="s">
        <v>1871</v>
      </c>
      <c r="K13" s="2375"/>
      <c r="L13" s="2375"/>
      <c r="M13" s="2375"/>
      <c r="N13" s="2375"/>
      <c r="O13" s="2375"/>
      <c r="P13" s="2375"/>
      <c r="Q13" s="2375"/>
      <c r="R13" s="3074">
        <v>12</v>
      </c>
      <c r="S13" s="3075"/>
      <c r="T13" s="3074" t="e">
        <f t="shared" si="0"/>
        <v>#DIV/0!</v>
      </c>
      <c r="U13" s="3075"/>
      <c r="V13" s="3074" t="e">
        <f t="shared" si="1"/>
        <v>#DIV/0!</v>
      </c>
      <c r="W13" s="3741"/>
      <c r="X13" s="3092"/>
      <c r="Y13" s="3089">
        <f>(-0.163*(Y12^2)-0.59*Y12+7617)*(10^(-4))/Y11</f>
        <v>1.1540909090909091</v>
      </c>
      <c r="Z13" s="3089">
        <f t="shared" ref="Z13:AJ13" si="5">(-0.163*(Z12^2)-0.59*Z12+7617)*(10^(-4))/Z11</f>
        <v>1.1540909090909091</v>
      </c>
      <c r="AA13" s="3089">
        <f t="shared" si="5"/>
        <v>1.1540909090909091</v>
      </c>
      <c r="AB13" s="3089">
        <f t="shared" si="5"/>
        <v>1.1540909090909091</v>
      </c>
      <c r="AC13" s="3089">
        <f t="shared" si="5"/>
        <v>1.1540909090909091</v>
      </c>
      <c r="AD13" s="3089">
        <f t="shared" si="5"/>
        <v>1.1540909090909091</v>
      </c>
      <c r="AE13" s="3089">
        <f t="shared" si="5"/>
        <v>1.1540909090909091</v>
      </c>
      <c r="AF13" s="3089">
        <f t="shared" si="5"/>
        <v>1.1540909090909091</v>
      </c>
      <c r="AG13" s="3089">
        <f t="shared" si="5"/>
        <v>1.1540909090909091</v>
      </c>
      <c r="AH13" s="3089">
        <f t="shared" si="5"/>
        <v>1.1540909090909091</v>
      </c>
      <c r="AI13" s="3089">
        <f t="shared" si="5"/>
        <v>1.1540909090909091</v>
      </c>
      <c r="AJ13" s="3089">
        <f t="shared" si="5"/>
        <v>1.1540909090909091</v>
      </c>
    </row>
    <row r="14" spans="1:36" ht="15">
      <c r="A14" s="3748"/>
      <c r="B14" s="1663"/>
      <c r="C14" s="1783"/>
      <c r="D14" s="1479"/>
      <c r="E14" s="1479"/>
      <c r="F14" s="1784"/>
      <c r="G14" s="1664" t="s">
        <v>1848</v>
      </c>
      <c r="H14" s="1665"/>
      <c r="I14" s="1666"/>
      <c r="J14" s="1667"/>
      <c r="K14" s="2375"/>
      <c r="L14" s="2375"/>
      <c r="M14" s="2375"/>
      <c r="N14" s="2375"/>
      <c r="O14" s="2375"/>
      <c r="P14" s="2375"/>
      <c r="Q14" s="2375"/>
      <c r="R14" s="3074">
        <v>13</v>
      </c>
      <c r="S14" s="3075"/>
      <c r="T14" s="3074" t="e">
        <f t="shared" si="0"/>
        <v>#DIV/0!</v>
      </c>
      <c r="U14" s="3075"/>
      <c r="V14" s="3074" t="e">
        <f t="shared" si="1"/>
        <v>#DIV/0!</v>
      </c>
      <c r="W14" s="3070"/>
      <c r="X14" s="3070"/>
      <c r="Y14" s="3070"/>
      <c r="Z14" s="3070"/>
      <c r="AA14" s="3070"/>
      <c r="AB14" s="3070"/>
      <c r="AC14" s="3071"/>
      <c r="AD14" s="3072"/>
      <c r="AE14" s="3072"/>
      <c r="AF14" s="3072"/>
      <c r="AG14" s="3072"/>
      <c r="AH14" s="3072"/>
      <c r="AI14" s="3072"/>
      <c r="AJ14" s="3073"/>
    </row>
    <row r="15" spans="1:36" ht="15.75" thickBot="1">
      <c r="A15" s="3749"/>
      <c r="B15" s="1668" t="s">
        <v>1821</v>
      </c>
      <c r="C15" s="560">
        <f>IF(C14="有",1.1,1)</f>
        <v>1</v>
      </c>
      <c r="D15" s="560">
        <f>IF(D14="有",1.1,1)</f>
        <v>1</v>
      </c>
      <c r="E15" s="560">
        <f>IF(E14="有",1.1,1)</f>
        <v>1</v>
      </c>
      <c r="F15" s="560">
        <f>IF(F14="500米范围内",1.2,IF(F14="500-1000米",1.1,1))</f>
        <v>1</v>
      </c>
      <c r="G15" s="1785">
        <v>1</v>
      </c>
      <c r="H15" s="1785">
        <v>1</v>
      </c>
      <c r="I15" s="1785">
        <v>1</v>
      </c>
      <c r="J15" s="1786">
        <v>1</v>
      </c>
      <c r="K15" s="2375"/>
      <c r="L15" s="1699" t="s">
        <v>1837</v>
      </c>
      <c r="M15" s="1700" t="s">
        <v>1838</v>
      </c>
      <c r="N15" s="1700" t="s">
        <v>1839</v>
      </c>
      <c r="O15" s="1700" t="s">
        <v>980</v>
      </c>
      <c r="P15" s="1701" t="s">
        <v>1840</v>
      </c>
      <c r="Q15" s="2375"/>
      <c r="R15" s="3074">
        <v>14</v>
      </c>
      <c r="S15" s="3075"/>
      <c r="T15" s="3074" t="e">
        <f t="shared" si="0"/>
        <v>#DIV/0!</v>
      </c>
      <c r="U15" s="3075"/>
      <c r="V15" s="3074" t="e">
        <f t="shared" si="1"/>
        <v>#DIV/0!</v>
      </c>
      <c r="W15" s="3070"/>
      <c r="X15" s="3070"/>
      <c r="Y15" s="3070"/>
      <c r="Z15" s="3070"/>
      <c r="AA15" s="3070"/>
      <c r="AB15" s="3070"/>
      <c r="AC15" s="3071"/>
      <c r="AD15" s="3072"/>
      <c r="AE15" s="3072"/>
      <c r="AF15" s="3072"/>
      <c r="AG15" s="3072"/>
      <c r="AH15" s="3072"/>
      <c r="AI15" s="3072"/>
      <c r="AJ15" s="3073"/>
    </row>
    <row r="16" spans="1:36" ht="24">
      <c r="A16" s="3746" t="s">
        <v>1948</v>
      </c>
      <c r="B16" s="1638" t="s">
        <v>1822</v>
      </c>
      <c r="C16" s="1771" t="e">
        <f>ROUND(SUM(G17:J17)/C17,0)</f>
        <v>#DIV/0!</v>
      </c>
      <c r="D16" s="1669" t="s">
        <v>1823</v>
      </c>
      <c r="E16" s="1787"/>
      <c r="F16" s="1788"/>
      <c r="G16" s="1789"/>
      <c r="H16" s="1789"/>
      <c r="I16" s="1789"/>
      <c r="J16" s="1790"/>
      <c r="K16" s="2375"/>
      <c r="L16" s="1705" t="s">
        <v>1842</v>
      </c>
      <c r="M16" s="1649">
        <v>0.25</v>
      </c>
      <c r="N16" s="1649">
        <v>0.2</v>
      </c>
      <c r="O16" s="1649">
        <v>0.15</v>
      </c>
      <c r="P16" s="2725">
        <v>0.1</v>
      </c>
      <c r="Q16" s="2726"/>
      <c r="R16" s="3074">
        <v>15</v>
      </c>
      <c r="S16" s="3075"/>
      <c r="T16" s="3074" t="e">
        <f t="shared" si="0"/>
        <v>#DIV/0!</v>
      </c>
      <c r="U16" s="3075"/>
      <c r="V16" s="3074" t="e">
        <f t="shared" si="1"/>
        <v>#DIV/0!</v>
      </c>
      <c r="W16" s="3082"/>
      <c r="X16" s="3082"/>
      <c r="Y16" s="3082"/>
      <c r="Z16" s="3082"/>
      <c r="AA16" s="3082"/>
      <c r="AB16" s="3082"/>
      <c r="AC16" s="3083"/>
      <c r="AD16" s="3072"/>
      <c r="AE16" s="3072"/>
      <c r="AF16" s="3072"/>
      <c r="AG16" s="3072"/>
      <c r="AH16" s="3072"/>
      <c r="AI16" s="3072"/>
      <c r="AJ16" s="3073"/>
    </row>
    <row r="17" spans="1:37" ht="13.5" thickBot="1">
      <c r="A17" s="3747"/>
      <c r="B17" s="1670" t="s">
        <v>1824</v>
      </c>
      <c r="C17" s="1671">
        <f>SUMPRODUCT((修正!A2:A5=E2)*(修正!B1:M1=G2)*(修正!B2:M5))</f>
        <v>0</v>
      </c>
      <c r="D17" s="1672" t="s">
        <v>1825</v>
      </c>
      <c r="E17" s="1742" t="str">
        <f>IF(OR(G2="八级",G2="九级",G2="十级",G2="十一级",G2="十二级"),"五通一平","七通一平")</f>
        <v>七通一平</v>
      </c>
      <c r="F17" s="1673" t="s">
        <v>1826</v>
      </c>
      <c r="G17" s="1671">
        <f>SUMPRODUCT((七通一平=G16)*(修正!B1:M1=G2)*(修正!B6:M14))</f>
        <v>0</v>
      </c>
      <c r="H17" s="1671">
        <f>SUMPRODUCT((七通一平=H16)*(修正!B1:M1=G2)*(修正!B6:M14))</f>
        <v>0</v>
      </c>
      <c r="I17" s="1671">
        <f>SUMPRODUCT((七通一平=I16)*(修正!B1:M1=G2)*(修正!B6:M14))</f>
        <v>0</v>
      </c>
      <c r="J17" s="1674">
        <f>SUMPRODUCT((七通一平=J16)*(修正!B1:M1=G2)*(修正!B6:M14))</f>
        <v>0</v>
      </c>
      <c r="K17" s="2375"/>
      <c r="L17" s="1712" t="s">
        <v>1831</v>
      </c>
      <c r="M17" s="542">
        <f ca="1">ROUND($E$20*(1+M16),3)</f>
        <v>5.3999999999999999E-2</v>
      </c>
      <c r="N17" s="542">
        <f ca="1">ROUND($E$20*(1+N16),3)</f>
        <v>5.1999999999999998E-2</v>
      </c>
      <c r="O17" s="542">
        <f ca="1">ROUND($E$20*(1+O16),3)</f>
        <v>0.05</v>
      </c>
      <c r="P17" s="2729">
        <f ca="1">ROUND($E$20*(1+P16),3)</f>
        <v>4.8000000000000001E-2</v>
      </c>
      <c r="Q17" s="2726"/>
      <c r="R17" s="2726"/>
      <c r="S17" s="2726"/>
      <c r="T17" s="2726"/>
      <c r="U17" s="2726"/>
      <c r="V17" s="2726"/>
      <c r="W17" s="2726"/>
      <c r="X17" s="2726"/>
      <c r="Y17" s="2726"/>
      <c r="Z17" s="2727"/>
      <c r="AA17" s="2728"/>
      <c r="AB17" s="2728"/>
      <c r="AC17" s="2728"/>
      <c r="AD17" s="2728"/>
      <c r="AE17" s="1616"/>
      <c r="AF17" s="1616"/>
      <c r="AG17" s="1619"/>
      <c r="AH17" s="1619"/>
      <c r="AI17" s="1619"/>
      <c r="AJ17" s="1619"/>
    </row>
    <row r="18" spans="1:37" s="1631" customFormat="1" ht="15.75" thickBot="1">
      <c r="A18" s="1872" t="s">
        <v>1940</v>
      </c>
      <c r="B18" s="1675" t="s">
        <v>1827</v>
      </c>
      <c r="C18" s="1676">
        <f>SUMIF(修正!C18:C39,E3,修正!E18:E39)</f>
        <v>0</v>
      </c>
      <c r="D18" s="1677"/>
      <c r="E18" s="1678"/>
      <c r="F18" s="1679"/>
      <c r="G18" s="1680"/>
      <c r="H18" s="1680"/>
      <c r="I18" s="1680"/>
      <c r="J18" s="1681"/>
      <c r="K18" s="2382"/>
      <c r="O18" s="2731"/>
      <c r="P18" s="2731"/>
      <c r="Q18" s="2732"/>
      <c r="R18" s="2732"/>
      <c r="S18" s="2732"/>
      <c r="T18" s="2727"/>
      <c r="U18" s="2727"/>
      <c r="V18" s="2727"/>
      <c r="W18" s="2726"/>
      <c r="X18" s="2726"/>
      <c r="Y18" s="2726"/>
      <c r="Z18" s="2733"/>
      <c r="AA18" s="2734"/>
      <c r="AB18" s="2734"/>
      <c r="AC18" s="2734"/>
      <c r="AD18" s="2734"/>
      <c r="AE18" s="1617"/>
      <c r="AF18" s="1617"/>
      <c r="AG18" s="1618"/>
      <c r="AH18" s="1618"/>
      <c r="AI18" s="1618"/>
    </row>
    <row r="19" spans="1:37" s="1631" customFormat="1" ht="27.75" thickBot="1">
      <c r="A19" s="1872" t="s">
        <v>1941</v>
      </c>
      <c r="B19" s="1675" t="s">
        <v>1828</v>
      </c>
      <c r="C19" s="1684" t="e">
        <f>ROUND(IF(H19="按公示增长率计算",SUMPRODUCT((地价!A3:A19=YEAR(G19)&amp;"-"&amp;ROUNDUP(MONTH(G19)/3,0))*(地价!X2:AB2=E2)*(地价!X3:AB19)),IF(H19="地价指数",M20/M19,(1+I19)^O19)),4)</f>
        <v>#DIV/0!</v>
      </c>
      <c r="D19" s="1685" t="s">
        <v>1149</v>
      </c>
      <c r="E19" s="1686">
        <v>41640</v>
      </c>
      <c r="F19" s="1685" t="s">
        <v>1150</v>
      </c>
      <c r="G19" s="1687">
        <f>'数据-取费表'!B2</f>
        <v>42941</v>
      </c>
      <c r="H19" s="3016" t="s">
        <v>2966</v>
      </c>
      <c r="I19" s="1688" t="str">
        <f>IF(H19="季度增幅（自定义）",SUMIF(N21:N24,E2,O21:O24),"")</f>
        <v/>
      </c>
      <c r="J19" s="1681"/>
      <c r="K19" s="2382"/>
      <c r="L19" s="3243" t="s">
        <v>2964</v>
      </c>
      <c r="M19" s="3245">
        <f>ROUND(SUMIF(地价!B2:F2,E2,地价!B19:F19),0)</f>
        <v>0</v>
      </c>
      <c r="N19" s="3241" t="s">
        <v>1873</v>
      </c>
      <c r="O19" s="1689">
        <f>ROUNDDOWN(DATEDIF(E19,G19,"M")/3,0)</f>
        <v>14</v>
      </c>
      <c r="P19" s="2730"/>
      <c r="Q19" s="2732"/>
      <c r="R19" s="2732"/>
      <c r="S19" s="2732"/>
      <c r="T19" s="2727"/>
      <c r="U19" s="2727"/>
      <c r="V19" s="2727"/>
      <c r="W19" s="2726"/>
      <c r="X19" s="2726"/>
      <c r="Y19" s="2726"/>
      <c r="Z19" s="2733"/>
      <c r="AA19" s="2734"/>
      <c r="AB19" s="2734"/>
      <c r="AC19" s="2734"/>
      <c r="AD19" s="2734"/>
      <c r="AE19" s="1682"/>
      <c r="AF19" s="1683"/>
      <c r="AG19" s="1690"/>
      <c r="AH19" s="1618"/>
      <c r="AI19" s="1630"/>
      <c r="AJ19" s="1630"/>
      <c r="AK19" s="1630"/>
    </row>
    <row r="20" spans="1:37" s="1631" customFormat="1" ht="27.75" thickBot="1">
      <c r="A20" s="1873" t="s">
        <v>1942</v>
      </c>
      <c r="B20" s="1744" t="s">
        <v>1829</v>
      </c>
      <c r="C20" s="1691" t="e">
        <f>ROUND(POWER(1+G20,J20-I20)*(POWER(1+G20,I20)-1)/(POWER(1+G20,J20)-1),4)</f>
        <v>#DIV/0!</v>
      </c>
      <c r="D20" s="1745" t="s">
        <v>1830</v>
      </c>
      <c r="E20" s="3300">
        <f ca="1">存贷款利率!D4/100</f>
        <v>4.3499999999999997E-2</v>
      </c>
      <c r="F20" s="1745" t="s">
        <v>1831</v>
      </c>
      <c r="G20" s="1746">
        <f>SUMIF(M15:P15,E2,M17:P17)</f>
        <v>0</v>
      </c>
      <c r="H20" s="1745" t="s">
        <v>1832</v>
      </c>
      <c r="I20" s="1747" t="e">
        <f>SUMIF('数据-取费表'!C6:C15,E2,'数据-取费表'!F6:F15)/COUNTIF('数据-取费表'!C6:C15,E2)</f>
        <v>#DIV/0!</v>
      </c>
      <c r="J20" s="1748">
        <f>IF(E2="住宅",70,IF(E2="商业",40,50))</f>
        <v>50</v>
      </c>
      <c r="K20" s="2382"/>
      <c r="L20" s="3244" t="s">
        <v>2965</v>
      </c>
      <c r="M20" s="3246">
        <f>ROUND(SUMPRODUCT((地价!A4:A19=YEAR(G19)&amp;"-"&amp;ROUNDUP(MONTH(G19)/3,0))*(地价!B2:F2=E2)*(地价!B4:F19)),0)</f>
        <v>0</v>
      </c>
      <c r="N20" s="3242" t="s">
        <v>2792</v>
      </c>
      <c r="O20" s="3017" t="s">
        <v>2793</v>
      </c>
      <c r="P20" s="3018" t="s">
        <v>2802</v>
      </c>
      <c r="R20" s="2732"/>
      <c r="S20" s="2732"/>
      <c r="T20" s="2727"/>
      <c r="U20" s="2727"/>
      <c r="V20" s="2727"/>
      <c r="W20" s="2726"/>
      <c r="X20" s="2726"/>
      <c r="Y20" s="2726"/>
      <c r="Z20" s="2733"/>
      <c r="AA20" s="2734"/>
      <c r="AB20" s="2734"/>
      <c r="AC20" s="2734"/>
      <c r="AD20" s="2734"/>
      <c r="AE20" s="1682"/>
      <c r="AF20" s="1682"/>
    </row>
    <row r="21" spans="1:37" s="1631" customFormat="1" ht="14.25">
      <c r="A21" s="1874" t="s">
        <v>1943</v>
      </c>
      <c r="B21" s="1791" t="s">
        <v>2503</v>
      </c>
      <c r="C21" s="1749">
        <f>IF(B21="容积率修正",IF(G3&lt;=10,D22,J22),C23)</f>
        <v>0</v>
      </c>
      <c r="D21" s="1750"/>
      <c r="E21" s="1750"/>
      <c r="F21" s="1750"/>
      <c r="G21" s="1750"/>
      <c r="H21" s="1750"/>
      <c r="I21" s="1750"/>
      <c r="J21" s="1751"/>
      <c r="K21" s="2382"/>
      <c r="N21" s="3019" t="s">
        <v>2794</v>
      </c>
      <c r="O21" s="3020"/>
      <c r="P21" s="3021">
        <f>SUMPRODUCT((地价!A3:A19=YEAR(G19)&amp;"-"&amp;ROUNDUP(MONTH(G19)/3,0))*(地价!AD2:AH2=N21)*(地价!AD3:AH19))</f>
        <v>1.5699999999999999E-2</v>
      </c>
      <c r="R21" s="2732"/>
      <c r="S21" s="2732"/>
      <c r="T21" s="2727"/>
      <c r="U21" s="2727"/>
      <c r="V21" s="2727"/>
      <c r="W21" s="2726"/>
      <c r="X21" s="2726"/>
      <c r="Y21" s="2726"/>
      <c r="Z21" s="2733"/>
      <c r="AA21" s="2734"/>
      <c r="AB21" s="2734"/>
      <c r="AC21" s="2734"/>
      <c r="AD21" s="2734"/>
      <c r="AE21" s="1682"/>
      <c r="AF21" s="1682"/>
    </row>
    <row r="22" spans="1:37" s="1631" customFormat="1" ht="14.25">
      <c r="A22" s="190" t="s">
        <v>1946</v>
      </c>
      <c r="B22" s="1693" t="s">
        <v>1833</v>
      </c>
      <c r="C22" s="1772" t="s">
        <v>1846</v>
      </c>
      <c r="D22" s="1772">
        <f>IF(E22=G22,F22,IF(G3&lt;=10,ROUND(F22+(H22-F22)*(G3-E22)/(G22-E22),4),"——"))</f>
        <v>0</v>
      </c>
      <c r="E22" s="1622">
        <f>ROUNDDOWN(G3,1)</f>
        <v>0.6</v>
      </c>
      <c r="F22" s="17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2">
        <f>ROUNDUP(G3,1)</f>
        <v>0.7</v>
      </c>
      <c r="H22" s="17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2" t="s">
        <v>1163</v>
      </c>
      <c r="J22" s="1752" t="str">
        <f>IF(G3&gt;10,D113,"——")</f>
        <v>——</v>
      </c>
      <c r="K22" s="2382"/>
      <c r="N22" s="3019" t="s">
        <v>2795</v>
      </c>
      <c r="O22" s="3020"/>
      <c r="P22" s="3021">
        <f>SUMPRODUCT((地价!A3:A19=YEAR(G19)&amp;"-"&amp;ROUNDUP(MONTH(G19)/3,0))*(地价!AD2:AH2=N22)*(地价!AD3:AH19))</f>
        <v>1.5699999999999999E-2</v>
      </c>
      <c r="R22" s="2732"/>
      <c r="S22" s="2732"/>
      <c r="T22" s="2727"/>
      <c r="U22" s="2727"/>
      <c r="V22" s="2727"/>
      <c r="W22" s="2726"/>
      <c r="X22" s="2726"/>
      <c r="Y22" s="2726"/>
      <c r="Z22" s="2733"/>
      <c r="AA22" s="2734"/>
      <c r="AB22" s="2734"/>
      <c r="AC22" s="2734"/>
      <c r="AD22" s="2734"/>
      <c r="AE22" s="1682"/>
      <c r="AF22" s="1682"/>
    </row>
    <row r="23" spans="1:37" ht="27.75" thickBot="1">
      <c r="A23" s="190" t="s">
        <v>1947</v>
      </c>
      <c r="B23" s="1864" t="s">
        <v>1834</v>
      </c>
      <c r="C23" s="1865">
        <f>ROUND(IF(G3&gt;1,IF(I3&lt;7,SUMPRODUCT((B93:B98=I3)*(C92:N92=G2)*(C93:N98)),SUMIF(C92:N92,G2,C100:N100)),IF(I3&lt;7,SUMPRODUCT((B102:B107=I3)*(C92:N92=G2)*(C102:N107)),SUMIF(C92:N92,G2,C109:N109))),4)</f>
        <v>0</v>
      </c>
      <c r="D23" s="1665"/>
      <c r="E23" s="1665"/>
      <c r="F23" s="1694"/>
      <c r="G23" s="1695"/>
      <c r="H23" s="1866"/>
      <c r="I23" s="1867"/>
      <c r="J23" s="1868"/>
      <c r="K23" s="2375"/>
      <c r="N23" s="3019" t="s">
        <v>40</v>
      </c>
      <c r="O23" s="3020"/>
      <c r="P23" s="3021">
        <f>SUMPRODUCT((地价!A3:A19=YEAR(G19)&amp;"-"&amp;ROUNDUP(MONTH(G19)/3,0))*(地价!AD2:AH2=N23)*(地价!AD3:AH19))</f>
        <v>2.6599999999999999E-2</v>
      </c>
      <c r="R23" s="2732"/>
      <c r="S23" s="2732"/>
      <c r="T23" s="2727"/>
      <c r="U23" s="2727"/>
      <c r="V23" s="2727"/>
      <c r="W23" s="2726"/>
      <c r="X23" s="2726"/>
      <c r="Y23" s="2726"/>
      <c r="Z23" s="2733"/>
      <c r="AA23" s="2734"/>
      <c r="AB23" s="2734"/>
      <c r="AC23" s="2734"/>
      <c r="AD23" s="2734"/>
      <c r="AK23" s="1618"/>
    </row>
    <row r="24" spans="1:37" s="1631" customFormat="1" ht="15.75" thickBot="1">
      <c r="A24" s="1873" t="s">
        <v>1944</v>
      </c>
      <c r="B24" s="1675" t="s">
        <v>1835</v>
      </c>
      <c r="C24" s="1684">
        <f>SUMIF(A45:A88,E2,B45:B88)</f>
        <v>0</v>
      </c>
      <c r="D24" s="1679"/>
      <c r="E24" s="1869"/>
      <c r="F24" s="1869"/>
      <c r="G24" s="1869"/>
      <c r="H24" s="1869"/>
      <c r="I24" s="1869"/>
      <c r="J24" s="1870"/>
      <c r="K24" s="2382"/>
      <c r="N24" s="3022" t="s">
        <v>39</v>
      </c>
      <c r="O24" s="3023"/>
      <c r="P24" s="3024">
        <f>SUMPRODUCT((地价!A3:A19=YEAR(G19)&amp;"-"&amp;ROUNDUP(MONTH(G19)/3,0))*(地价!AD2:AH2=N24)*(地价!AD3:AH19))</f>
        <v>1.34E-2</v>
      </c>
      <c r="R24" s="2732"/>
      <c r="S24" s="2732"/>
      <c r="T24" s="2727"/>
      <c r="U24" s="2727"/>
      <c r="V24" s="2727"/>
      <c r="W24" s="2726"/>
      <c r="X24" s="2726"/>
      <c r="Y24" s="2726"/>
      <c r="Z24" s="2733"/>
      <c r="AA24" s="2734"/>
      <c r="AB24" s="2734"/>
      <c r="AC24" s="2734"/>
      <c r="AD24" s="2734"/>
      <c r="AE24" s="1682"/>
      <c r="AF24" s="1682"/>
    </row>
    <row r="25" spans="1:37" ht="15" thickBot="1">
      <c r="A25" s="1873" t="s">
        <v>1945</v>
      </c>
      <c r="B25" s="1696" t="s">
        <v>1836</v>
      </c>
      <c r="C25" s="1697"/>
      <c r="D25" s="1642"/>
      <c r="E25" s="1642"/>
      <c r="F25" s="1698"/>
      <c r="G25" s="1642"/>
      <c r="H25" s="1642"/>
      <c r="I25" s="1642"/>
      <c r="J25" s="1643"/>
      <c r="K25" s="2375"/>
      <c r="N25" s="3026" t="s">
        <v>2796</v>
      </c>
      <c r="O25" s="3025"/>
      <c r="P25" s="3024">
        <f>SUMPRODUCT((地价!A3:A19=YEAR(G19)&amp;"-"&amp;ROUNDUP(MONTH(G19)/3,0))*(地价!AD2:AH2=N25)*(地价!AD3:AH19))</f>
        <v>2.3900000000000001E-2</v>
      </c>
      <c r="R25" s="2732"/>
      <c r="S25" s="2732"/>
      <c r="T25" s="2727"/>
      <c r="U25" s="2727"/>
      <c r="V25" s="2727"/>
      <c r="W25" s="2726"/>
      <c r="X25" s="2726"/>
      <c r="Y25" s="2726"/>
      <c r="Z25" s="2733"/>
      <c r="AA25" s="2734"/>
      <c r="AB25" s="2734"/>
      <c r="AC25" s="2734"/>
      <c r="AD25" s="2734"/>
    </row>
    <row r="26" spans="1:37" ht="14.25">
      <c r="A26" s="1876"/>
      <c r="B26" s="1693" t="s">
        <v>1867</v>
      </c>
      <c r="C26" s="537" t="e">
        <f>E29+SUM(E33:E39)</f>
        <v>#DIV/0!</v>
      </c>
      <c r="D26" s="1702"/>
      <c r="E26" s="1665"/>
      <c r="F26" s="1703"/>
      <c r="G26" s="1665"/>
      <c r="H26" s="1665"/>
      <c r="I26" s="1665"/>
      <c r="J26" s="1704"/>
      <c r="K26" s="2375"/>
      <c r="R26" s="2732"/>
      <c r="S26" s="2732"/>
      <c r="T26" s="2727"/>
      <c r="U26" s="2727"/>
      <c r="V26" s="2727"/>
      <c r="W26" s="2726"/>
      <c r="X26" s="2726"/>
      <c r="Y26" s="2726"/>
      <c r="Z26" s="2733"/>
      <c r="AA26" s="2734"/>
      <c r="AB26" s="2734"/>
      <c r="AC26" s="2734"/>
      <c r="AD26" s="2734"/>
    </row>
    <row r="27" spans="1:37" ht="15" thickBot="1">
      <c r="A27" s="1876"/>
      <c r="B27" s="1706" t="s">
        <v>1868</v>
      </c>
      <c r="C27" s="1707" t="e">
        <f>E30+SUM(I33:I39)</f>
        <v>#DIV/0!</v>
      </c>
      <c r="D27" s="1708"/>
      <c r="E27" s="1709"/>
      <c r="F27" s="1710"/>
      <c r="G27" s="1709"/>
      <c r="H27" s="1709"/>
      <c r="I27" s="1709"/>
      <c r="J27" s="1711"/>
      <c r="K27" s="2375"/>
      <c r="L27" s="2375"/>
      <c r="M27" s="2375"/>
      <c r="N27" s="2375"/>
      <c r="O27" s="2731"/>
      <c r="P27" s="2731"/>
      <c r="Q27" s="2732"/>
      <c r="R27" s="2732"/>
      <c r="S27" s="2732"/>
      <c r="T27" s="2727"/>
      <c r="U27" s="2727"/>
      <c r="V27" s="2727"/>
      <c r="W27" s="2726"/>
      <c r="X27" s="2726"/>
      <c r="Y27" s="2726"/>
      <c r="Z27" s="2733"/>
      <c r="AA27" s="2734"/>
      <c r="AB27" s="2734"/>
      <c r="AC27" s="2734"/>
      <c r="AD27" s="2734"/>
    </row>
    <row r="28" spans="1:37" ht="14.25">
      <c r="A28" s="1863"/>
      <c r="B28" s="1713" t="s">
        <v>1866</v>
      </c>
      <c r="C28" s="1714" t="s">
        <v>1841</v>
      </c>
      <c r="D28" s="1714" t="s">
        <v>1857</v>
      </c>
      <c r="E28" s="1715" t="s">
        <v>1858</v>
      </c>
      <c r="F28" s="1716"/>
      <c r="G28" s="1658"/>
      <c r="H28" s="1658"/>
      <c r="I28" s="1658"/>
      <c r="J28" s="1659"/>
      <c r="K28" s="2375"/>
      <c r="L28" s="2375"/>
      <c r="M28" s="2375"/>
      <c r="N28" s="2375"/>
      <c r="O28" s="2731"/>
      <c r="P28" s="2731"/>
      <c r="Q28" s="2732"/>
      <c r="R28" s="2732"/>
      <c r="S28" s="2732"/>
      <c r="T28" s="2727"/>
      <c r="U28" s="2727"/>
      <c r="V28" s="2727"/>
      <c r="W28" s="2726"/>
      <c r="X28" s="2726"/>
      <c r="Y28" s="2726"/>
      <c r="Z28" s="2733"/>
      <c r="AA28" s="2734"/>
      <c r="AB28" s="2734"/>
      <c r="AC28" s="2734"/>
      <c r="AD28" s="2734"/>
    </row>
    <row r="29" spans="1:37" ht="24">
      <c r="A29" s="1773"/>
      <c r="B29" s="1717" t="s">
        <v>1861</v>
      </c>
      <c r="C29" s="537" t="e">
        <f>ROUND(C5*C18*C19*C20*C21*C24,0)</f>
        <v>#DIV/0!</v>
      </c>
      <c r="D29" s="1740"/>
      <c r="E29" s="1774" t="e">
        <f>ROUND(C29*D29/10000,0)</f>
        <v>#DIV/0!</v>
      </c>
      <c r="F29" s="1718" t="s">
        <v>1843</v>
      </c>
      <c r="G29" s="1719"/>
      <c r="H29" s="1719"/>
      <c r="I29" s="1719"/>
      <c r="J29" s="1720"/>
      <c r="K29" s="2375"/>
      <c r="L29" s="2375"/>
      <c r="M29" s="2375"/>
      <c r="N29" s="2375"/>
      <c r="O29" s="2731"/>
      <c r="P29" s="2731"/>
      <c r="Q29" s="2732"/>
      <c r="R29" s="2732"/>
      <c r="S29" s="2732"/>
      <c r="T29" s="2727"/>
      <c r="U29" s="2727"/>
      <c r="V29" s="2727"/>
      <c r="W29" s="2726"/>
      <c r="X29" s="2726"/>
      <c r="Y29" s="2726"/>
      <c r="Z29" s="2733"/>
      <c r="AA29" s="2734"/>
      <c r="AB29" s="2734"/>
      <c r="AC29" s="2734"/>
      <c r="AD29" s="2734"/>
      <c r="AE29" s="1616"/>
      <c r="AF29" s="1616"/>
      <c r="AG29" s="1619"/>
      <c r="AH29" s="1619"/>
      <c r="AI29" s="1619"/>
      <c r="AJ29" s="1619"/>
    </row>
    <row r="30" spans="1:37" ht="24.75" thickBot="1">
      <c r="A30" s="1721"/>
      <c r="B30" s="1722" t="s">
        <v>1862</v>
      </c>
      <c r="C30" s="560" t="e">
        <f>ROUND(IF(E2="工业",C29*M39,C29*M38),0)</f>
        <v>#DIV/0!</v>
      </c>
      <c r="D30" s="1741"/>
      <c r="E30" s="1774" t="e">
        <f>ROUND(C30*D30/10000,0)</f>
        <v>#DIV/0!</v>
      </c>
      <c r="F30" s="1723" t="s">
        <v>1859</v>
      </c>
      <c r="G30" s="1724"/>
      <c r="H30" s="1724"/>
      <c r="I30" s="1724"/>
      <c r="J30" s="1725"/>
      <c r="K30" s="2375"/>
      <c r="L30" s="2375"/>
      <c r="M30" s="2375"/>
      <c r="N30" s="2375"/>
      <c r="O30" s="2731"/>
      <c r="P30" s="2731"/>
      <c r="Q30" s="2732"/>
      <c r="R30" s="2732"/>
      <c r="S30" s="2732"/>
      <c r="T30" s="2727"/>
      <c r="U30" s="2727"/>
      <c r="V30" s="2727"/>
      <c r="W30" s="2726"/>
      <c r="X30" s="2726"/>
      <c r="Y30" s="2726"/>
      <c r="Z30" s="2733"/>
      <c r="AA30" s="2734"/>
      <c r="AB30" s="2734"/>
      <c r="AC30" s="2734"/>
      <c r="AD30" s="2734"/>
      <c r="AE30" s="1616"/>
      <c r="AF30" s="1616"/>
      <c r="AG30" s="1619"/>
      <c r="AH30" s="1619"/>
      <c r="AI30" s="1619"/>
      <c r="AJ30" s="1619"/>
    </row>
    <row r="31" spans="1:37" ht="14.25">
      <c r="A31" s="1726"/>
      <c r="B31" s="1727" t="s">
        <v>1863</v>
      </c>
      <c r="C31" s="1728" t="s">
        <v>1864</v>
      </c>
      <c r="D31" s="1658"/>
      <c r="E31" s="1728"/>
      <c r="F31" s="1728"/>
      <c r="G31" s="1656" t="s">
        <v>1865</v>
      </c>
      <c r="H31" s="1658"/>
      <c r="I31" s="1729"/>
      <c r="J31" s="1659"/>
      <c r="K31" s="2375"/>
      <c r="L31" s="2375"/>
      <c r="M31" s="2375"/>
      <c r="N31" s="2375"/>
      <c r="O31" s="2731"/>
      <c r="P31" s="2731"/>
      <c r="Q31" s="2732"/>
      <c r="R31" s="2732"/>
      <c r="S31" s="2732"/>
      <c r="T31" s="2727"/>
      <c r="U31" s="2727"/>
      <c r="V31" s="2727"/>
      <c r="W31" s="2726"/>
      <c r="X31" s="2726"/>
      <c r="Y31" s="2726"/>
      <c r="Z31" s="2733"/>
      <c r="AA31" s="2734"/>
      <c r="AB31" s="2734"/>
      <c r="AC31" s="2734"/>
      <c r="AD31" s="2734"/>
      <c r="AE31" s="1616"/>
      <c r="AF31" s="1616"/>
      <c r="AG31" s="1619"/>
      <c r="AH31" s="1619"/>
      <c r="AI31" s="1619"/>
      <c r="AJ31" s="1619"/>
    </row>
    <row r="32" spans="1:37" ht="24">
      <c r="A32" s="1773"/>
      <c r="B32" s="1730"/>
      <c r="C32" s="171" t="s">
        <v>1841</v>
      </c>
      <c r="D32" s="168" t="s">
        <v>1857</v>
      </c>
      <c r="E32" s="168" t="s">
        <v>1858</v>
      </c>
      <c r="F32" s="1731" t="s">
        <v>1845</v>
      </c>
      <c r="G32" s="1692" t="s">
        <v>1841</v>
      </c>
      <c r="H32" s="1692" t="s">
        <v>1857</v>
      </c>
      <c r="I32" s="1692" t="s">
        <v>1858</v>
      </c>
      <c r="J32" s="1732"/>
      <c r="K32" s="2375"/>
      <c r="L32" s="2375"/>
      <c r="M32" s="2375"/>
      <c r="N32" s="2375"/>
      <c r="O32" s="2731"/>
      <c r="P32" s="2731"/>
      <c r="Q32" s="2732"/>
      <c r="R32" s="2732"/>
      <c r="S32" s="2732"/>
      <c r="T32" s="2727"/>
      <c r="U32" s="2727"/>
      <c r="V32" s="2727"/>
      <c r="W32" s="2726"/>
      <c r="X32" s="2726"/>
      <c r="Y32" s="2726"/>
      <c r="Z32" s="2733"/>
      <c r="AA32" s="2734"/>
      <c r="AB32" s="2734"/>
      <c r="AC32" s="2734"/>
      <c r="AD32" s="2734"/>
      <c r="AE32" s="1616"/>
      <c r="AF32" s="1616"/>
      <c r="AG32" s="1619"/>
      <c r="AH32" s="1619"/>
      <c r="AI32" s="1619"/>
      <c r="AJ32" s="1619"/>
    </row>
    <row r="33" spans="1:37" ht="14.25">
      <c r="A33" s="1733"/>
      <c r="B33" s="1734" t="s">
        <v>1165</v>
      </c>
      <c r="C33" s="537" t="e">
        <f>ROUND(C5*C19*C20*C24*F33,0)</f>
        <v>#DIV/0!</v>
      </c>
      <c r="D33" s="1740"/>
      <c r="E33" s="531" t="e">
        <f>ROUND(C33*D33/10000,0)</f>
        <v>#DIV/0!</v>
      </c>
      <c r="F33" s="531">
        <f>SUMIF(修正!A45:A56,G2,修正!B45:B56)</f>
        <v>0</v>
      </c>
      <c r="G33" s="531" t="e">
        <f t="shared" ref="G33:G39" si="6">ROUND(IF(E2="工业",C33*$M$39,C33*$M$38),0)</f>
        <v>#DIV/0!</v>
      </c>
      <c r="H33" s="531">
        <f>D33</f>
        <v>0</v>
      </c>
      <c r="I33" s="531" t="e">
        <f>ROUND(G33*H33/10000,0)</f>
        <v>#DIV/0!</v>
      </c>
      <c r="J33" s="1735"/>
      <c r="K33" s="2375"/>
      <c r="L33" s="2375"/>
      <c r="M33" s="2375"/>
      <c r="N33" s="2375"/>
      <c r="O33" s="2731"/>
      <c r="P33" s="2731"/>
      <c r="Q33" s="2732"/>
      <c r="R33" s="2732"/>
      <c r="S33" s="2732"/>
      <c r="T33" s="2727"/>
      <c r="U33" s="2727"/>
      <c r="V33" s="2727"/>
      <c r="W33" s="2726"/>
      <c r="X33" s="2726"/>
      <c r="Y33" s="2726"/>
      <c r="Z33" s="2733"/>
      <c r="AA33" s="2734"/>
      <c r="AB33" s="2734"/>
      <c r="AC33" s="2734"/>
      <c r="AD33" s="2734"/>
    </row>
    <row r="34" spans="1:37" ht="14.25">
      <c r="A34" s="1733"/>
      <c r="B34" s="1661" t="s">
        <v>1166</v>
      </c>
      <c r="C34" s="537" t="e">
        <f>ROUND(C5*C19*C20*C24*F34,0)</f>
        <v>#DIV/0!</v>
      </c>
      <c r="D34" s="1740"/>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5"/>
      <c r="K34" s="2375"/>
      <c r="L34" s="2375"/>
      <c r="M34" s="2375"/>
      <c r="N34" s="2375"/>
      <c r="O34" s="2731"/>
      <c r="P34" s="2731"/>
      <c r="Q34" s="2732"/>
      <c r="R34" s="2732"/>
      <c r="S34" s="2732"/>
      <c r="T34" s="2727"/>
      <c r="U34" s="2727"/>
      <c r="V34" s="2727"/>
      <c r="W34" s="2726"/>
      <c r="X34" s="2726"/>
      <c r="Y34" s="2726"/>
      <c r="Z34" s="2733"/>
      <c r="AA34" s="2734"/>
      <c r="AB34" s="2734"/>
      <c r="AC34" s="2734"/>
      <c r="AD34" s="2734"/>
    </row>
    <row r="35" spans="1:37" ht="12.75">
      <c r="A35" s="1733"/>
      <c r="B35" s="1661" t="s">
        <v>1167</v>
      </c>
      <c r="C35" s="537" t="e">
        <f>ROUND(C5*C19*C20*C24*F35,0)</f>
        <v>#DIV/0!</v>
      </c>
      <c r="D35" s="1740"/>
      <c r="E35" s="531" t="e">
        <f t="shared" si="7"/>
        <v>#DIV/0!</v>
      </c>
      <c r="F35" s="531">
        <f>SUMIF(修正!A45:A56,G2,修正!D45:D56)</f>
        <v>0</v>
      </c>
      <c r="G35" s="531" t="e">
        <f t="shared" si="6"/>
        <v>#DIV/0!</v>
      </c>
      <c r="H35" s="531">
        <f t="shared" si="8"/>
        <v>0</v>
      </c>
      <c r="I35" s="531" t="e">
        <f t="shared" si="9"/>
        <v>#DIV/0!</v>
      </c>
      <c r="J35" s="1735"/>
      <c r="K35" s="2375"/>
      <c r="L35" s="2375"/>
      <c r="M35" s="2375"/>
      <c r="N35" s="2375"/>
      <c r="O35" s="2375"/>
      <c r="P35" s="2375"/>
      <c r="Q35" s="2375"/>
      <c r="R35" s="2375"/>
      <c r="S35" s="2375"/>
      <c r="T35" s="2375"/>
      <c r="U35" s="2375"/>
      <c r="V35" s="2375"/>
      <c r="W35" s="2375"/>
      <c r="X35" s="2375"/>
      <c r="Y35" s="2375"/>
      <c r="Z35" s="2376"/>
    </row>
    <row r="36" spans="1:37" ht="13.5" thickBot="1">
      <c r="A36" s="1733"/>
      <c r="B36" s="1661" t="s">
        <v>1168</v>
      </c>
      <c r="C36" s="537" t="e">
        <f>ROUND(C5*C19*C20*C24*F36,0)</f>
        <v>#DIV/0!</v>
      </c>
      <c r="D36" s="1740"/>
      <c r="E36" s="531" t="e">
        <f t="shared" si="7"/>
        <v>#DIV/0!</v>
      </c>
      <c r="F36" s="531">
        <f>SUMIF(修正!A45:A56,G2,修正!E45:E56)</f>
        <v>0</v>
      </c>
      <c r="G36" s="531" t="e">
        <f t="shared" si="6"/>
        <v>#DIV/0!</v>
      </c>
      <c r="H36" s="531">
        <f t="shared" si="8"/>
        <v>0</v>
      </c>
      <c r="I36" s="531" t="e">
        <f t="shared" si="9"/>
        <v>#DIV/0!</v>
      </c>
      <c r="J36" s="1735"/>
      <c r="K36" s="2375"/>
      <c r="L36" s="2379"/>
      <c r="M36" s="2379"/>
      <c r="N36" s="2375"/>
      <c r="O36" s="2375"/>
      <c r="P36" s="2375"/>
      <c r="Q36" s="2375"/>
      <c r="R36" s="2375"/>
      <c r="S36" s="2375"/>
      <c r="T36" s="2375"/>
      <c r="U36" s="2375"/>
      <c r="V36" s="2375"/>
      <c r="W36" s="2375"/>
      <c r="X36" s="2375"/>
      <c r="Y36" s="2375"/>
      <c r="Z36" s="2376"/>
    </row>
    <row r="37" spans="1:37" ht="12.75">
      <c r="A37" s="1733"/>
      <c r="B37" s="1661" t="s">
        <v>1169</v>
      </c>
      <c r="C37" s="531" t="e">
        <f>ROUND(C5*C19*C20*C24*F37,0)</f>
        <v>#DIV/0!</v>
      </c>
      <c r="D37" s="1740"/>
      <c r="E37" s="531" t="e">
        <f t="shared" si="7"/>
        <v>#DIV/0!</v>
      </c>
      <c r="F37" s="537">
        <f>SUMIF(修正!A45:A56,G2,修正!F45:F56)</f>
        <v>0</v>
      </c>
      <c r="G37" s="531" t="e">
        <f t="shared" si="6"/>
        <v>#DIV/0!</v>
      </c>
      <c r="H37" s="531">
        <f t="shared" si="8"/>
        <v>0</v>
      </c>
      <c r="I37" s="531" t="e">
        <f t="shared" si="9"/>
        <v>#DIV/0!</v>
      </c>
      <c r="J37" s="1735"/>
      <c r="K37" s="2375"/>
      <c r="L37" s="2383" t="s">
        <v>1860</v>
      </c>
      <c r="M37" s="2384"/>
      <c r="N37" s="2375"/>
      <c r="O37" s="2375"/>
      <c r="P37" s="2375"/>
      <c r="Q37" s="2375"/>
      <c r="R37" s="2375"/>
      <c r="S37" s="2375"/>
      <c r="T37" s="2375"/>
      <c r="U37" s="2375"/>
      <c r="V37" s="2375"/>
      <c r="W37" s="2375"/>
      <c r="X37" s="2375"/>
      <c r="Y37" s="2375"/>
      <c r="Z37" s="2376"/>
    </row>
    <row r="38" spans="1:37" ht="12.75">
      <c r="A38" s="1733"/>
      <c r="B38" s="1661" t="s">
        <v>1170</v>
      </c>
      <c r="C38" s="531" t="e">
        <f>ROUND(C5*C19*C20*C24*F38,0)</f>
        <v>#DIV/0!</v>
      </c>
      <c r="D38" s="1740"/>
      <c r="E38" s="531" t="e">
        <f t="shared" si="7"/>
        <v>#DIV/0!</v>
      </c>
      <c r="F38" s="537">
        <f>SUMIF(修正!A45:A56,G2,修正!G45:G56)</f>
        <v>0</v>
      </c>
      <c r="G38" s="531" t="e">
        <f t="shared" si="6"/>
        <v>#DIV/0!</v>
      </c>
      <c r="H38" s="531">
        <f t="shared" si="8"/>
        <v>0</v>
      </c>
      <c r="I38" s="531" t="e">
        <f t="shared" si="9"/>
        <v>#DIV/0!</v>
      </c>
      <c r="J38" s="1735"/>
      <c r="K38" s="2375"/>
      <c r="L38" s="1755" t="s">
        <v>1844</v>
      </c>
      <c r="M38" s="1756">
        <v>0.25</v>
      </c>
      <c r="N38" s="2375"/>
      <c r="O38" s="2375"/>
      <c r="P38" s="2375"/>
      <c r="Q38" s="2375"/>
      <c r="R38" s="2375"/>
      <c r="S38" s="2375"/>
      <c r="T38" s="2375"/>
      <c r="U38" s="2375"/>
      <c r="V38" s="2375"/>
      <c r="W38" s="2375"/>
      <c r="X38" s="2375"/>
      <c r="Y38" s="2375"/>
      <c r="Z38" s="2376"/>
    </row>
    <row r="39" spans="1:37" ht="13.5" thickBot="1">
      <c r="A39" s="1721"/>
      <c r="B39" s="1736" t="s">
        <v>1171</v>
      </c>
      <c r="C39" s="560" t="e">
        <f>ROUND(C5*C19*C20*C24*F39,0)</f>
        <v>#DIV/0!</v>
      </c>
      <c r="D39" s="1741"/>
      <c r="E39" s="560" t="e">
        <f t="shared" si="7"/>
        <v>#DIV/0!</v>
      </c>
      <c r="F39" s="1737">
        <f>SUMIF(修正!A45:A56,G2,修正!H45:H56)</f>
        <v>0</v>
      </c>
      <c r="G39" s="560" t="e">
        <f t="shared" si="6"/>
        <v>#DIV/0!</v>
      </c>
      <c r="H39" s="560">
        <f t="shared" si="8"/>
        <v>0</v>
      </c>
      <c r="I39" s="560" t="e">
        <f t="shared" si="9"/>
        <v>#DIV/0!</v>
      </c>
      <c r="J39" s="1738"/>
      <c r="K39" s="2375"/>
      <c r="L39" s="1757" t="s">
        <v>1840</v>
      </c>
      <c r="M39" s="1758">
        <v>0.15</v>
      </c>
      <c r="N39" s="2375"/>
      <c r="O39" s="2375"/>
      <c r="P39" s="2375"/>
      <c r="Q39" s="2375"/>
      <c r="R39" s="2375"/>
      <c r="S39" s="2375"/>
      <c r="T39" s="2375"/>
      <c r="U39" s="2375"/>
      <c r="V39" s="2375"/>
      <c r="W39" s="2375"/>
      <c r="X39" s="2375"/>
      <c r="Y39" s="2375"/>
      <c r="Z39" s="2376"/>
    </row>
    <row r="40" spans="1:37" s="2375" customFormat="1">
      <c r="Z40" s="2376"/>
      <c r="AA40" s="2376"/>
      <c r="AB40" s="2376"/>
      <c r="AC40" s="2376"/>
      <c r="AD40" s="2376"/>
      <c r="AE40" s="2376"/>
      <c r="AF40" s="2376"/>
      <c r="AG40" s="2376"/>
      <c r="AH40" s="2376"/>
      <c r="AI40" s="2376"/>
      <c r="AJ40" s="2376"/>
    </row>
    <row r="41" spans="1:37" s="2375" customFormat="1">
      <c r="A41" s="2376"/>
      <c r="B41" s="2377"/>
      <c r="Z41" s="2376"/>
      <c r="AA41" s="2376"/>
      <c r="AB41" s="2376"/>
      <c r="AC41" s="2376"/>
      <c r="AD41" s="2376"/>
      <c r="AE41" s="2376"/>
      <c r="AF41" s="2376"/>
      <c r="AG41" s="2376"/>
      <c r="AH41" s="2376"/>
      <c r="AI41" s="2376"/>
      <c r="AJ41" s="2376"/>
    </row>
    <row r="42" spans="1:37" s="2375" customFormat="1">
      <c r="A42" s="2376"/>
      <c r="B42" s="2377"/>
      <c r="Z42" s="2376"/>
      <c r="AA42" s="2376"/>
      <c r="AB42" s="2376"/>
      <c r="AC42" s="2376"/>
      <c r="AD42" s="2376"/>
      <c r="AE42" s="2376"/>
      <c r="AF42" s="2376"/>
      <c r="AG42" s="2376"/>
      <c r="AH42" s="2376"/>
      <c r="AI42" s="2376"/>
      <c r="AJ42" s="2376"/>
    </row>
    <row r="43" spans="1:37" s="2375" customFormat="1">
      <c r="A43" s="2376"/>
      <c r="B43" s="2377"/>
      <c r="Z43" s="2376"/>
      <c r="AA43" s="2376"/>
      <c r="AB43" s="2376"/>
      <c r="AC43" s="2376"/>
      <c r="AD43" s="2376"/>
      <c r="AE43" s="2376"/>
      <c r="AF43" s="2376"/>
      <c r="AG43" s="2376"/>
      <c r="AH43" s="2376"/>
      <c r="AI43" s="2376"/>
      <c r="AJ43" s="2376"/>
    </row>
    <row r="44" spans="1:37" s="2375" customFormat="1">
      <c r="A44" s="2376"/>
      <c r="B44" s="2377"/>
      <c r="Z44" s="2376"/>
      <c r="AA44" s="2376"/>
      <c r="AB44" s="2376"/>
      <c r="AC44" s="2376"/>
      <c r="AD44" s="2376"/>
      <c r="AE44" s="2376"/>
      <c r="AF44" s="2376"/>
      <c r="AG44" s="2376"/>
      <c r="AH44" s="2376"/>
      <c r="AI44" s="2376"/>
      <c r="AJ44" s="2376"/>
    </row>
    <row r="45" spans="1:37" s="2375" customFormat="1" ht="15" thickBot="1">
      <c r="A45" s="1480" t="s">
        <v>1780</v>
      </c>
      <c r="B45" s="1481"/>
      <c r="C45" s="1161"/>
      <c r="D45" s="294"/>
      <c r="E45" s="294"/>
      <c r="F45" s="292"/>
      <c r="G45" s="1537"/>
      <c r="H45" s="292"/>
      <c r="I45" s="1482"/>
      <c r="J45" s="1482"/>
      <c r="K45" s="1482"/>
      <c r="L45" s="1482"/>
      <c r="M45" s="1482"/>
      <c r="N45" s="1616"/>
      <c r="Z45" s="2376"/>
      <c r="AA45" s="2376"/>
      <c r="AB45" s="2376"/>
      <c r="AC45" s="2376"/>
      <c r="AD45" s="2376"/>
      <c r="AE45" s="2376"/>
      <c r="AF45" s="2376"/>
      <c r="AG45" s="2376"/>
      <c r="AH45" s="2376"/>
      <c r="AI45" s="2376"/>
      <c r="AJ45" s="2376"/>
    </row>
    <row r="46" spans="1:37" s="2375" customFormat="1" ht="15">
      <c r="A46" s="1483" t="s">
        <v>1</v>
      </c>
      <c r="B46" s="1484">
        <f>1+E48</f>
        <v>1</v>
      </c>
      <c r="C46" s="1485"/>
      <c r="D46" s="1486"/>
      <c r="E46" s="1487"/>
      <c r="F46" s="2129"/>
      <c r="G46" s="292"/>
      <c r="H46" s="1482"/>
      <c r="I46" s="1482"/>
      <c r="J46" s="1482"/>
      <c r="K46" s="1482"/>
      <c r="L46" s="1482"/>
      <c r="M46" s="1482"/>
      <c r="N46" s="1616"/>
      <c r="Z46" s="2376"/>
      <c r="AA46" s="2376"/>
      <c r="AB46" s="2376"/>
      <c r="AC46" s="2376"/>
      <c r="AD46" s="2376"/>
      <c r="AE46" s="2376"/>
      <c r="AF46" s="2376"/>
      <c r="AG46" s="2376"/>
      <c r="AH46" s="2376"/>
      <c r="AI46" s="2376"/>
      <c r="AJ46" s="2376"/>
    </row>
    <row r="47" spans="1:37" s="2375" customFormat="1" ht="24">
      <c r="A47" s="1489" t="s">
        <v>1781</v>
      </c>
      <c r="B47" s="1490" t="s">
        <v>1782</v>
      </c>
      <c r="C47" s="1491" t="s">
        <v>1783</v>
      </c>
      <c r="D47" s="1492" t="s">
        <v>1854</v>
      </c>
      <c r="E47" s="1493" t="s">
        <v>1856</v>
      </c>
      <c r="F47" s="2597" t="s">
        <v>2501</v>
      </c>
      <c r="G47" s="1492" t="s">
        <v>1852</v>
      </c>
      <c r="H47" s="2598" t="s">
        <v>2502</v>
      </c>
      <c r="I47" s="1492" t="s">
        <v>1855</v>
      </c>
      <c r="J47" s="945" t="s">
        <v>423</v>
      </c>
      <c r="K47" s="945" t="s">
        <v>424</v>
      </c>
      <c r="L47" s="945" t="s">
        <v>425</v>
      </c>
      <c r="M47" s="945" t="s">
        <v>426</v>
      </c>
      <c r="N47" s="945" t="s">
        <v>427</v>
      </c>
      <c r="AA47" s="2376"/>
      <c r="AB47" s="2376"/>
      <c r="AC47" s="2376"/>
      <c r="AD47" s="2376"/>
      <c r="AE47" s="2376"/>
      <c r="AF47" s="2376"/>
      <c r="AG47" s="2376"/>
      <c r="AH47" s="2376"/>
      <c r="AI47" s="2376"/>
      <c r="AJ47" s="2376"/>
      <c r="AK47" s="2376"/>
    </row>
    <row r="48" spans="1:37" s="2375" customFormat="1" ht="36">
      <c r="A48" s="1489" t="s">
        <v>1784</v>
      </c>
      <c r="B48" s="1494" t="str">
        <f>估价对象房地状况!C4</f>
        <v>估价对象位于XX商圈，周边商业氛围成熟，人流量大，商业繁华度好</v>
      </c>
      <c r="C48" s="1479"/>
      <c r="D48" s="2596">
        <f t="shared" ref="D48:D56" si="10">SUMIF($J$47:$N$47,C48,J48:N48)</f>
        <v>0</v>
      </c>
      <c r="E48" s="1496">
        <f>ROUND(SUM(D48:D56),4)</f>
        <v>0</v>
      </c>
      <c r="F48" s="1497" t="str">
        <f>IF(E2="商业",SUMIF(L1:L12,G2,N1:N12),"——")</f>
        <v>——</v>
      </c>
      <c r="G48" s="2594"/>
      <c r="H48" s="2612" t="str">
        <f t="shared" ref="H48:H56" si="11">IFERROR(ROUNDDOWN($F$48*I48/2,4),"——")</f>
        <v>——</v>
      </c>
      <c r="I48" s="1495">
        <v>0.33</v>
      </c>
      <c r="J48" s="2595">
        <f t="shared" ref="J48:J56" si="12">K48+$G48</f>
        <v>0</v>
      </c>
      <c r="K48" s="2595">
        <f t="shared" ref="K48:K56" si="13">$L48+$G48</f>
        <v>0</v>
      </c>
      <c r="L48" s="2595">
        <v>0</v>
      </c>
      <c r="M48" s="2595">
        <f t="shared" ref="M48:N56" si="14">L48-$G48</f>
        <v>0</v>
      </c>
      <c r="N48" s="2595">
        <f t="shared" si="14"/>
        <v>0</v>
      </c>
      <c r="AA48" s="2376"/>
      <c r="AB48" s="2376"/>
      <c r="AC48" s="2376"/>
      <c r="AD48" s="2376"/>
      <c r="AE48" s="2376"/>
      <c r="AF48" s="2376"/>
      <c r="AG48" s="2376"/>
      <c r="AH48" s="2376"/>
      <c r="AI48" s="2376"/>
      <c r="AJ48" s="2376"/>
      <c r="AK48" s="2376"/>
    </row>
    <row r="49" spans="1:37" s="2375" customFormat="1" ht="48">
      <c r="A49" s="1489" t="s">
        <v>92</v>
      </c>
      <c r="B49" s="1498" t="str">
        <f>估价对象房地状况!C18</f>
        <v>估价对象周边道路状况、公共交通通达情况、停车便捷程度，综合评价交通便捷度较好</v>
      </c>
      <c r="C49" s="1479"/>
      <c r="D49" s="2596">
        <f t="shared" si="10"/>
        <v>0</v>
      </c>
      <c r="E49" s="1499"/>
      <c r="F49" s="1497"/>
      <c r="G49" s="2594"/>
      <c r="H49" s="2612" t="str">
        <f t="shared" si="11"/>
        <v>——</v>
      </c>
      <c r="I49" s="1495">
        <v>0.25</v>
      </c>
      <c r="J49" s="2595">
        <f t="shared" si="12"/>
        <v>0</v>
      </c>
      <c r="K49" s="2595">
        <f t="shared" si="13"/>
        <v>0</v>
      </c>
      <c r="L49" s="2595">
        <v>0</v>
      </c>
      <c r="M49" s="2595">
        <f t="shared" si="14"/>
        <v>0</v>
      </c>
      <c r="N49" s="2595">
        <f t="shared" si="14"/>
        <v>0</v>
      </c>
      <c r="AA49" s="2376"/>
      <c r="AB49" s="2376"/>
      <c r="AC49" s="2376"/>
      <c r="AD49" s="2376"/>
      <c r="AE49" s="2376"/>
      <c r="AF49" s="2376"/>
      <c r="AG49" s="2376"/>
      <c r="AH49" s="2376"/>
      <c r="AI49" s="2376"/>
      <c r="AJ49" s="2376"/>
      <c r="AK49" s="2376"/>
    </row>
    <row r="50" spans="1:37" s="2375" customFormat="1" ht="24">
      <c r="A50" s="1489" t="s">
        <v>109</v>
      </c>
      <c r="B50" s="1498">
        <f>估价对象房地状况!C19</f>
        <v>0</v>
      </c>
      <c r="C50" s="1479"/>
      <c r="D50" s="2596">
        <f t="shared" si="10"/>
        <v>0</v>
      </c>
      <c r="E50" s="1499"/>
      <c r="F50" s="1497"/>
      <c r="G50" s="2594"/>
      <c r="H50" s="2612" t="str">
        <f t="shared" si="11"/>
        <v>——</v>
      </c>
      <c r="I50" s="1495">
        <v>0.05</v>
      </c>
      <c r="J50" s="2595">
        <f t="shared" si="12"/>
        <v>0</v>
      </c>
      <c r="K50" s="2595">
        <f t="shared" si="13"/>
        <v>0</v>
      </c>
      <c r="L50" s="2595">
        <v>0</v>
      </c>
      <c r="M50" s="2595">
        <f t="shared" si="14"/>
        <v>0</v>
      </c>
      <c r="N50" s="2595">
        <f t="shared" si="14"/>
        <v>0</v>
      </c>
      <c r="AA50" s="2376"/>
      <c r="AB50" s="2376"/>
      <c r="AC50" s="2376"/>
      <c r="AD50" s="2376"/>
      <c r="AE50" s="2376"/>
      <c r="AF50" s="2376"/>
      <c r="AG50" s="2376"/>
      <c r="AH50" s="2376"/>
      <c r="AI50" s="2376"/>
      <c r="AJ50" s="2376"/>
      <c r="AK50" s="2376"/>
    </row>
    <row r="51" spans="1:37" s="2375" customFormat="1" ht="36">
      <c r="A51" s="1489" t="s">
        <v>1785</v>
      </c>
      <c r="B51" s="3303" t="s">
        <v>3034</v>
      </c>
      <c r="C51" s="1479"/>
      <c r="D51" s="2596">
        <f t="shared" si="10"/>
        <v>0</v>
      </c>
      <c r="E51" s="1499"/>
      <c r="F51" s="1497"/>
      <c r="G51" s="2594"/>
      <c r="H51" s="2612" t="str">
        <f t="shared" si="11"/>
        <v>——</v>
      </c>
      <c r="I51" s="1495">
        <v>0.05</v>
      </c>
      <c r="J51" s="2595">
        <f t="shared" si="12"/>
        <v>0</v>
      </c>
      <c r="K51" s="2595">
        <f t="shared" si="13"/>
        <v>0</v>
      </c>
      <c r="L51" s="2595">
        <v>0</v>
      </c>
      <c r="M51" s="2595">
        <f t="shared" si="14"/>
        <v>0</v>
      </c>
      <c r="N51" s="2595">
        <f t="shared" si="14"/>
        <v>0</v>
      </c>
      <c r="AA51" s="2376"/>
      <c r="AB51" s="2376"/>
      <c r="AC51" s="2376"/>
      <c r="AD51" s="2376"/>
      <c r="AE51" s="2376"/>
      <c r="AF51" s="2376"/>
      <c r="AG51" s="2376"/>
      <c r="AH51" s="2376"/>
      <c r="AI51" s="2376"/>
      <c r="AJ51" s="2376"/>
      <c r="AK51" s="2376"/>
    </row>
    <row r="52" spans="1:37" s="2375" customFormat="1" ht="24">
      <c r="A52" s="1489" t="s">
        <v>1786</v>
      </c>
      <c r="B52" s="1498">
        <f>估价对象房地状况!C24</f>
        <v>0</v>
      </c>
      <c r="C52" s="1479"/>
      <c r="D52" s="2596">
        <f t="shared" si="10"/>
        <v>0</v>
      </c>
      <c r="E52" s="1499"/>
      <c r="F52" s="1497"/>
      <c r="G52" s="2594"/>
      <c r="H52" s="2612" t="str">
        <f t="shared" si="11"/>
        <v>——</v>
      </c>
      <c r="I52" s="1495">
        <v>0.08</v>
      </c>
      <c r="J52" s="2595">
        <f t="shared" si="12"/>
        <v>0</v>
      </c>
      <c r="K52" s="2595">
        <f t="shared" si="13"/>
        <v>0</v>
      </c>
      <c r="L52" s="2595">
        <v>0</v>
      </c>
      <c r="M52" s="2595">
        <f t="shared" si="14"/>
        <v>0</v>
      </c>
      <c r="N52" s="2595">
        <f t="shared" si="14"/>
        <v>0</v>
      </c>
      <c r="AA52" s="2376"/>
      <c r="AB52" s="2376"/>
      <c r="AC52" s="2376"/>
      <c r="AD52" s="2376"/>
      <c r="AE52" s="2376"/>
      <c r="AF52" s="2376"/>
      <c r="AG52" s="2376"/>
      <c r="AH52" s="2376"/>
      <c r="AI52" s="2376"/>
      <c r="AJ52" s="2376"/>
      <c r="AK52" s="2376"/>
    </row>
    <row r="53" spans="1:37" s="2375" customFormat="1" ht="24">
      <c r="A53" s="1489" t="s">
        <v>1787</v>
      </c>
      <c r="B53" s="3302" t="s">
        <v>3033</v>
      </c>
      <c r="C53" s="1479"/>
      <c r="D53" s="2596">
        <f t="shared" si="10"/>
        <v>0</v>
      </c>
      <c r="E53" s="1499"/>
      <c r="F53" s="1497"/>
      <c r="G53" s="2594"/>
      <c r="H53" s="2612" t="str">
        <f t="shared" si="11"/>
        <v>——</v>
      </c>
      <c r="I53" s="1495">
        <v>0.03</v>
      </c>
      <c r="J53" s="2595">
        <f t="shared" si="12"/>
        <v>0</v>
      </c>
      <c r="K53" s="2595">
        <f t="shared" si="13"/>
        <v>0</v>
      </c>
      <c r="L53" s="2595">
        <v>0</v>
      </c>
      <c r="M53" s="2595">
        <f t="shared" si="14"/>
        <v>0</v>
      </c>
      <c r="N53" s="2595">
        <f t="shared" si="14"/>
        <v>0</v>
      </c>
      <c r="AA53" s="2376"/>
      <c r="AB53" s="2376"/>
      <c r="AC53" s="2376"/>
      <c r="AD53" s="2376"/>
      <c r="AE53" s="2376"/>
      <c r="AF53" s="2376"/>
      <c r="AG53" s="2376"/>
      <c r="AH53" s="2376"/>
      <c r="AI53" s="2376"/>
      <c r="AJ53" s="2376"/>
      <c r="AK53" s="2376"/>
    </row>
    <row r="54" spans="1:37" s="2375" customFormat="1" ht="24">
      <c r="A54" s="1500" t="s">
        <v>1788</v>
      </c>
      <c r="B54" s="2592" t="str">
        <f>估价对象房地状况!C21</f>
        <v>估价对象所在区域公共配套设施齐备情况</v>
      </c>
      <c r="C54" s="1479"/>
      <c r="D54" s="2596">
        <f t="shared" si="10"/>
        <v>0</v>
      </c>
      <c r="E54" s="1499"/>
      <c r="F54" s="1497"/>
      <c r="G54" s="2594"/>
      <c r="H54" s="2612" t="str">
        <f t="shared" si="11"/>
        <v>——</v>
      </c>
      <c r="I54" s="1495">
        <v>0.05</v>
      </c>
      <c r="J54" s="2595">
        <f t="shared" si="12"/>
        <v>0</v>
      </c>
      <c r="K54" s="2595">
        <f t="shared" si="13"/>
        <v>0</v>
      </c>
      <c r="L54" s="2595">
        <v>0</v>
      </c>
      <c r="M54" s="2595">
        <f t="shared" si="14"/>
        <v>0</v>
      </c>
      <c r="N54" s="2595">
        <f t="shared" si="14"/>
        <v>0</v>
      </c>
      <c r="AA54" s="2376"/>
      <c r="AB54" s="2376"/>
      <c r="AC54" s="2376"/>
      <c r="AD54" s="2376"/>
      <c r="AE54" s="2376"/>
      <c r="AF54" s="2376"/>
      <c r="AG54" s="2376"/>
      <c r="AH54" s="2376"/>
      <c r="AI54" s="2376"/>
      <c r="AJ54" s="2376"/>
      <c r="AK54" s="2376"/>
    </row>
    <row r="55" spans="1:37" s="2375" customFormat="1" ht="24">
      <c r="A55" s="1500" t="s">
        <v>1789</v>
      </c>
      <c r="B55" s="1498" t="str">
        <f>估价对象房地状况!C22</f>
        <v>估价对象所在区域基础设施水平</v>
      </c>
      <c r="C55" s="1479"/>
      <c r="D55" s="2596">
        <f t="shared" si="10"/>
        <v>0</v>
      </c>
      <c r="E55" s="1499"/>
      <c r="F55" s="1497"/>
      <c r="G55" s="2594"/>
      <c r="H55" s="2612" t="str">
        <f t="shared" si="11"/>
        <v>——</v>
      </c>
      <c r="I55" s="1495">
        <v>0.1</v>
      </c>
      <c r="J55" s="2595">
        <f t="shared" si="12"/>
        <v>0</v>
      </c>
      <c r="K55" s="2595">
        <f t="shared" si="13"/>
        <v>0</v>
      </c>
      <c r="L55" s="2595">
        <v>0</v>
      </c>
      <c r="M55" s="2595">
        <f t="shared" si="14"/>
        <v>0</v>
      </c>
      <c r="N55" s="2595">
        <f t="shared" si="14"/>
        <v>0</v>
      </c>
      <c r="AA55" s="2376"/>
      <c r="AB55" s="2376"/>
      <c r="AC55" s="2376"/>
      <c r="AD55" s="2376"/>
      <c r="AE55" s="2376"/>
      <c r="AF55" s="2376"/>
      <c r="AG55" s="2376"/>
      <c r="AH55" s="2376"/>
      <c r="AI55" s="2376"/>
      <c r="AJ55" s="2376"/>
      <c r="AK55" s="2376"/>
    </row>
    <row r="56" spans="1:37" s="2375" customFormat="1" ht="36.75" thickBot="1">
      <c r="A56" s="1502" t="s">
        <v>1790</v>
      </c>
      <c r="B56" s="1503" t="str">
        <f>估价对象房地状况!C20</f>
        <v>区域自然环境：；人文环境；综合评价环境状况一般</v>
      </c>
      <c r="C56" s="1479"/>
      <c r="D56" s="2596">
        <f t="shared" si="10"/>
        <v>0</v>
      </c>
      <c r="E56" s="1505"/>
      <c r="F56" s="1497"/>
      <c r="G56" s="2594"/>
      <c r="H56" s="2612" t="str">
        <f t="shared" si="11"/>
        <v>——</v>
      </c>
      <c r="I56" s="1504">
        <v>0.06</v>
      </c>
      <c r="J56" s="2595">
        <f t="shared" si="12"/>
        <v>0</v>
      </c>
      <c r="K56" s="2595">
        <f t="shared" si="13"/>
        <v>0</v>
      </c>
      <c r="L56" s="2595">
        <v>0</v>
      </c>
      <c r="M56" s="2595">
        <f t="shared" si="14"/>
        <v>0</v>
      </c>
      <c r="N56" s="2595">
        <f t="shared" si="14"/>
        <v>0</v>
      </c>
      <c r="AA56" s="2376"/>
      <c r="AB56" s="2376"/>
      <c r="AC56" s="2376"/>
      <c r="AD56" s="2376"/>
      <c r="AE56" s="2376"/>
      <c r="AF56" s="2376"/>
      <c r="AG56" s="2376"/>
      <c r="AH56" s="2376"/>
      <c r="AI56" s="2376"/>
      <c r="AJ56" s="2376"/>
      <c r="AK56" s="2376"/>
    </row>
    <row r="57" spans="1:37" s="2375" customFormat="1" ht="15">
      <c r="A57" s="1483" t="s">
        <v>1164</v>
      </c>
      <c r="B57" s="1484">
        <f>1+E59</f>
        <v>1</v>
      </c>
      <c r="C57" s="1506"/>
      <c r="D57" s="1486"/>
      <c r="E57" s="1487"/>
      <c r="F57" s="2129"/>
      <c r="G57" s="292"/>
      <c r="H57" s="292"/>
      <c r="I57" s="292"/>
      <c r="J57" s="1482"/>
      <c r="K57" s="1482"/>
      <c r="L57" s="1482"/>
      <c r="M57" s="1482"/>
      <c r="N57" s="1482"/>
      <c r="AA57" s="2376"/>
      <c r="AB57" s="2376"/>
      <c r="AC57" s="2376"/>
      <c r="AD57" s="2376"/>
      <c r="AE57" s="2376"/>
      <c r="AF57" s="2376"/>
      <c r="AG57" s="2376"/>
      <c r="AH57" s="2376"/>
      <c r="AI57" s="2376"/>
      <c r="AJ57" s="2376"/>
      <c r="AK57" s="2376"/>
    </row>
    <row r="58" spans="1:37" s="2375" customFormat="1" ht="24">
      <c r="A58" s="1489" t="s">
        <v>1781</v>
      </c>
      <c r="B58" s="1490"/>
      <c r="C58" s="1491" t="s">
        <v>1783</v>
      </c>
      <c r="D58" s="1492" t="s">
        <v>1854</v>
      </c>
      <c r="E58" s="1493" t="s">
        <v>1856</v>
      </c>
      <c r="F58" s="2597" t="s">
        <v>2299</v>
      </c>
      <c r="G58" s="1492" t="s">
        <v>1852</v>
      </c>
      <c r="H58" s="2598" t="s">
        <v>2502</v>
      </c>
      <c r="I58" s="1492" t="s">
        <v>1855</v>
      </c>
      <c r="J58" s="945" t="s">
        <v>423</v>
      </c>
      <c r="K58" s="945" t="s">
        <v>424</v>
      </c>
      <c r="L58" s="945" t="s">
        <v>425</v>
      </c>
      <c r="M58" s="945" t="s">
        <v>426</v>
      </c>
      <c r="N58" s="945" t="s">
        <v>427</v>
      </c>
      <c r="AA58" s="2376"/>
      <c r="AB58" s="2376"/>
      <c r="AC58" s="2376"/>
      <c r="AD58" s="2376"/>
      <c r="AE58" s="2376"/>
      <c r="AF58" s="2376"/>
      <c r="AG58" s="2376"/>
      <c r="AH58" s="2376"/>
      <c r="AI58" s="2376"/>
      <c r="AJ58" s="2376"/>
      <c r="AK58" s="2376"/>
    </row>
    <row r="59" spans="1:37" s="2375" customFormat="1" ht="36">
      <c r="A59" s="1489" t="s">
        <v>1096</v>
      </c>
      <c r="B59" s="1494" t="str">
        <f>估价对象房地状况!C17</f>
        <v>估价对象位于XX商圈，周边办公楼项目较多，入驻率高，办公集聚程度较好</v>
      </c>
      <c r="C59" s="1479"/>
      <c r="D59" s="2596">
        <f t="shared" ref="D59:D67" si="15">SUMIF($J$58:$N$58,C59,J59:N59)</f>
        <v>0</v>
      </c>
      <c r="E59" s="1496">
        <f>ROUND(SUM(D59:D67),4)</f>
        <v>0</v>
      </c>
      <c r="F59" s="1497" t="str">
        <f>IF(E2="办公",SUMIF(L1:L12,G2,N1:N12),"——")</f>
        <v>——</v>
      </c>
      <c r="G59" s="2594"/>
      <c r="H59" s="2612" t="str">
        <f t="shared" ref="H59:H67" si="16">IFERROR(ROUNDDOWN($F$59*I59/2,4),"——")</f>
        <v>——</v>
      </c>
      <c r="I59" s="1495">
        <v>0.24</v>
      </c>
      <c r="J59" s="2595">
        <f t="shared" ref="J59:J67" si="17">K59+$G59</f>
        <v>0</v>
      </c>
      <c r="K59" s="2595">
        <f t="shared" ref="K59:K67" si="18">$L59+$G59</f>
        <v>0</v>
      </c>
      <c r="L59" s="2595">
        <v>0</v>
      </c>
      <c r="M59" s="2595">
        <f t="shared" ref="M59:N67" si="19">L59-$G59</f>
        <v>0</v>
      </c>
      <c r="N59" s="2595">
        <f t="shared" si="19"/>
        <v>0</v>
      </c>
      <c r="AA59" s="2376"/>
      <c r="AB59" s="2376"/>
      <c r="AC59" s="2376"/>
      <c r="AD59" s="2376"/>
      <c r="AE59" s="2376"/>
      <c r="AF59" s="2376"/>
      <c r="AG59" s="2376"/>
      <c r="AH59" s="2376"/>
      <c r="AI59" s="2376"/>
      <c r="AJ59" s="2376"/>
      <c r="AK59" s="2376"/>
    </row>
    <row r="60" spans="1:37" s="2375" customFormat="1" ht="48">
      <c r="A60" s="1489" t="s">
        <v>92</v>
      </c>
      <c r="B60" s="1498" t="str">
        <f>估价对象房地状况!C18</f>
        <v>估价对象周边道路状况、公共交通通达情况、停车便捷程度，综合评价交通便捷度较好</v>
      </c>
      <c r="C60" s="1479"/>
      <c r="D60" s="2596">
        <f t="shared" si="15"/>
        <v>0</v>
      </c>
      <c r="E60" s="1499"/>
      <c r="F60" s="1497"/>
      <c r="G60" s="2594"/>
      <c r="H60" s="2612" t="str">
        <f t="shared" si="16"/>
        <v>——</v>
      </c>
      <c r="I60" s="1495">
        <v>0.3</v>
      </c>
      <c r="J60" s="2595">
        <f t="shared" si="17"/>
        <v>0</v>
      </c>
      <c r="K60" s="2595">
        <f t="shared" si="18"/>
        <v>0</v>
      </c>
      <c r="L60" s="2595">
        <v>0</v>
      </c>
      <c r="M60" s="2595">
        <f t="shared" si="19"/>
        <v>0</v>
      </c>
      <c r="N60" s="2595">
        <f t="shared" si="19"/>
        <v>0</v>
      </c>
      <c r="AA60" s="2376"/>
      <c r="AB60" s="2376"/>
      <c r="AC60" s="2376"/>
      <c r="AD60" s="2376"/>
      <c r="AE60" s="2376"/>
      <c r="AF60" s="2376"/>
      <c r="AG60" s="2376"/>
      <c r="AH60" s="2376"/>
      <c r="AI60" s="2376"/>
      <c r="AJ60" s="2376"/>
      <c r="AK60" s="2376"/>
    </row>
    <row r="61" spans="1:37" s="2375" customFormat="1" ht="24">
      <c r="A61" s="1489" t="s">
        <v>109</v>
      </c>
      <c r="B61" s="1498">
        <f>估价对象房地状况!C19</f>
        <v>0</v>
      </c>
      <c r="C61" s="1479"/>
      <c r="D61" s="2596">
        <f t="shared" si="15"/>
        <v>0</v>
      </c>
      <c r="E61" s="1499"/>
      <c r="F61" s="1497"/>
      <c r="G61" s="2594"/>
      <c r="H61" s="2612" t="str">
        <f t="shared" si="16"/>
        <v>——</v>
      </c>
      <c r="I61" s="1495">
        <v>0.08</v>
      </c>
      <c r="J61" s="2595">
        <f t="shared" si="17"/>
        <v>0</v>
      </c>
      <c r="K61" s="2595">
        <f t="shared" si="18"/>
        <v>0</v>
      </c>
      <c r="L61" s="2595">
        <v>0</v>
      </c>
      <c r="M61" s="2595">
        <f t="shared" si="19"/>
        <v>0</v>
      </c>
      <c r="N61" s="2595">
        <f t="shared" si="19"/>
        <v>0</v>
      </c>
      <c r="AA61" s="2376"/>
      <c r="AB61" s="2376"/>
      <c r="AC61" s="2376"/>
      <c r="AD61" s="2376"/>
      <c r="AE61" s="2376"/>
      <c r="AF61" s="2376"/>
      <c r="AG61" s="2376"/>
      <c r="AH61" s="2376"/>
      <c r="AI61" s="2376"/>
      <c r="AJ61" s="2376"/>
      <c r="AK61" s="2376"/>
    </row>
    <row r="62" spans="1:37" s="2375" customFormat="1" ht="36">
      <c r="A62" s="1489" t="s">
        <v>1785</v>
      </c>
      <c r="B62" s="3303" t="s">
        <v>3034</v>
      </c>
      <c r="C62" s="1479"/>
      <c r="D62" s="2596">
        <f t="shared" si="15"/>
        <v>0</v>
      </c>
      <c r="E62" s="1499"/>
      <c r="F62" s="1497"/>
      <c r="G62" s="2594"/>
      <c r="H62" s="2612" t="str">
        <f t="shared" si="16"/>
        <v>——</v>
      </c>
      <c r="I62" s="1495">
        <v>0.04</v>
      </c>
      <c r="J62" s="2595">
        <f t="shared" si="17"/>
        <v>0</v>
      </c>
      <c r="K62" s="2595">
        <f t="shared" si="18"/>
        <v>0</v>
      </c>
      <c r="L62" s="2595">
        <v>0</v>
      </c>
      <c r="M62" s="2595">
        <f t="shared" si="19"/>
        <v>0</v>
      </c>
      <c r="N62" s="2595">
        <f t="shared" si="19"/>
        <v>0</v>
      </c>
      <c r="AA62" s="2376"/>
      <c r="AB62" s="2376"/>
      <c r="AC62" s="2376"/>
      <c r="AD62" s="2376"/>
      <c r="AE62" s="2376"/>
      <c r="AF62" s="2376"/>
      <c r="AG62" s="2376"/>
      <c r="AH62" s="2376"/>
      <c r="AI62" s="2376"/>
      <c r="AJ62" s="2376"/>
      <c r="AK62" s="2376"/>
    </row>
    <row r="63" spans="1:37" s="2375" customFormat="1" ht="24">
      <c r="A63" s="1489" t="s">
        <v>1786</v>
      </c>
      <c r="B63" s="1498">
        <f>估价对象房地状况!C24</f>
        <v>0</v>
      </c>
      <c r="C63" s="1479"/>
      <c r="D63" s="2596">
        <f t="shared" si="15"/>
        <v>0</v>
      </c>
      <c r="E63" s="1499"/>
      <c r="F63" s="1497"/>
      <c r="G63" s="2594"/>
      <c r="H63" s="2612" t="str">
        <f t="shared" si="16"/>
        <v>——</v>
      </c>
      <c r="I63" s="1495">
        <v>0.05</v>
      </c>
      <c r="J63" s="2595">
        <f t="shared" si="17"/>
        <v>0</v>
      </c>
      <c r="K63" s="2595">
        <f t="shared" si="18"/>
        <v>0</v>
      </c>
      <c r="L63" s="2595">
        <v>0</v>
      </c>
      <c r="M63" s="2595">
        <f t="shared" si="19"/>
        <v>0</v>
      </c>
      <c r="N63" s="2595">
        <f t="shared" si="19"/>
        <v>0</v>
      </c>
      <c r="AA63" s="2376"/>
      <c r="AB63" s="2376"/>
      <c r="AC63" s="2376"/>
      <c r="AD63" s="2376"/>
      <c r="AE63" s="2376"/>
      <c r="AF63" s="2376"/>
      <c r="AG63" s="2376"/>
      <c r="AH63" s="2376"/>
      <c r="AI63" s="2376"/>
      <c r="AJ63" s="2376"/>
      <c r="AK63" s="2376"/>
    </row>
    <row r="64" spans="1:37" s="2375" customFormat="1" ht="24">
      <c r="A64" s="1489" t="s">
        <v>1787</v>
      </c>
      <c r="B64" s="3302" t="s">
        <v>3033</v>
      </c>
      <c r="C64" s="1479"/>
      <c r="D64" s="2596">
        <f t="shared" si="15"/>
        <v>0</v>
      </c>
      <c r="E64" s="1499"/>
      <c r="F64" s="1497"/>
      <c r="G64" s="2594"/>
      <c r="H64" s="2612" t="str">
        <f t="shared" si="16"/>
        <v>——</v>
      </c>
      <c r="I64" s="1495">
        <v>0.05</v>
      </c>
      <c r="J64" s="2595">
        <f t="shared" si="17"/>
        <v>0</v>
      </c>
      <c r="K64" s="2595">
        <f t="shared" si="18"/>
        <v>0</v>
      </c>
      <c r="L64" s="2595">
        <v>0</v>
      </c>
      <c r="M64" s="2595">
        <f t="shared" si="19"/>
        <v>0</v>
      </c>
      <c r="N64" s="2595">
        <f t="shared" si="19"/>
        <v>0</v>
      </c>
      <c r="AA64" s="2376"/>
      <c r="AB64" s="2376"/>
      <c r="AC64" s="2376"/>
      <c r="AD64" s="2376"/>
      <c r="AE64" s="2376"/>
      <c r="AF64" s="2376"/>
      <c r="AG64" s="2376"/>
      <c r="AH64" s="2376"/>
      <c r="AI64" s="2376"/>
      <c r="AJ64" s="2376"/>
      <c r="AK64" s="2376"/>
    </row>
    <row r="65" spans="1:37" s="2375" customFormat="1" ht="24">
      <c r="A65" s="1489" t="s">
        <v>1788</v>
      </c>
      <c r="B65" s="2592" t="str">
        <f>估价对象房地状况!C21</f>
        <v>估价对象所在区域公共配套设施齐备情况</v>
      </c>
      <c r="C65" s="1479"/>
      <c r="D65" s="2596">
        <f t="shared" si="15"/>
        <v>0</v>
      </c>
      <c r="E65" s="1499"/>
      <c r="F65" s="1497"/>
      <c r="G65" s="2594"/>
      <c r="H65" s="2612" t="str">
        <f t="shared" si="16"/>
        <v>——</v>
      </c>
      <c r="I65" s="1495">
        <v>0.06</v>
      </c>
      <c r="J65" s="2595">
        <f t="shared" si="17"/>
        <v>0</v>
      </c>
      <c r="K65" s="2595">
        <f t="shared" si="18"/>
        <v>0</v>
      </c>
      <c r="L65" s="2595">
        <v>0</v>
      </c>
      <c r="M65" s="2595">
        <f t="shared" si="19"/>
        <v>0</v>
      </c>
      <c r="N65" s="2595">
        <f t="shared" si="19"/>
        <v>0</v>
      </c>
      <c r="AA65" s="2376"/>
      <c r="AB65" s="2376"/>
      <c r="AC65" s="2376"/>
      <c r="AD65" s="2376"/>
      <c r="AE65" s="2376"/>
      <c r="AF65" s="2376"/>
      <c r="AG65" s="2376"/>
      <c r="AH65" s="2376"/>
      <c r="AI65" s="2376"/>
      <c r="AJ65" s="2376"/>
      <c r="AK65" s="2376"/>
    </row>
    <row r="66" spans="1:37" s="2375" customFormat="1" ht="24">
      <c r="A66" s="1489" t="s">
        <v>1789</v>
      </c>
      <c r="B66" s="2592" t="str">
        <f>估价对象房地状况!C22</f>
        <v>估价对象所在区域基础设施水平</v>
      </c>
      <c r="C66" s="1479"/>
      <c r="D66" s="2596">
        <f t="shared" si="15"/>
        <v>0</v>
      </c>
      <c r="E66" s="1499"/>
      <c r="F66" s="1497"/>
      <c r="G66" s="2594"/>
      <c r="H66" s="2612" t="str">
        <f t="shared" si="16"/>
        <v>——</v>
      </c>
      <c r="I66" s="1495">
        <v>0.12</v>
      </c>
      <c r="J66" s="2595">
        <f t="shared" si="17"/>
        <v>0</v>
      </c>
      <c r="K66" s="2595">
        <f t="shared" si="18"/>
        <v>0</v>
      </c>
      <c r="L66" s="2595">
        <v>0</v>
      </c>
      <c r="M66" s="2595">
        <f t="shared" si="19"/>
        <v>0</v>
      </c>
      <c r="N66" s="2595">
        <f t="shared" si="19"/>
        <v>0</v>
      </c>
      <c r="AA66" s="2376"/>
      <c r="AB66" s="2376"/>
      <c r="AC66" s="2376"/>
      <c r="AD66" s="2376"/>
      <c r="AE66" s="2376"/>
      <c r="AF66" s="2376"/>
      <c r="AG66" s="2376"/>
      <c r="AH66" s="2376"/>
      <c r="AI66" s="2376"/>
      <c r="AJ66" s="2376"/>
      <c r="AK66" s="2376"/>
    </row>
    <row r="67" spans="1:37" s="2375" customFormat="1" ht="36.75" thickBot="1">
      <c r="A67" s="1502" t="s">
        <v>1790</v>
      </c>
      <c r="B67" s="1507" t="str">
        <f>估价对象房地状况!C20</f>
        <v>区域自然环境：；人文环境；综合评价环境状况一般</v>
      </c>
      <c r="C67" s="1479"/>
      <c r="D67" s="2596">
        <f t="shared" si="15"/>
        <v>0</v>
      </c>
      <c r="E67" s="1505"/>
      <c r="F67" s="1497"/>
      <c r="G67" s="2594"/>
      <c r="H67" s="2612" t="str">
        <f t="shared" si="16"/>
        <v>——</v>
      </c>
      <c r="I67" s="1504">
        <v>0.06</v>
      </c>
      <c r="J67" s="2595">
        <f t="shared" si="17"/>
        <v>0</v>
      </c>
      <c r="K67" s="2595">
        <f t="shared" si="18"/>
        <v>0</v>
      </c>
      <c r="L67" s="2595">
        <v>0</v>
      </c>
      <c r="M67" s="2595">
        <f t="shared" si="19"/>
        <v>0</v>
      </c>
      <c r="N67" s="2595">
        <f t="shared" si="19"/>
        <v>0</v>
      </c>
      <c r="AA67" s="2376"/>
      <c r="AB67" s="2376"/>
      <c r="AC67" s="2376"/>
      <c r="AD67" s="2376"/>
      <c r="AE67" s="2376"/>
      <c r="AF67" s="2376"/>
      <c r="AG67" s="2376"/>
      <c r="AH67" s="2376"/>
      <c r="AI67" s="2376"/>
      <c r="AJ67" s="2376"/>
      <c r="AK67" s="2376"/>
    </row>
    <row r="68" spans="1:37" s="2375" customFormat="1" ht="15">
      <c r="A68" s="1483" t="s">
        <v>980</v>
      </c>
      <c r="B68" s="1484">
        <f>1+E70</f>
        <v>1</v>
      </c>
      <c r="C68" s="1506"/>
      <c r="D68" s="1486"/>
      <c r="E68" s="1487"/>
      <c r="F68" s="2129"/>
      <c r="G68" s="292"/>
      <c r="H68" s="292"/>
      <c r="I68" s="292"/>
      <c r="J68" s="1482"/>
      <c r="K68" s="1482"/>
      <c r="L68" s="1482"/>
      <c r="M68" s="1482"/>
      <c r="N68" s="1482"/>
      <c r="AA68" s="2376"/>
      <c r="AB68" s="2376"/>
      <c r="AC68" s="2376"/>
      <c r="AD68" s="2376"/>
      <c r="AE68" s="2376"/>
      <c r="AF68" s="2376"/>
      <c r="AG68" s="2376"/>
      <c r="AH68" s="2376"/>
      <c r="AI68" s="2376"/>
      <c r="AJ68" s="2376"/>
      <c r="AK68" s="2376"/>
    </row>
    <row r="69" spans="1:37" s="2375" customFormat="1" ht="24">
      <c r="A69" s="1489" t="s">
        <v>1781</v>
      </c>
      <c r="B69" s="1490"/>
      <c r="C69" s="1491" t="s">
        <v>1783</v>
      </c>
      <c r="D69" s="1492" t="s">
        <v>1854</v>
      </c>
      <c r="E69" s="1493" t="s">
        <v>1856</v>
      </c>
      <c r="F69" s="2597" t="s">
        <v>2299</v>
      </c>
      <c r="G69" s="1492" t="s">
        <v>1852</v>
      </c>
      <c r="H69" s="2598" t="s">
        <v>2502</v>
      </c>
      <c r="I69" s="1492" t="s">
        <v>1855</v>
      </c>
      <c r="J69" s="945" t="s">
        <v>423</v>
      </c>
      <c r="K69" s="945" t="s">
        <v>424</v>
      </c>
      <c r="L69" s="945" t="s">
        <v>425</v>
      </c>
      <c r="M69" s="945" t="s">
        <v>426</v>
      </c>
      <c r="N69" s="945" t="s">
        <v>427</v>
      </c>
      <c r="AA69" s="2376"/>
      <c r="AB69" s="2376"/>
      <c r="AC69" s="2376"/>
      <c r="AD69" s="2376"/>
      <c r="AE69" s="2376"/>
      <c r="AF69" s="2376"/>
      <c r="AG69" s="2376"/>
      <c r="AH69" s="2376"/>
      <c r="AI69" s="2376"/>
      <c r="AJ69" s="2376"/>
      <c r="AK69" s="2376"/>
    </row>
    <row r="70" spans="1:37" s="2375" customFormat="1" ht="48">
      <c r="A70" s="1489" t="s">
        <v>110</v>
      </c>
      <c r="B70" s="1494" t="str">
        <f>估价对象房地状况!C15</f>
        <v>估价对象周边居住用地比例、居住小区规模和社区发展完善程度，综合评价居住社区成熟度一般</v>
      </c>
      <c r="C70" s="1479"/>
      <c r="D70" s="2596">
        <f t="shared" ref="D70:D78" si="20">SUMIF($J$69:$N$69,C70,J70:N70)</f>
        <v>0</v>
      </c>
      <c r="E70" s="1496">
        <f>ROUND(SUM(D70:D78),4)</f>
        <v>0</v>
      </c>
      <c r="F70" s="1497" t="str">
        <f>IF(E2="住宅",SUMIF(L1:L12,G2,N1:N12),"——")</f>
        <v>——</v>
      </c>
      <c r="G70" s="2594"/>
      <c r="H70" s="2612" t="str">
        <f t="shared" ref="H70:H78" si="21">IFERROR(ROUNDDOWN($F$70*I70/2,4),"——")</f>
        <v>——</v>
      </c>
      <c r="I70" s="1495">
        <v>0.14000000000000001</v>
      </c>
      <c r="J70" s="2595">
        <f t="shared" ref="J70:J78" si="22">K70+$G70</f>
        <v>0</v>
      </c>
      <c r="K70" s="2595">
        <f t="shared" ref="K70:K78" si="23">$L70+$G70</f>
        <v>0</v>
      </c>
      <c r="L70" s="2595">
        <v>0</v>
      </c>
      <c r="M70" s="2595">
        <f t="shared" ref="M70:N78" si="24">L70-$G70</f>
        <v>0</v>
      </c>
      <c r="N70" s="2595">
        <f t="shared" si="24"/>
        <v>0</v>
      </c>
      <c r="AA70" s="2376"/>
      <c r="AB70" s="2376"/>
      <c r="AC70" s="2376"/>
      <c r="AD70" s="2376"/>
      <c r="AE70" s="2376"/>
      <c r="AF70" s="2376"/>
      <c r="AG70" s="2376"/>
      <c r="AH70" s="2376"/>
      <c r="AI70" s="2376"/>
      <c r="AJ70" s="2376"/>
      <c r="AK70" s="2376"/>
    </row>
    <row r="71" spans="1:37" s="2375" customFormat="1" ht="48">
      <c r="A71" s="1489" t="s">
        <v>92</v>
      </c>
      <c r="B71" s="1498" t="str">
        <f>估价对象房地状况!C18</f>
        <v>估价对象周边道路状况、公共交通通达情况、停车便捷程度，综合评价交通便捷度较好</v>
      </c>
      <c r="C71" s="1479"/>
      <c r="D71" s="2596">
        <f t="shared" si="20"/>
        <v>0</v>
      </c>
      <c r="E71" s="1508"/>
      <c r="F71" s="1497"/>
      <c r="G71" s="2594"/>
      <c r="H71" s="2612" t="str">
        <f t="shared" si="21"/>
        <v>——</v>
      </c>
      <c r="I71" s="1495">
        <v>0.3</v>
      </c>
      <c r="J71" s="2595">
        <f t="shared" si="22"/>
        <v>0</v>
      </c>
      <c r="K71" s="2595">
        <f t="shared" si="23"/>
        <v>0</v>
      </c>
      <c r="L71" s="2595">
        <v>0</v>
      </c>
      <c r="M71" s="2595">
        <f t="shared" si="24"/>
        <v>0</v>
      </c>
      <c r="N71" s="2595">
        <f t="shared" si="24"/>
        <v>0</v>
      </c>
      <c r="AA71" s="2376"/>
      <c r="AB71" s="2376"/>
      <c r="AC71" s="2376"/>
      <c r="AD71" s="2376"/>
      <c r="AE71" s="2376"/>
      <c r="AF71" s="2376"/>
      <c r="AG71" s="2376"/>
      <c r="AH71" s="2376"/>
      <c r="AI71" s="2376"/>
      <c r="AJ71" s="2376"/>
      <c r="AK71" s="2376"/>
    </row>
    <row r="72" spans="1:37" s="2375" customFormat="1" ht="24">
      <c r="A72" s="1489" t="s">
        <v>109</v>
      </c>
      <c r="B72" s="1498">
        <f>估价对象房地状况!C19</f>
        <v>0</v>
      </c>
      <c r="C72" s="1479"/>
      <c r="D72" s="2596">
        <f t="shared" si="20"/>
        <v>0</v>
      </c>
      <c r="E72" s="1508"/>
      <c r="F72" s="1497"/>
      <c r="G72" s="2594"/>
      <c r="H72" s="2612" t="str">
        <f t="shared" si="21"/>
        <v>——</v>
      </c>
      <c r="I72" s="1495">
        <v>0.08</v>
      </c>
      <c r="J72" s="2595">
        <f t="shared" si="22"/>
        <v>0</v>
      </c>
      <c r="K72" s="2595">
        <f t="shared" si="23"/>
        <v>0</v>
      </c>
      <c r="L72" s="2595">
        <v>0</v>
      </c>
      <c r="M72" s="2595">
        <f t="shared" si="24"/>
        <v>0</v>
      </c>
      <c r="N72" s="2595">
        <f t="shared" si="24"/>
        <v>0</v>
      </c>
      <c r="AA72" s="2376"/>
      <c r="AB72" s="2376"/>
      <c r="AC72" s="2376"/>
      <c r="AD72" s="2376"/>
      <c r="AE72" s="2376"/>
      <c r="AF72" s="2376"/>
      <c r="AG72" s="2376"/>
      <c r="AH72" s="2376"/>
      <c r="AI72" s="2376"/>
      <c r="AJ72" s="2376"/>
      <c r="AK72" s="2376"/>
    </row>
    <row r="73" spans="1:37" s="2375" customFormat="1" ht="14.25">
      <c r="A73" s="1489" t="s">
        <v>1791</v>
      </c>
      <c r="B73" s="1498">
        <f>估价对象房地状况!C24</f>
        <v>0</v>
      </c>
      <c r="C73" s="1479"/>
      <c r="D73" s="2596">
        <f t="shared" si="20"/>
        <v>0</v>
      </c>
      <c r="E73" s="1508"/>
      <c r="F73" s="1497"/>
      <c r="G73" s="2594"/>
      <c r="H73" s="2612" t="str">
        <f t="shared" si="21"/>
        <v>——</v>
      </c>
      <c r="I73" s="1495">
        <v>0.04</v>
      </c>
      <c r="J73" s="2595">
        <f t="shared" si="22"/>
        <v>0</v>
      </c>
      <c r="K73" s="2595">
        <f t="shared" si="23"/>
        <v>0</v>
      </c>
      <c r="L73" s="2595">
        <v>0</v>
      </c>
      <c r="M73" s="2595">
        <f t="shared" si="24"/>
        <v>0</v>
      </c>
      <c r="N73" s="2595">
        <f t="shared" si="24"/>
        <v>0</v>
      </c>
      <c r="AA73" s="2376"/>
      <c r="AB73" s="2376"/>
      <c r="AC73" s="2376"/>
      <c r="AD73" s="2376"/>
      <c r="AE73" s="2376"/>
      <c r="AF73" s="2376"/>
      <c r="AG73" s="2376"/>
      <c r="AH73" s="2376"/>
      <c r="AI73" s="2376"/>
      <c r="AJ73" s="2376"/>
      <c r="AK73" s="2376"/>
    </row>
    <row r="74" spans="1:37" s="2375" customFormat="1" ht="24">
      <c r="A74" s="1489" t="s">
        <v>1788</v>
      </c>
      <c r="B74" s="2592" t="str">
        <f>估价对象房地状况!C21</f>
        <v>估价对象所在区域公共配套设施齐备情况</v>
      </c>
      <c r="C74" s="1479"/>
      <c r="D74" s="2596">
        <f t="shared" si="20"/>
        <v>0</v>
      </c>
      <c r="E74" s="1508"/>
      <c r="F74" s="1497"/>
      <c r="G74" s="2594"/>
      <c r="H74" s="2612" t="str">
        <f t="shared" si="21"/>
        <v>——</v>
      </c>
      <c r="I74" s="1495">
        <v>0.08</v>
      </c>
      <c r="J74" s="2595">
        <f t="shared" si="22"/>
        <v>0</v>
      </c>
      <c r="K74" s="2595">
        <f t="shared" si="23"/>
        <v>0</v>
      </c>
      <c r="L74" s="2595">
        <v>0</v>
      </c>
      <c r="M74" s="2595">
        <f t="shared" si="24"/>
        <v>0</v>
      </c>
      <c r="N74" s="2595">
        <f t="shared" si="24"/>
        <v>0</v>
      </c>
      <c r="AA74" s="2376"/>
      <c r="AB74" s="2376"/>
      <c r="AC74" s="2376"/>
      <c r="AD74" s="2376"/>
      <c r="AE74" s="2376"/>
      <c r="AF74" s="2376"/>
      <c r="AG74" s="2376"/>
      <c r="AH74" s="2376"/>
      <c r="AI74" s="2376"/>
      <c r="AJ74" s="2376"/>
      <c r="AK74" s="2376"/>
    </row>
    <row r="75" spans="1:37" s="2375" customFormat="1" ht="24">
      <c r="A75" s="1489" t="s">
        <v>1789</v>
      </c>
      <c r="B75" s="2592" t="str">
        <f>估价对象房地状况!C22</f>
        <v>估价对象所在区域基础设施水平</v>
      </c>
      <c r="C75" s="1479"/>
      <c r="D75" s="2596">
        <f t="shared" si="20"/>
        <v>0</v>
      </c>
      <c r="E75" s="1508"/>
      <c r="F75" s="1497"/>
      <c r="G75" s="2594"/>
      <c r="H75" s="2612" t="str">
        <f t="shared" si="21"/>
        <v>——</v>
      </c>
      <c r="I75" s="1495">
        <v>0.12</v>
      </c>
      <c r="J75" s="2595">
        <f t="shared" si="22"/>
        <v>0</v>
      </c>
      <c r="K75" s="2595">
        <f t="shared" si="23"/>
        <v>0</v>
      </c>
      <c r="L75" s="2595">
        <v>0</v>
      </c>
      <c r="M75" s="2595">
        <f t="shared" si="24"/>
        <v>0</v>
      </c>
      <c r="N75" s="2595">
        <f t="shared" si="24"/>
        <v>0</v>
      </c>
      <c r="AA75" s="2376"/>
      <c r="AB75" s="2376"/>
      <c r="AC75" s="2376"/>
      <c r="AD75" s="2376"/>
      <c r="AE75" s="2376"/>
      <c r="AF75" s="2376"/>
      <c r="AG75" s="2376"/>
      <c r="AH75" s="2376"/>
      <c r="AI75" s="2376"/>
      <c r="AJ75" s="2376"/>
      <c r="AK75" s="2376"/>
    </row>
    <row r="76" spans="1:37" s="2379" customFormat="1" ht="24">
      <c r="A76" s="1489" t="s">
        <v>1787</v>
      </c>
      <c r="B76" s="3302" t="s">
        <v>3033</v>
      </c>
      <c r="C76" s="1479"/>
      <c r="D76" s="2596">
        <f t="shared" si="20"/>
        <v>0</v>
      </c>
      <c r="E76" s="1508"/>
      <c r="F76" s="1497"/>
      <c r="G76" s="2594"/>
      <c r="H76" s="2612" t="str">
        <f t="shared" si="21"/>
        <v>——</v>
      </c>
      <c r="I76" s="1495">
        <v>0.05</v>
      </c>
      <c r="J76" s="2595">
        <f t="shared" si="22"/>
        <v>0</v>
      </c>
      <c r="K76" s="2595">
        <f t="shared" si="23"/>
        <v>0</v>
      </c>
      <c r="L76" s="2595">
        <v>0</v>
      </c>
      <c r="M76" s="2595">
        <f t="shared" si="24"/>
        <v>0</v>
      </c>
      <c r="N76" s="2595">
        <f t="shared" si="24"/>
        <v>0</v>
      </c>
      <c r="AA76" s="2378"/>
      <c r="AB76" s="2376"/>
      <c r="AC76" s="2376"/>
      <c r="AD76" s="2376"/>
      <c r="AE76" s="2376"/>
      <c r="AF76" s="2376"/>
      <c r="AG76" s="2376"/>
      <c r="AH76" s="2378"/>
      <c r="AI76" s="2378"/>
      <c r="AJ76" s="2378"/>
      <c r="AK76" s="2378"/>
    </row>
    <row r="77" spans="1:37" ht="36">
      <c r="A77" s="1489" t="s">
        <v>1790</v>
      </c>
      <c r="B77" s="1494" t="str">
        <f>估价对象房地状况!C20</f>
        <v>区域自然环境：；人文环境；综合评价环境状况一般</v>
      </c>
      <c r="C77" s="1479"/>
      <c r="D77" s="2596">
        <f t="shared" si="20"/>
        <v>0</v>
      </c>
      <c r="E77" s="1508"/>
      <c r="F77" s="1497"/>
      <c r="G77" s="2594"/>
      <c r="H77" s="2612" t="str">
        <f t="shared" si="21"/>
        <v>——</v>
      </c>
      <c r="I77" s="1495">
        <v>0.15</v>
      </c>
      <c r="J77" s="2595">
        <f t="shared" si="22"/>
        <v>0</v>
      </c>
      <c r="K77" s="2595">
        <f t="shared" si="23"/>
        <v>0</v>
      </c>
      <c r="L77" s="2595">
        <v>0</v>
      </c>
      <c r="M77" s="2595">
        <f t="shared" si="24"/>
        <v>0</v>
      </c>
      <c r="N77" s="2595">
        <f t="shared" si="24"/>
        <v>0</v>
      </c>
      <c r="Z77" s="1619"/>
      <c r="AA77" s="1618"/>
      <c r="AG77" s="1617"/>
      <c r="AK77" s="1618"/>
    </row>
    <row r="78" spans="1:37" ht="24.75" thickBot="1">
      <c r="A78" s="1502" t="s">
        <v>1792</v>
      </c>
      <c r="B78" s="3301"/>
      <c r="C78" s="1479"/>
      <c r="D78" s="2596">
        <f t="shared" si="20"/>
        <v>0</v>
      </c>
      <c r="E78" s="1509"/>
      <c r="F78" s="1497"/>
      <c r="G78" s="2594"/>
      <c r="H78" s="2612" t="str">
        <f t="shared" si="21"/>
        <v>——</v>
      </c>
      <c r="I78" s="1504">
        <v>0.04</v>
      </c>
      <c r="J78" s="2595">
        <f t="shared" si="22"/>
        <v>0</v>
      </c>
      <c r="K78" s="2595">
        <f t="shared" si="23"/>
        <v>0</v>
      </c>
      <c r="L78" s="2595">
        <v>0</v>
      </c>
      <c r="M78" s="2595">
        <f t="shared" si="24"/>
        <v>0</v>
      </c>
      <c r="N78" s="2595">
        <f t="shared" si="24"/>
        <v>0</v>
      </c>
      <c r="Z78" s="1619"/>
      <c r="AA78" s="1618"/>
      <c r="AG78" s="1617"/>
      <c r="AK78" s="1618"/>
    </row>
    <row r="79" spans="1:37" ht="15">
      <c r="A79" s="1483" t="s">
        <v>1107</v>
      </c>
      <c r="B79" s="1484">
        <f>1+E81</f>
        <v>1</v>
      </c>
      <c r="C79" s="1506"/>
      <c r="D79" s="1486"/>
      <c r="E79" s="1487"/>
      <c r="F79" s="2129"/>
      <c r="G79" s="292"/>
      <c r="H79" s="292"/>
      <c r="I79" s="292"/>
      <c r="J79" s="1482"/>
      <c r="K79" s="1482"/>
      <c r="L79" s="1482"/>
      <c r="M79" s="1482"/>
      <c r="N79" s="1482"/>
      <c r="Z79" s="1619"/>
      <c r="AA79" s="1618"/>
      <c r="AG79" s="1617"/>
      <c r="AK79" s="1618"/>
    </row>
    <row r="80" spans="1:37" ht="24">
      <c r="A80" s="1489" t="s">
        <v>1781</v>
      </c>
      <c r="B80" s="1490"/>
      <c r="C80" s="1491" t="s">
        <v>1783</v>
      </c>
      <c r="D80" s="1492" t="s">
        <v>1854</v>
      </c>
      <c r="E80" s="1493" t="s">
        <v>1856</v>
      </c>
      <c r="F80" s="2597" t="s">
        <v>2299</v>
      </c>
      <c r="G80" s="1492" t="s">
        <v>1852</v>
      </c>
      <c r="H80" s="2598" t="s">
        <v>2502</v>
      </c>
      <c r="I80" s="1492" t="s">
        <v>1855</v>
      </c>
      <c r="J80" s="945" t="s">
        <v>423</v>
      </c>
      <c r="K80" s="945" t="s">
        <v>424</v>
      </c>
      <c r="L80" s="945" t="s">
        <v>425</v>
      </c>
      <c r="M80" s="945" t="s">
        <v>426</v>
      </c>
      <c r="N80" s="945" t="s">
        <v>427</v>
      </c>
      <c r="Z80" s="1619"/>
      <c r="AA80" s="1618"/>
      <c r="AG80" s="1617"/>
      <c r="AK80" s="1618"/>
    </row>
    <row r="81" spans="1:37" ht="36">
      <c r="A81" s="1489" t="s">
        <v>158</v>
      </c>
      <c r="B81" s="1498" t="str">
        <f>估价对象房地状况!G15</f>
        <v>估价对象位于XX开发区，园区建设成熟度XX，产业集聚程度XX</v>
      </c>
      <c r="C81" s="1479"/>
      <c r="D81" s="2596">
        <f t="shared" ref="D81:D88" si="25">SUMIF($J$80:$N$80,C81,J81:N81)</f>
        <v>0</v>
      </c>
      <c r="E81" s="1496">
        <f>ROUND(SUM(D81:D88),4)</f>
        <v>0</v>
      </c>
      <c r="F81" s="1497" t="str">
        <f>IF(E2="工业",SUMIF(L1:L12,G2,N1:N12),"——")</f>
        <v>——</v>
      </c>
      <c r="G81" s="2594"/>
      <c r="H81" s="2612" t="str">
        <f t="shared" ref="H81:H88" si="26">IFERROR(ROUNDDOWN($F$81*I81/2,4),"——")</f>
        <v>——</v>
      </c>
      <c r="I81" s="1495">
        <v>0.26</v>
      </c>
      <c r="J81" s="2595">
        <f t="shared" ref="J81:J88" si="27">K81+$G81</f>
        <v>0</v>
      </c>
      <c r="K81" s="2595">
        <f t="shared" ref="K81:K88" si="28">$L81+$G81</f>
        <v>0</v>
      </c>
      <c r="L81" s="2595">
        <v>0</v>
      </c>
      <c r="M81" s="2595">
        <f t="shared" ref="M81:N88" si="29">L81-$G81</f>
        <v>0</v>
      </c>
      <c r="N81" s="2595">
        <f t="shared" si="29"/>
        <v>0</v>
      </c>
      <c r="Z81" s="1619"/>
      <c r="AA81" s="1618"/>
      <c r="AG81" s="1617"/>
      <c r="AK81" s="1618"/>
    </row>
    <row r="82" spans="1:37" ht="48">
      <c r="A82" s="1489" t="s">
        <v>92</v>
      </c>
      <c r="B82" s="1498" t="str">
        <f>估价对象房地状况!G16</f>
        <v>估价对象周边道路状况、公共交通通达情况、停车便捷程度，综合评价交通便捷度较好</v>
      </c>
      <c r="C82" s="1479"/>
      <c r="D82" s="2596">
        <f t="shared" si="25"/>
        <v>0</v>
      </c>
      <c r="E82" s="1508"/>
      <c r="F82" s="1497"/>
      <c r="G82" s="2594"/>
      <c r="H82" s="2612" t="str">
        <f t="shared" si="26"/>
        <v>——</v>
      </c>
      <c r="I82" s="1495">
        <v>0.33</v>
      </c>
      <c r="J82" s="2595">
        <f t="shared" si="27"/>
        <v>0</v>
      </c>
      <c r="K82" s="2595">
        <f t="shared" si="28"/>
        <v>0</v>
      </c>
      <c r="L82" s="2595">
        <v>0</v>
      </c>
      <c r="M82" s="2595">
        <f t="shared" si="29"/>
        <v>0</v>
      </c>
      <c r="N82" s="2595">
        <f t="shared" si="29"/>
        <v>0</v>
      </c>
      <c r="Z82" s="1619"/>
      <c r="AA82" s="1618"/>
      <c r="AG82" s="1617"/>
      <c r="AK82" s="1618"/>
    </row>
    <row r="83" spans="1:37" ht="24">
      <c r="A83" s="1489" t="s">
        <v>109</v>
      </c>
      <c r="B83" s="1498">
        <f>估价对象房地状况!G17</f>
        <v>0</v>
      </c>
      <c r="C83" s="1479"/>
      <c r="D83" s="2596">
        <f t="shared" si="25"/>
        <v>0</v>
      </c>
      <c r="E83" s="1508"/>
      <c r="F83" s="1497"/>
      <c r="G83" s="2594"/>
      <c r="H83" s="2612" t="str">
        <f t="shared" si="26"/>
        <v>——</v>
      </c>
      <c r="I83" s="1495">
        <v>0.05</v>
      </c>
      <c r="J83" s="2595">
        <f t="shared" si="27"/>
        <v>0</v>
      </c>
      <c r="K83" s="2595">
        <f t="shared" si="28"/>
        <v>0</v>
      </c>
      <c r="L83" s="2595">
        <v>0</v>
      </c>
      <c r="M83" s="2595">
        <f t="shared" si="29"/>
        <v>0</v>
      </c>
      <c r="N83" s="2595">
        <f t="shared" si="29"/>
        <v>0</v>
      </c>
      <c r="Z83" s="1619"/>
      <c r="AA83" s="1618"/>
      <c r="AG83" s="1617"/>
      <c r="AK83" s="1618"/>
    </row>
    <row r="84" spans="1:37" ht="14.25">
      <c r="A84" s="1489" t="s">
        <v>1791</v>
      </c>
      <c r="B84" s="1498">
        <f>估价对象房地状况!G22</f>
        <v>0</v>
      </c>
      <c r="C84" s="1479"/>
      <c r="D84" s="2596">
        <f t="shared" si="25"/>
        <v>0</v>
      </c>
      <c r="E84" s="1508"/>
      <c r="F84" s="1497"/>
      <c r="G84" s="2594"/>
      <c r="H84" s="2612" t="str">
        <f t="shared" si="26"/>
        <v>——</v>
      </c>
      <c r="I84" s="1495">
        <v>0.04</v>
      </c>
      <c r="J84" s="2595">
        <f t="shared" si="27"/>
        <v>0</v>
      </c>
      <c r="K84" s="2595">
        <f t="shared" si="28"/>
        <v>0</v>
      </c>
      <c r="L84" s="2595">
        <v>0</v>
      </c>
      <c r="M84" s="2595">
        <f t="shared" si="29"/>
        <v>0</v>
      </c>
      <c r="N84" s="2595">
        <f t="shared" si="29"/>
        <v>0</v>
      </c>
      <c r="Z84" s="1619"/>
      <c r="AA84" s="1618"/>
      <c r="AG84" s="1617"/>
      <c r="AK84" s="1618"/>
    </row>
    <row r="85" spans="1:37" ht="24">
      <c r="A85" s="1489" t="s">
        <v>1788</v>
      </c>
      <c r="B85" s="2592" t="str">
        <f>估价对象房地状况!G19</f>
        <v>估价对象所在区域公共配套设施齐备情况</v>
      </c>
      <c r="C85" s="1479"/>
      <c r="D85" s="2596">
        <f t="shared" si="25"/>
        <v>0</v>
      </c>
      <c r="E85" s="1508"/>
      <c r="F85" s="1497"/>
      <c r="G85" s="2594"/>
      <c r="H85" s="2612" t="str">
        <f t="shared" si="26"/>
        <v>——</v>
      </c>
      <c r="I85" s="1495">
        <v>0.06</v>
      </c>
      <c r="J85" s="2595">
        <f t="shared" si="27"/>
        <v>0</v>
      </c>
      <c r="K85" s="2595">
        <f t="shared" si="28"/>
        <v>0</v>
      </c>
      <c r="L85" s="2595">
        <v>0</v>
      </c>
      <c r="M85" s="2595">
        <f t="shared" si="29"/>
        <v>0</v>
      </c>
      <c r="N85" s="2595">
        <f t="shared" si="29"/>
        <v>0</v>
      </c>
      <c r="Z85" s="1619"/>
      <c r="AA85" s="1618"/>
      <c r="AG85" s="1617"/>
      <c r="AK85" s="1618"/>
    </row>
    <row r="86" spans="1:37" ht="24">
      <c r="A86" s="1489" t="s">
        <v>1789</v>
      </c>
      <c r="B86" s="2592" t="str">
        <f>估价对象房地状况!G20</f>
        <v>估价对象所在区域基础设施水平</v>
      </c>
      <c r="C86" s="1479"/>
      <c r="D86" s="2596">
        <f t="shared" si="25"/>
        <v>0</v>
      </c>
      <c r="E86" s="1508"/>
      <c r="F86" s="1497"/>
      <c r="G86" s="2594"/>
      <c r="H86" s="2612" t="str">
        <f t="shared" si="26"/>
        <v>——</v>
      </c>
      <c r="I86" s="1495">
        <v>0.15</v>
      </c>
      <c r="J86" s="2595">
        <f t="shared" si="27"/>
        <v>0</v>
      </c>
      <c r="K86" s="2595">
        <f t="shared" si="28"/>
        <v>0</v>
      </c>
      <c r="L86" s="2595">
        <v>0</v>
      </c>
      <c r="M86" s="2595">
        <f t="shared" si="29"/>
        <v>0</v>
      </c>
      <c r="N86" s="2595">
        <f t="shared" si="29"/>
        <v>0</v>
      </c>
      <c r="Z86" s="1619"/>
      <c r="AA86" s="1618"/>
      <c r="AG86" s="1617"/>
      <c r="AK86" s="1618"/>
    </row>
    <row r="87" spans="1:37" ht="24">
      <c r="A87" s="1489" t="s">
        <v>1787</v>
      </c>
      <c r="B87" s="3302" t="s">
        <v>2500</v>
      </c>
      <c r="C87" s="1479"/>
      <c r="D87" s="2596">
        <f t="shared" si="25"/>
        <v>0</v>
      </c>
      <c r="E87" s="1508"/>
      <c r="F87" s="1497"/>
      <c r="G87" s="2594"/>
      <c r="H87" s="2612" t="str">
        <f t="shared" si="26"/>
        <v>——</v>
      </c>
      <c r="I87" s="1495">
        <v>0.05</v>
      </c>
      <c r="J87" s="2595">
        <f t="shared" si="27"/>
        <v>0</v>
      </c>
      <c r="K87" s="2595">
        <f t="shared" si="28"/>
        <v>0</v>
      </c>
      <c r="L87" s="2595">
        <v>0</v>
      </c>
      <c r="M87" s="2595">
        <f t="shared" si="29"/>
        <v>0</v>
      </c>
      <c r="N87" s="2595">
        <f t="shared" si="29"/>
        <v>0</v>
      </c>
      <c r="Z87" s="1619"/>
      <c r="AA87" s="1618"/>
      <c r="AG87" s="1617"/>
      <c r="AK87" s="1618"/>
    </row>
    <row r="88" spans="1:37" ht="36.75" thickBot="1">
      <c r="A88" s="1502" t="s">
        <v>1793</v>
      </c>
      <c r="B88" s="2593" t="str">
        <f>估价对象房地状况!G18</f>
        <v>该园区内是否有污染型企业，绿化情况，卫生条件，整体环境状况判断</v>
      </c>
      <c r="C88" s="1479"/>
      <c r="D88" s="2596">
        <f t="shared" si="25"/>
        <v>0</v>
      </c>
      <c r="E88" s="1509"/>
      <c r="F88" s="1497"/>
      <c r="G88" s="2594"/>
      <c r="H88" s="2612" t="str">
        <f t="shared" si="26"/>
        <v>——</v>
      </c>
      <c r="I88" s="1504">
        <v>0.06</v>
      </c>
      <c r="J88" s="2595">
        <f t="shared" si="27"/>
        <v>0</v>
      </c>
      <c r="K88" s="2595">
        <f t="shared" si="28"/>
        <v>0</v>
      </c>
      <c r="L88" s="2595">
        <v>0</v>
      </c>
      <c r="M88" s="2595">
        <f t="shared" si="29"/>
        <v>0</v>
      </c>
      <c r="N88" s="2595">
        <f t="shared" si="29"/>
        <v>0</v>
      </c>
      <c r="Z88" s="1619"/>
      <c r="AA88" s="1618"/>
      <c r="AG88" s="1617"/>
      <c r="AK88" s="1618"/>
    </row>
    <row r="90" spans="1:37">
      <c r="A90" s="3750" t="s">
        <v>1762</v>
      </c>
      <c r="B90" s="3750"/>
      <c r="C90" s="3750"/>
      <c r="D90" s="3750"/>
      <c r="E90" s="3750"/>
      <c r="F90" s="3750"/>
      <c r="G90" s="3750"/>
      <c r="H90" s="3750"/>
      <c r="I90" s="3750"/>
      <c r="J90" s="3750"/>
      <c r="K90" s="2601"/>
      <c r="L90" s="2601"/>
      <c r="M90" s="2601"/>
      <c r="N90" s="2601"/>
    </row>
    <row r="91" spans="1:37">
      <c r="A91" s="3752" t="s">
        <v>68</v>
      </c>
      <c r="B91" s="3752" t="s">
        <v>1763</v>
      </c>
      <c r="C91" s="1578" t="s">
        <v>1764</v>
      </c>
      <c r="D91" s="1579"/>
      <c r="E91" s="1579"/>
      <c r="F91" s="1579"/>
      <c r="G91" s="1579"/>
      <c r="H91" s="1579"/>
      <c r="I91" s="1579"/>
      <c r="J91" s="1580"/>
      <c r="K91" s="1568"/>
      <c r="L91" s="1568"/>
      <c r="M91" s="1568"/>
      <c r="N91" s="1568"/>
    </row>
    <row r="92" spans="1:37">
      <c r="A92" s="3752"/>
      <c r="B92" s="3752"/>
      <c r="C92" s="2600" t="s">
        <v>164</v>
      </c>
      <c r="D92" s="2600" t="s">
        <v>165</v>
      </c>
      <c r="E92" s="2600" t="s">
        <v>160</v>
      </c>
      <c r="F92" s="2600" t="s">
        <v>161</v>
      </c>
      <c r="G92" s="2600" t="s">
        <v>162</v>
      </c>
      <c r="H92" s="2600" t="s">
        <v>163</v>
      </c>
      <c r="I92" s="2600" t="s">
        <v>1179</v>
      </c>
      <c r="J92" s="2600" t="s">
        <v>1180</v>
      </c>
      <c r="K92" s="2600" t="s">
        <v>1181</v>
      </c>
      <c r="L92" s="2600" t="s">
        <v>1182</v>
      </c>
      <c r="M92" s="2600" t="s">
        <v>1183</v>
      </c>
      <c r="N92" s="2600" t="s">
        <v>1184</v>
      </c>
    </row>
    <row r="93" spans="1:37">
      <c r="A93" s="3753" t="s">
        <v>1765</v>
      </c>
      <c r="B93" s="1581">
        <v>1</v>
      </c>
      <c r="C93" s="1582">
        <v>1.9361999999999999</v>
      </c>
      <c r="D93" s="1582">
        <v>1.9361999999999999</v>
      </c>
      <c r="E93" s="1582">
        <v>1.8629</v>
      </c>
      <c r="F93" s="1582">
        <v>1.8629</v>
      </c>
      <c r="G93" s="1582">
        <v>1.8629</v>
      </c>
      <c r="H93" s="1582">
        <v>1.8629</v>
      </c>
      <c r="I93" s="1582">
        <v>1.8629</v>
      </c>
      <c r="J93" s="1582">
        <v>1.9419999999999999</v>
      </c>
      <c r="K93" s="1582">
        <v>1.9419999999999999</v>
      </c>
      <c r="L93" s="1582">
        <v>1.9419999999999999</v>
      </c>
      <c r="M93" s="1582">
        <v>1.9419999999999999</v>
      </c>
      <c r="N93" s="1582">
        <v>1.9419999999999999</v>
      </c>
    </row>
    <row r="94" spans="1:37">
      <c r="A94" s="3754"/>
      <c r="B94" s="1581">
        <v>2</v>
      </c>
      <c r="C94" s="1582">
        <v>1.4198</v>
      </c>
      <c r="D94" s="1582">
        <v>1.4198</v>
      </c>
      <c r="E94" s="1582">
        <v>1.3371999999999999</v>
      </c>
      <c r="F94" s="1582">
        <v>1.3371999999999999</v>
      </c>
      <c r="G94" s="1582">
        <v>1.3371999999999999</v>
      </c>
      <c r="H94" s="1582">
        <v>1.3371999999999999</v>
      </c>
      <c r="I94" s="1582">
        <v>1.3371999999999999</v>
      </c>
      <c r="J94" s="1582">
        <v>1.2799</v>
      </c>
      <c r="K94" s="1582">
        <v>1.2799</v>
      </c>
      <c r="L94" s="1582">
        <v>1.2799</v>
      </c>
      <c r="M94" s="1582">
        <v>1.2799</v>
      </c>
      <c r="N94" s="1582">
        <v>1.2799</v>
      </c>
    </row>
    <row r="95" spans="1:37">
      <c r="A95" s="3754"/>
      <c r="B95" s="1581">
        <v>3</v>
      </c>
      <c r="C95" s="1582">
        <v>1.1594</v>
      </c>
      <c r="D95" s="1582">
        <v>1.1594</v>
      </c>
      <c r="E95" s="1582">
        <v>1.0788</v>
      </c>
      <c r="F95" s="1582">
        <v>1.0788</v>
      </c>
      <c r="G95" s="1582">
        <v>1.0788</v>
      </c>
      <c r="H95" s="1582">
        <v>1.0788</v>
      </c>
      <c r="I95" s="1582">
        <v>1.0788</v>
      </c>
      <c r="J95" s="1582">
        <v>1.0072000000000001</v>
      </c>
      <c r="K95" s="1582">
        <v>1.0072000000000001</v>
      </c>
      <c r="L95" s="1582">
        <v>1.0072000000000001</v>
      </c>
      <c r="M95" s="1582">
        <v>1.0072000000000001</v>
      </c>
      <c r="N95" s="1582">
        <v>1.0072000000000001</v>
      </c>
    </row>
    <row r="96" spans="1:37">
      <c r="A96" s="3754"/>
      <c r="B96" s="1581">
        <v>4</v>
      </c>
      <c r="C96" s="1582">
        <v>0.96220000000000006</v>
      </c>
      <c r="D96" s="1582">
        <v>0.96220000000000006</v>
      </c>
      <c r="E96" s="1582">
        <v>0.86560000000000004</v>
      </c>
      <c r="F96" s="1582">
        <v>0.86560000000000004</v>
      </c>
      <c r="G96" s="1582">
        <v>0.86560000000000004</v>
      </c>
      <c r="H96" s="1582">
        <v>0.86560000000000004</v>
      </c>
      <c r="I96" s="1582">
        <v>0.86560000000000004</v>
      </c>
      <c r="J96" s="1582">
        <v>0.75249999999999995</v>
      </c>
      <c r="K96" s="1582">
        <v>0.75249999999999995</v>
      </c>
      <c r="L96" s="1582">
        <v>0.75249999999999995</v>
      </c>
      <c r="M96" s="1582">
        <v>0.75249999999999995</v>
      </c>
      <c r="N96" s="1582">
        <v>0.75249999999999995</v>
      </c>
    </row>
    <row r="97" spans="1:14">
      <c r="A97" s="3754"/>
      <c r="B97" s="1581">
        <v>5</v>
      </c>
      <c r="C97" s="1582">
        <v>0.8417</v>
      </c>
      <c r="D97" s="1582">
        <v>0.8417</v>
      </c>
      <c r="E97" s="1582">
        <v>0.73709999999999998</v>
      </c>
      <c r="F97" s="1582">
        <v>0.73709999999999998</v>
      </c>
      <c r="G97" s="1582">
        <v>0.73709999999999998</v>
      </c>
      <c r="H97" s="1582">
        <v>0.73709999999999998</v>
      </c>
      <c r="I97" s="1582">
        <v>0.73709999999999998</v>
      </c>
      <c r="J97" s="1582">
        <v>0.56589999999999996</v>
      </c>
      <c r="K97" s="1582">
        <v>0.56589999999999996</v>
      </c>
      <c r="L97" s="1582">
        <v>0.56589999999999996</v>
      </c>
      <c r="M97" s="1582">
        <v>0.56589999999999996</v>
      </c>
      <c r="N97" s="1582">
        <v>0.56589999999999996</v>
      </c>
    </row>
    <row r="98" spans="1:14">
      <c r="A98" s="3754"/>
      <c r="B98" s="1581">
        <v>6</v>
      </c>
      <c r="C98" s="1582">
        <v>0.76080000000000003</v>
      </c>
      <c r="D98" s="1582">
        <v>0.76080000000000003</v>
      </c>
      <c r="E98" s="1582">
        <v>0.6482</v>
      </c>
      <c r="F98" s="1582">
        <v>0.6482</v>
      </c>
      <c r="G98" s="1582">
        <v>0.6482</v>
      </c>
      <c r="H98" s="1582">
        <v>0.6482</v>
      </c>
      <c r="I98" s="1582">
        <v>0.6482</v>
      </c>
      <c r="J98" s="1582">
        <v>0.45250000000000001</v>
      </c>
      <c r="K98" s="1582">
        <v>0.45250000000000001</v>
      </c>
      <c r="L98" s="1582">
        <v>0.45250000000000001</v>
      </c>
      <c r="M98" s="1582">
        <v>0.45250000000000001</v>
      </c>
      <c r="N98" s="1582">
        <v>0.45250000000000001</v>
      </c>
    </row>
    <row r="99" spans="1:14">
      <c r="A99" s="3754"/>
      <c r="B99" s="1581" t="s">
        <v>1766</v>
      </c>
      <c r="C99" s="1583">
        <f>$I$3</f>
        <v>0</v>
      </c>
      <c r="D99" s="1583">
        <f t="shared" ref="D99:M99" si="30">$I$3</f>
        <v>0</v>
      </c>
      <c r="E99" s="1583">
        <f t="shared" si="30"/>
        <v>0</v>
      </c>
      <c r="F99" s="1583">
        <f t="shared" si="30"/>
        <v>0</v>
      </c>
      <c r="G99" s="1583">
        <f t="shared" si="30"/>
        <v>0</v>
      </c>
      <c r="H99" s="1583">
        <f t="shared" si="30"/>
        <v>0</v>
      </c>
      <c r="I99" s="1583">
        <f t="shared" si="30"/>
        <v>0</v>
      </c>
      <c r="J99" s="1583">
        <f t="shared" si="30"/>
        <v>0</v>
      </c>
      <c r="K99" s="1583">
        <f t="shared" si="30"/>
        <v>0</v>
      </c>
      <c r="L99" s="1583">
        <f t="shared" si="30"/>
        <v>0</v>
      </c>
      <c r="M99" s="1583">
        <f t="shared" si="30"/>
        <v>0</v>
      </c>
      <c r="N99" s="1583">
        <f>$I$3</f>
        <v>0</v>
      </c>
    </row>
    <row r="100" spans="1:14">
      <c r="A100" s="3755"/>
      <c r="B100" s="1581">
        <v>7</v>
      </c>
      <c r="C100" s="1584">
        <f>(-0.163*(C99^2)-0.59*C99+7617)*(10^(-4))</f>
        <v>0.76170000000000004</v>
      </c>
      <c r="D100" s="1584">
        <f>(-0.163*(D99^2)-0.59*D99+7617)*(10^(-4))</f>
        <v>0.76170000000000004</v>
      </c>
      <c r="E100" s="1584">
        <f>(-0.161*(E99^2)-7.509*E99+6533)*(10^(-4))</f>
        <v>0.65329999999999999</v>
      </c>
      <c r="F100" s="1584">
        <f>(-0.161*(F99^2)-7.509*F99+6533)*(10^(-4))</f>
        <v>0.65329999999999999</v>
      </c>
      <c r="G100" s="1584">
        <f>(-0.161*(G99^2)-7.509*G99+6533)*(10^(-4))</f>
        <v>0.65329999999999999</v>
      </c>
      <c r="H100" s="1584">
        <f>(-0.161*(H99^2)-7.509*H99+6533)*(10^(-4))</f>
        <v>0.65329999999999999</v>
      </c>
      <c r="I100" s="1584">
        <f>(-0.161*(I99^2)-7.509*I99+6533)*(10^(-4))</f>
        <v>0.65329999999999999</v>
      </c>
      <c r="J100" s="1584">
        <f>(-0.214*(J99^2)-21.991*J99+4665)*(10^(-4))</f>
        <v>0.46650000000000003</v>
      </c>
      <c r="K100" s="1584">
        <f>(-0.214*(K99^2)-21.991*K99+4665)*(10^(-4))</f>
        <v>0.46650000000000003</v>
      </c>
      <c r="L100" s="1584">
        <f>(-0.214*(L99^2)-21.991*L99+4665)*(10^(-4))</f>
        <v>0.46650000000000003</v>
      </c>
      <c r="M100" s="1584">
        <f>(-0.214*(M99^2)-21.991*M99+4665)*(10^(-4))</f>
        <v>0.46650000000000003</v>
      </c>
      <c r="N100" s="1584">
        <f>(-0.214*(N99^2)-21.991*N99+4665)*(10^(-4))</f>
        <v>0.46650000000000003</v>
      </c>
    </row>
    <row r="101" spans="1:14">
      <c r="A101" s="3753" t="s">
        <v>1767</v>
      </c>
      <c r="B101" s="1585" t="s">
        <v>93</v>
      </c>
      <c r="C101" s="1586">
        <f>$G$3</f>
        <v>0.66</v>
      </c>
      <c r="D101" s="1586">
        <f t="shared" ref="D101:N101" si="31">$G$3</f>
        <v>0.66</v>
      </c>
      <c r="E101" s="1586">
        <f t="shared" si="31"/>
        <v>0.66</v>
      </c>
      <c r="F101" s="1586">
        <f t="shared" si="31"/>
        <v>0.66</v>
      </c>
      <c r="G101" s="1586">
        <f t="shared" si="31"/>
        <v>0.66</v>
      </c>
      <c r="H101" s="1586">
        <f t="shared" si="31"/>
        <v>0.66</v>
      </c>
      <c r="I101" s="1586">
        <f t="shared" si="31"/>
        <v>0.66</v>
      </c>
      <c r="J101" s="1586">
        <f t="shared" si="31"/>
        <v>0.66</v>
      </c>
      <c r="K101" s="1586">
        <f t="shared" si="31"/>
        <v>0.66</v>
      </c>
      <c r="L101" s="1586">
        <f t="shared" si="31"/>
        <v>0.66</v>
      </c>
      <c r="M101" s="1586">
        <f t="shared" si="31"/>
        <v>0.66</v>
      </c>
      <c r="N101" s="1586">
        <f t="shared" si="31"/>
        <v>0.66</v>
      </c>
    </row>
    <row r="102" spans="1:14">
      <c r="A102" s="3754"/>
      <c r="B102" s="1581">
        <v>1</v>
      </c>
      <c r="C102" s="1582">
        <f>1.9362/C101</f>
        <v>2.9336363636363636</v>
      </c>
      <c r="D102" s="1582">
        <f>1.9362/D101</f>
        <v>2.9336363636363636</v>
      </c>
      <c r="E102" s="1582">
        <f>1.8629/E101</f>
        <v>2.8225757575757573</v>
      </c>
      <c r="F102" s="1582">
        <f>1.8629/F101</f>
        <v>2.8225757575757573</v>
      </c>
      <c r="G102" s="1582">
        <f>1.8629/G101</f>
        <v>2.8225757575757573</v>
      </c>
      <c r="H102" s="1582">
        <f>1.8629/H101</f>
        <v>2.8225757575757573</v>
      </c>
      <c r="I102" s="1582">
        <f>1.8629/I101</f>
        <v>2.8225757575757573</v>
      </c>
      <c r="J102" s="1582">
        <f>1.942/J101</f>
        <v>2.9424242424242424</v>
      </c>
      <c r="K102" s="1582">
        <f>1.942/K101</f>
        <v>2.9424242424242424</v>
      </c>
      <c r="L102" s="1582">
        <f>1.942/L101</f>
        <v>2.9424242424242424</v>
      </c>
      <c r="M102" s="1582">
        <f>1.942/M101</f>
        <v>2.9424242424242424</v>
      </c>
      <c r="N102" s="1582">
        <f>1.942/N101</f>
        <v>2.9424242424242424</v>
      </c>
    </row>
    <row r="103" spans="1:14">
      <c r="A103" s="3754"/>
      <c r="B103" s="1581">
        <v>2</v>
      </c>
      <c r="C103" s="1582">
        <f>1.4198/C101</f>
        <v>2.1512121212121209</v>
      </c>
      <c r="D103" s="1582">
        <f>1.4198/D101</f>
        <v>2.1512121212121209</v>
      </c>
      <c r="E103" s="1582">
        <f>1.3372/E101</f>
        <v>2.0260606060606059</v>
      </c>
      <c r="F103" s="1582">
        <f>1.3372/F101</f>
        <v>2.0260606060606059</v>
      </c>
      <c r="G103" s="1582">
        <f>1.3372/G101</f>
        <v>2.0260606060606059</v>
      </c>
      <c r="H103" s="1582">
        <f>1.3372/H101</f>
        <v>2.0260606060606059</v>
      </c>
      <c r="I103" s="1582">
        <f>1.3372/I101</f>
        <v>2.0260606060606059</v>
      </c>
      <c r="J103" s="1582">
        <f>1.2799/J101</f>
        <v>1.9392424242424242</v>
      </c>
      <c r="K103" s="1582">
        <f>1.2799/K101</f>
        <v>1.9392424242424242</v>
      </c>
      <c r="L103" s="1582">
        <f>1.2799/L101</f>
        <v>1.9392424242424242</v>
      </c>
      <c r="M103" s="1582">
        <f>1.2799/M101</f>
        <v>1.9392424242424242</v>
      </c>
      <c r="N103" s="1582">
        <f>1.2799/N101</f>
        <v>1.9392424242424242</v>
      </c>
    </row>
    <row r="104" spans="1:14">
      <c r="A104" s="3754"/>
      <c r="B104" s="1581">
        <v>3</v>
      </c>
      <c r="C104" s="1582">
        <f>1.1594/C101</f>
        <v>1.7566666666666666</v>
      </c>
      <c r="D104" s="1582">
        <f>1.1594/D101</f>
        <v>1.7566666666666666</v>
      </c>
      <c r="E104" s="1582">
        <f>1.0788/E101</f>
        <v>1.6345454545454545</v>
      </c>
      <c r="F104" s="1582">
        <f>1.0788/F101</f>
        <v>1.6345454545454545</v>
      </c>
      <c r="G104" s="1582">
        <f>1.0788/G101</f>
        <v>1.6345454545454545</v>
      </c>
      <c r="H104" s="1582">
        <f>1.0788/H101</f>
        <v>1.6345454545454545</v>
      </c>
      <c r="I104" s="1582">
        <f>1.0788/I101</f>
        <v>1.6345454545454545</v>
      </c>
      <c r="J104" s="1582">
        <f>1.0072/J101</f>
        <v>1.5260606060606061</v>
      </c>
      <c r="K104" s="1582">
        <f>1.0072/K101</f>
        <v>1.5260606060606061</v>
      </c>
      <c r="L104" s="1582">
        <f>1.0072/L101</f>
        <v>1.5260606060606061</v>
      </c>
      <c r="M104" s="1582">
        <f>1.0072/M101</f>
        <v>1.5260606060606061</v>
      </c>
      <c r="N104" s="1582">
        <f>1.0072/N101</f>
        <v>1.5260606060606061</v>
      </c>
    </row>
    <row r="105" spans="1:14">
      <c r="A105" s="3754"/>
      <c r="B105" s="1581">
        <v>4</v>
      </c>
      <c r="C105" s="1582">
        <f>0.9622/C101</f>
        <v>1.457878787878788</v>
      </c>
      <c r="D105" s="1582">
        <f>0.9622/D101</f>
        <v>1.457878787878788</v>
      </c>
      <c r="E105" s="1582">
        <f>0.8656/E101</f>
        <v>1.3115151515151515</v>
      </c>
      <c r="F105" s="1582">
        <f>0.8656/F101</f>
        <v>1.3115151515151515</v>
      </c>
      <c r="G105" s="1582">
        <f>0.8656/G101</f>
        <v>1.3115151515151515</v>
      </c>
      <c r="H105" s="1582">
        <f>0.8656/H101</f>
        <v>1.3115151515151515</v>
      </c>
      <c r="I105" s="1582">
        <f>0.8656/I101</f>
        <v>1.3115151515151515</v>
      </c>
      <c r="J105" s="1582">
        <f>0.7525/J101</f>
        <v>1.1401515151515149</v>
      </c>
      <c r="K105" s="1582">
        <f>0.7525/K101</f>
        <v>1.1401515151515149</v>
      </c>
      <c r="L105" s="1582">
        <f>0.7525/L101</f>
        <v>1.1401515151515149</v>
      </c>
      <c r="M105" s="1582">
        <f>0.7525/M101</f>
        <v>1.1401515151515149</v>
      </c>
      <c r="N105" s="1582">
        <f>0.7525/N101</f>
        <v>1.1401515151515149</v>
      </c>
    </row>
    <row r="106" spans="1:14">
      <c r="A106" s="3754"/>
      <c r="B106" s="1581">
        <v>5</v>
      </c>
      <c r="C106" s="1582">
        <f>0.8417/C101</f>
        <v>1.2753030303030302</v>
      </c>
      <c r="D106" s="1582">
        <f>0.8417/D101</f>
        <v>1.2753030303030302</v>
      </c>
      <c r="E106" s="1582">
        <f>0.7371/E101</f>
        <v>1.1168181818181817</v>
      </c>
      <c r="F106" s="1582">
        <f>0.7371/F101</f>
        <v>1.1168181818181817</v>
      </c>
      <c r="G106" s="1582">
        <f>0.7371/G101</f>
        <v>1.1168181818181817</v>
      </c>
      <c r="H106" s="1582">
        <f>0.7371/H101</f>
        <v>1.1168181818181817</v>
      </c>
      <c r="I106" s="1582">
        <f>0.7371/I101</f>
        <v>1.1168181818181817</v>
      </c>
      <c r="J106" s="1582">
        <f>0.5659/J101</f>
        <v>0.85742424242424231</v>
      </c>
      <c r="K106" s="1582">
        <f>0.5659/K101</f>
        <v>0.85742424242424231</v>
      </c>
      <c r="L106" s="1582">
        <f>0.5659/L101</f>
        <v>0.85742424242424231</v>
      </c>
      <c r="M106" s="1582">
        <f>0.5659/M101</f>
        <v>0.85742424242424231</v>
      </c>
      <c r="N106" s="1582">
        <f>0.5659/N101</f>
        <v>0.85742424242424231</v>
      </c>
    </row>
    <row r="107" spans="1:14">
      <c r="A107" s="3754"/>
      <c r="B107" s="1581">
        <v>6</v>
      </c>
      <c r="C107" s="1582">
        <f>0.7608/C101</f>
        <v>1.1527272727272728</v>
      </c>
      <c r="D107" s="1582">
        <f>0.7608/D101</f>
        <v>1.1527272727272728</v>
      </c>
      <c r="E107" s="1582">
        <f>0.6482/E101</f>
        <v>0.98212121212121206</v>
      </c>
      <c r="F107" s="1582">
        <f>0.6482/F101</f>
        <v>0.98212121212121206</v>
      </c>
      <c r="G107" s="1582">
        <f>0.6482/G101</f>
        <v>0.98212121212121206</v>
      </c>
      <c r="H107" s="1582">
        <f>0.6482/H101</f>
        <v>0.98212121212121206</v>
      </c>
      <c r="I107" s="1582">
        <f>0.6482/I101</f>
        <v>0.98212121212121206</v>
      </c>
      <c r="J107" s="1582">
        <f>0.4525/J101</f>
        <v>0.68560606060606055</v>
      </c>
      <c r="K107" s="1582">
        <f>0.4525/K101</f>
        <v>0.68560606060606055</v>
      </c>
      <c r="L107" s="1582">
        <f>0.4525/L101</f>
        <v>0.68560606060606055</v>
      </c>
      <c r="M107" s="1582">
        <f>0.4525/M101</f>
        <v>0.68560606060606055</v>
      </c>
      <c r="N107" s="1582">
        <f>0.4525/N101</f>
        <v>0.68560606060606055</v>
      </c>
    </row>
    <row r="108" spans="1:14">
      <c r="A108" s="3754"/>
      <c r="B108" s="3756" t="s">
        <v>1769</v>
      </c>
      <c r="C108" s="1583">
        <f>C99</f>
        <v>0</v>
      </c>
      <c r="D108" s="1583">
        <f t="shared" ref="D108:N108" si="32">D99</f>
        <v>0</v>
      </c>
      <c r="E108" s="1583">
        <f t="shared" si="32"/>
        <v>0</v>
      </c>
      <c r="F108" s="1583">
        <f t="shared" si="32"/>
        <v>0</v>
      </c>
      <c r="G108" s="1583">
        <f t="shared" si="32"/>
        <v>0</v>
      </c>
      <c r="H108" s="1583">
        <f t="shared" si="32"/>
        <v>0</v>
      </c>
      <c r="I108" s="1583">
        <f t="shared" si="32"/>
        <v>0</v>
      </c>
      <c r="J108" s="1583">
        <f t="shared" si="32"/>
        <v>0</v>
      </c>
      <c r="K108" s="1583">
        <f t="shared" si="32"/>
        <v>0</v>
      </c>
      <c r="L108" s="1583">
        <f t="shared" si="32"/>
        <v>0</v>
      </c>
      <c r="M108" s="1583">
        <f t="shared" si="32"/>
        <v>0</v>
      </c>
      <c r="N108" s="1583">
        <f t="shared" si="32"/>
        <v>0</v>
      </c>
    </row>
    <row r="109" spans="1:14">
      <c r="A109" s="3755"/>
      <c r="B109" s="3757"/>
      <c r="C109" s="1584">
        <f>(-0.163*(C108^2)-0.59*C108+7617)*(10^(-4))/C101</f>
        <v>1.1540909090909091</v>
      </c>
      <c r="D109" s="1584">
        <f>(-0.163*(D108^2)-0.59*D108+7617)*(10^(-4))/D101</f>
        <v>1.1540909090909091</v>
      </c>
      <c r="E109" s="1584">
        <f>(-0.161*(E108^2)-7.509*E108+6533)*(10^(-4))/E101</f>
        <v>0.98984848484848476</v>
      </c>
      <c r="F109" s="1584">
        <f>(-0.161*(F108^2)-7.509*F108+6533)*(10^(-4))/F101</f>
        <v>0.98984848484848476</v>
      </c>
      <c r="G109" s="1584">
        <f>(-0.161*(G108^2)-7.509*G108+6533)*(10^(-4))/G101</f>
        <v>0.98984848484848476</v>
      </c>
      <c r="H109" s="1584">
        <f>(-0.161*(H108^2)-7.509*H108+6533)*(10^(-4))/H101</f>
        <v>0.98984848484848476</v>
      </c>
      <c r="I109" s="1584">
        <f>(-0.161*(I108^2)-7.509*I108+6533)*(10^(-4))/I101</f>
        <v>0.98984848484848476</v>
      </c>
      <c r="J109" s="1584">
        <f>(-0.214*(J108^2)-21.991*J108+4665)*(10^(-4))/J101</f>
        <v>0.70681818181818179</v>
      </c>
      <c r="K109" s="1584">
        <f>(-0.214*(K108^2)-21.991*K108+4665)*(10^(-4))/K101</f>
        <v>0.70681818181818179</v>
      </c>
      <c r="L109" s="1584">
        <f>(-0.214*(L108^2)-21.991*L108+4665)*(10^(-4))/L101</f>
        <v>0.70681818181818179</v>
      </c>
      <c r="M109" s="1584">
        <f>(-0.214*(M108^2)-21.991*M108+4665)*(10^(-4))/M101</f>
        <v>0.70681818181818179</v>
      </c>
      <c r="N109" s="1584">
        <f>(-0.214*(N108^2)-21.991*N108+4665)*(10^(-4))/N101</f>
        <v>0.70681818181818179</v>
      </c>
    </row>
    <row r="110" spans="1:14">
      <c r="A110" s="3751" t="s">
        <v>1770</v>
      </c>
      <c r="B110" s="3751"/>
      <c r="C110" s="3751"/>
      <c r="D110" s="3751"/>
      <c r="E110" s="3751"/>
      <c r="F110" s="3751"/>
      <c r="G110" s="3751"/>
      <c r="H110" s="3751"/>
      <c r="I110" s="3751"/>
      <c r="J110" s="3751"/>
      <c r="K110" s="2599"/>
      <c r="L110" s="2599"/>
      <c r="M110" s="2599"/>
      <c r="N110" s="2599"/>
    </row>
    <row r="112" spans="1:14" ht="12.75" thickBot="1"/>
    <row r="113" spans="1:13" ht="25.5" thickBot="1">
      <c r="A113" s="1594" t="s">
        <v>1772</v>
      </c>
      <c r="B113" s="2602">
        <f>G3</f>
        <v>0.66</v>
      </c>
      <c r="C113" s="1595" t="s">
        <v>1773</v>
      </c>
      <c r="D113" s="1596">
        <f>SUMPRODUCT((A115:A118=F113)*(B114:M114=H113)*B115:M118)</f>
        <v>0</v>
      </c>
      <c r="E113" s="1597" t="s">
        <v>68</v>
      </c>
      <c r="F113" s="1598">
        <f>E2</f>
        <v>0</v>
      </c>
      <c r="G113" s="1597" t="s">
        <v>1562</v>
      </c>
      <c r="H113" s="1598">
        <f>G2</f>
        <v>0</v>
      </c>
      <c r="I113" s="1597"/>
      <c r="J113" s="1589"/>
      <c r="K113" s="1589"/>
      <c r="L113" s="1589"/>
      <c r="M113" s="1589"/>
    </row>
    <row r="114" spans="1:13" ht="12.75">
      <c r="A114" s="1601"/>
      <c r="B114" s="1602" t="s">
        <v>164</v>
      </c>
      <c r="C114" s="1602" t="s">
        <v>165</v>
      </c>
      <c r="D114" s="1602" t="s">
        <v>160</v>
      </c>
      <c r="E114" s="1603" t="s">
        <v>161</v>
      </c>
      <c r="F114" s="1603" t="s">
        <v>162</v>
      </c>
      <c r="G114" s="1603" t="s">
        <v>163</v>
      </c>
      <c r="H114" s="1604" t="s">
        <v>1179</v>
      </c>
      <c r="I114" s="1604" t="s">
        <v>1180</v>
      </c>
      <c r="J114" s="1605" t="s">
        <v>1181</v>
      </c>
      <c r="K114" s="1605" t="s">
        <v>1182</v>
      </c>
      <c r="L114" s="1605" t="s">
        <v>1183</v>
      </c>
      <c r="M114" s="1606" t="s">
        <v>1184</v>
      </c>
    </row>
    <row r="115" spans="1:13" ht="12.75">
      <c r="A115" s="1607" t="s">
        <v>1774</v>
      </c>
      <c r="B115" s="1608">
        <f>ROUND(0.9335-0.0094*B113,4)</f>
        <v>0.92730000000000001</v>
      </c>
      <c r="C115" s="1608">
        <f>B115</f>
        <v>0.92730000000000001</v>
      </c>
      <c r="D115" s="1608">
        <f>ROUND(0.8331-0.0109*B113,4)</f>
        <v>0.82589999999999997</v>
      </c>
      <c r="E115" s="1608">
        <f>D115</f>
        <v>0.82589999999999997</v>
      </c>
      <c r="F115" s="1608">
        <f>E115</f>
        <v>0.82589999999999997</v>
      </c>
      <c r="G115" s="1608">
        <f>F115</f>
        <v>0.82589999999999997</v>
      </c>
      <c r="H115" s="1608">
        <f>G115</f>
        <v>0.82589999999999997</v>
      </c>
      <c r="I115" s="1608">
        <f>ROUND(0.689-0.0155*B113,4)</f>
        <v>0.67879999999999996</v>
      </c>
      <c r="J115" s="1608">
        <f t="shared" ref="J115:M118" si="33">I115</f>
        <v>0.67879999999999996</v>
      </c>
      <c r="K115" s="1608">
        <f t="shared" si="33"/>
        <v>0.67879999999999996</v>
      </c>
      <c r="L115" s="1608">
        <f t="shared" si="33"/>
        <v>0.67879999999999996</v>
      </c>
      <c r="M115" s="1609">
        <f t="shared" si="33"/>
        <v>0.67879999999999996</v>
      </c>
    </row>
    <row r="116" spans="1:13" ht="12.75">
      <c r="A116" s="1607" t="s">
        <v>1775</v>
      </c>
      <c r="B116" s="1608">
        <f>ROUND(0.949-0.012*B113,4)</f>
        <v>0.94110000000000005</v>
      </c>
      <c r="C116" s="1608">
        <f>B116</f>
        <v>0.94110000000000005</v>
      </c>
      <c r="D116" s="1608">
        <f>ROUND(0.8567-0.013*B113,4)</f>
        <v>0.84809999999999997</v>
      </c>
      <c r="E116" s="1608">
        <f t="shared" ref="E116:H117" si="34">D116</f>
        <v>0.84809999999999997</v>
      </c>
      <c r="F116" s="1608">
        <f t="shared" si="34"/>
        <v>0.84809999999999997</v>
      </c>
      <c r="G116" s="1608">
        <f t="shared" si="34"/>
        <v>0.84809999999999997</v>
      </c>
      <c r="H116" s="1608">
        <f t="shared" si="34"/>
        <v>0.84809999999999997</v>
      </c>
      <c r="I116" s="1608">
        <f>ROUND(0.7694-0.014*B113,4)</f>
        <v>0.76019999999999999</v>
      </c>
      <c r="J116" s="1608">
        <f t="shared" si="33"/>
        <v>0.76019999999999999</v>
      </c>
      <c r="K116" s="1608">
        <f t="shared" si="33"/>
        <v>0.76019999999999999</v>
      </c>
      <c r="L116" s="1608">
        <f t="shared" si="33"/>
        <v>0.76019999999999999</v>
      </c>
      <c r="M116" s="1609">
        <f t="shared" si="33"/>
        <v>0.76019999999999999</v>
      </c>
    </row>
    <row r="117" spans="1:13" ht="12.75">
      <c r="A117" s="1610" t="s">
        <v>980</v>
      </c>
      <c r="B117" s="1608">
        <f>ROUND(0.8808-0.006*B113,4)</f>
        <v>0.87680000000000002</v>
      </c>
      <c r="C117" s="1608">
        <f>B117</f>
        <v>0.87680000000000002</v>
      </c>
      <c r="D117" s="1608">
        <f>ROUND(0.8748-0.008*B113,4)</f>
        <v>0.86950000000000005</v>
      </c>
      <c r="E117" s="1608">
        <f t="shared" si="34"/>
        <v>0.86950000000000005</v>
      </c>
      <c r="F117" s="1608">
        <f t="shared" si="34"/>
        <v>0.86950000000000005</v>
      </c>
      <c r="G117" s="1608">
        <f t="shared" si="34"/>
        <v>0.86950000000000005</v>
      </c>
      <c r="H117" s="1608">
        <f t="shared" si="34"/>
        <v>0.86950000000000005</v>
      </c>
      <c r="I117" s="1608">
        <f>ROUND(0.7412-0.0095*B113,4)</f>
        <v>0.7349</v>
      </c>
      <c r="J117" s="1608">
        <f t="shared" si="33"/>
        <v>0.7349</v>
      </c>
      <c r="K117" s="1608">
        <f t="shared" si="33"/>
        <v>0.7349</v>
      </c>
      <c r="L117" s="1608">
        <f t="shared" si="33"/>
        <v>0.7349</v>
      </c>
      <c r="M117" s="1609">
        <f t="shared" si="33"/>
        <v>0.7349</v>
      </c>
    </row>
    <row r="118" spans="1:13" ht="13.5" thickBot="1">
      <c r="A118" s="1122" t="s">
        <v>1776</v>
      </c>
      <c r="B118" s="1611">
        <f>ROUND(0.7275-0.01*B113,4)</f>
        <v>0.72089999999999999</v>
      </c>
      <c r="C118" s="1611">
        <f>B118</f>
        <v>0.72089999999999999</v>
      </c>
      <c r="D118" s="1611">
        <f>ROUND(0.7043-0.012*B113,4)</f>
        <v>0.69640000000000002</v>
      </c>
      <c r="E118" s="1611">
        <f>D118</f>
        <v>0.69640000000000002</v>
      </c>
      <c r="F118" s="1611">
        <f>E118</f>
        <v>0.69640000000000002</v>
      </c>
      <c r="G118" s="1611">
        <f>ROUND(0.6299-0.0122*B113,4)</f>
        <v>0.62180000000000002</v>
      </c>
      <c r="H118" s="1611">
        <f>G118</f>
        <v>0.62180000000000002</v>
      </c>
      <c r="I118" s="1611">
        <f>ROUND(0.5667-0.0136*B113,4)</f>
        <v>0.55769999999999997</v>
      </c>
      <c r="J118" s="1611">
        <f t="shared" si="33"/>
        <v>0.55769999999999997</v>
      </c>
      <c r="K118" s="1611">
        <f t="shared" si="33"/>
        <v>0.55769999999999997</v>
      </c>
      <c r="L118" s="1611">
        <f t="shared" si="33"/>
        <v>0.55769999999999997</v>
      </c>
      <c r="M118" s="1612">
        <f t="shared" si="33"/>
        <v>0.55769999999999997</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88" customWidth="1"/>
    <col min="2" max="9" width="8.25" style="1560" customWidth="1"/>
    <col min="10" max="13" width="8.25" style="1488"/>
    <col min="14" max="14" width="10" style="1488" customWidth="1"/>
    <col min="15" max="16" width="8.25" style="1488"/>
    <col min="17" max="17" width="34.125" style="1488" customWidth="1"/>
    <col min="18" max="18" width="8.25" style="1488" customWidth="1"/>
    <col min="19" max="19" width="8.25" style="1488"/>
    <col min="20" max="20" width="11.625" style="1488" customWidth="1"/>
    <col min="21" max="16384" width="8.25" style="1488"/>
  </cols>
  <sheetData>
    <row r="1" spans="1:13" ht="19.5" customHeight="1" thickBot="1">
      <c r="A1" s="1538" t="s">
        <v>1562</v>
      </c>
      <c r="B1" s="1513" t="s">
        <v>1173</v>
      </c>
      <c r="C1" s="1513" t="s">
        <v>1174</v>
      </c>
      <c r="D1" s="1513" t="s">
        <v>1175</v>
      </c>
      <c r="E1" s="1513" t="s">
        <v>1176</v>
      </c>
      <c r="F1" s="1513" t="s">
        <v>1177</v>
      </c>
      <c r="G1" s="1513" t="s">
        <v>1178</v>
      </c>
      <c r="H1" s="1513" t="s">
        <v>1179</v>
      </c>
      <c r="I1" s="1513" t="s">
        <v>1180</v>
      </c>
      <c r="J1" s="1513" t="s">
        <v>1181</v>
      </c>
      <c r="K1" s="1513" t="s">
        <v>1182</v>
      </c>
      <c r="L1" s="1513" t="s">
        <v>1183</v>
      </c>
      <c r="M1" s="1514" t="s">
        <v>1184</v>
      </c>
    </row>
    <row r="2" spans="1:13" ht="19.5" customHeight="1">
      <c r="A2" s="1539" t="s">
        <v>1199</v>
      </c>
      <c r="B2" s="1540">
        <v>3.5</v>
      </c>
      <c r="C2" s="1540">
        <v>3.5</v>
      </c>
      <c r="D2" s="1541">
        <v>2.5</v>
      </c>
      <c r="E2" s="1541">
        <v>2.5</v>
      </c>
      <c r="F2" s="1541">
        <v>2.5</v>
      </c>
      <c r="G2" s="1541">
        <v>2.5</v>
      </c>
      <c r="H2" s="1541">
        <v>2.5</v>
      </c>
      <c r="I2" s="1540">
        <v>2</v>
      </c>
      <c r="J2" s="1540">
        <v>2</v>
      </c>
      <c r="K2" s="1540">
        <v>2</v>
      </c>
      <c r="L2" s="1540">
        <v>2</v>
      </c>
      <c r="M2" s="1542">
        <v>2</v>
      </c>
    </row>
    <row r="3" spans="1:13" ht="19.5" customHeight="1">
      <c r="A3" s="1543" t="s">
        <v>1200</v>
      </c>
      <c r="B3" s="1544">
        <v>3.5</v>
      </c>
      <c r="C3" s="1544">
        <v>3.5</v>
      </c>
      <c r="D3" s="1545">
        <v>2.5</v>
      </c>
      <c r="E3" s="1545">
        <v>2.5</v>
      </c>
      <c r="F3" s="1545">
        <v>2.5</v>
      </c>
      <c r="G3" s="1545">
        <v>2.5</v>
      </c>
      <c r="H3" s="1545">
        <v>2.5</v>
      </c>
      <c r="I3" s="1544">
        <v>2</v>
      </c>
      <c r="J3" s="1544">
        <v>2</v>
      </c>
      <c r="K3" s="1544">
        <v>2</v>
      </c>
      <c r="L3" s="1544">
        <v>2</v>
      </c>
      <c r="M3" s="1546">
        <v>2</v>
      </c>
    </row>
    <row r="4" spans="1:13" ht="19.5" customHeight="1">
      <c r="A4" s="1543" t="s">
        <v>1849</v>
      </c>
      <c r="B4" s="1545">
        <v>2.5</v>
      </c>
      <c r="C4" s="1545">
        <v>2.5</v>
      </c>
      <c r="D4" s="1545">
        <v>2.5</v>
      </c>
      <c r="E4" s="1545">
        <v>2.5</v>
      </c>
      <c r="F4" s="1545">
        <v>2.5</v>
      </c>
      <c r="G4" s="1545">
        <v>2.5</v>
      </c>
      <c r="H4" s="1545">
        <v>2.5</v>
      </c>
      <c r="I4" s="1544">
        <v>1.5</v>
      </c>
      <c r="J4" s="1544">
        <v>1.5</v>
      </c>
      <c r="K4" s="1544">
        <v>1.5</v>
      </c>
      <c r="L4" s="1544">
        <v>1.5</v>
      </c>
      <c r="M4" s="1546">
        <v>1.5</v>
      </c>
    </row>
    <row r="5" spans="1:13" ht="19.5" customHeight="1" thickBot="1">
      <c r="A5" s="1547" t="s">
        <v>1202</v>
      </c>
      <c r="B5" s="1548">
        <v>1.5</v>
      </c>
      <c r="C5" s="1548">
        <v>1.5</v>
      </c>
      <c r="D5" s="1548">
        <v>1.5</v>
      </c>
      <c r="E5" s="1548">
        <v>1.5</v>
      </c>
      <c r="F5" s="1548">
        <v>1.5</v>
      </c>
      <c r="G5" s="1549">
        <v>1.2</v>
      </c>
      <c r="H5" s="1549">
        <v>1.2</v>
      </c>
      <c r="I5" s="1549">
        <v>1</v>
      </c>
      <c r="J5" s="1549">
        <v>1</v>
      </c>
      <c r="K5" s="1549">
        <v>1</v>
      </c>
      <c r="L5" s="1549">
        <v>1</v>
      </c>
      <c r="M5" s="1550">
        <v>1</v>
      </c>
    </row>
    <row r="6" spans="1:13" ht="19.5" customHeight="1">
      <c r="A6" s="1551" t="s">
        <v>1563</v>
      </c>
      <c r="B6" s="1552">
        <v>80</v>
      </c>
      <c r="C6" s="1552">
        <v>80</v>
      </c>
      <c r="D6" s="1552">
        <v>65</v>
      </c>
      <c r="E6" s="1552">
        <v>65</v>
      </c>
      <c r="F6" s="1552">
        <v>65</v>
      </c>
      <c r="G6" s="1552">
        <v>65</v>
      </c>
      <c r="H6" s="1552">
        <v>65</v>
      </c>
      <c r="I6" s="1552">
        <v>50</v>
      </c>
      <c r="J6" s="1552">
        <v>50</v>
      </c>
      <c r="K6" s="1552">
        <v>50</v>
      </c>
      <c r="L6" s="1552">
        <v>50</v>
      </c>
      <c r="M6" s="1553">
        <v>50</v>
      </c>
    </row>
    <row r="7" spans="1:13" ht="19.5" customHeight="1">
      <c r="A7" s="1489" t="s">
        <v>1564</v>
      </c>
      <c r="B7" s="1490">
        <v>70</v>
      </c>
      <c r="C7" s="1490">
        <v>70</v>
      </c>
      <c r="D7" s="1490">
        <v>55</v>
      </c>
      <c r="E7" s="1490">
        <v>55</v>
      </c>
      <c r="F7" s="1490">
        <v>55</v>
      </c>
      <c r="G7" s="1490">
        <v>55</v>
      </c>
      <c r="H7" s="1490">
        <v>55</v>
      </c>
      <c r="I7" s="1490">
        <v>40</v>
      </c>
      <c r="J7" s="1490">
        <v>40</v>
      </c>
      <c r="K7" s="1490">
        <v>40</v>
      </c>
      <c r="L7" s="1490">
        <v>40</v>
      </c>
      <c r="M7" s="1554">
        <v>40</v>
      </c>
    </row>
    <row r="8" spans="1:13" ht="19.5" customHeight="1">
      <c r="A8" s="1489" t="s">
        <v>1565</v>
      </c>
      <c r="B8" s="1490">
        <v>20</v>
      </c>
      <c r="C8" s="1490">
        <v>20</v>
      </c>
      <c r="D8" s="1490">
        <v>15</v>
      </c>
      <c r="E8" s="1490">
        <v>15</v>
      </c>
      <c r="F8" s="1490">
        <v>15</v>
      </c>
      <c r="G8" s="1490">
        <v>15</v>
      </c>
      <c r="H8" s="1490">
        <v>15</v>
      </c>
      <c r="I8" s="1490">
        <v>10</v>
      </c>
      <c r="J8" s="1490">
        <v>10</v>
      </c>
      <c r="K8" s="1490">
        <v>10</v>
      </c>
      <c r="L8" s="1490">
        <v>10</v>
      </c>
      <c r="M8" s="1554">
        <v>10</v>
      </c>
    </row>
    <row r="9" spans="1:13" ht="19.5" customHeight="1">
      <c r="A9" s="1489" t="s">
        <v>1566</v>
      </c>
      <c r="B9" s="1490">
        <v>30</v>
      </c>
      <c r="C9" s="1490">
        <v>30</v>
      </c>
      <c r="D9" s="1490">
        <v>25</v>
      </c>
      <c r="E9" s="1490">
        <v>25</v>
      </c>
      <c r="F9" s="1490">
        <v>25</v>
      </c>
      <c r="G9" s="1490">
        <v>25</v>
      </c>
      <c r="H9" s="1490">
        <v>25</v>
      </c>
      <c r="I9" s="1490">
        <v>20</v>
      </c>
      <c r="J9" s="1490">
        <v>20</v>
      </c>
      <c r="K9" s="1490">
        <v>20</v>
      </c>
      <c r="L9" s="1490">
        <v>20</v>
      </c>
      <c r="M9" s="1554">
        <v>20</v>
      </c>
    </row>
    <row r="10" spans="1:13" ht="19.5" customHeight="1">
      <c r="A10" s="1489" t="s">
        <v>1567</v>
      </c>
      <c r="B10" s="1490">
        <v>45</v>
      </c>
      <c r="C10" s="1490">
        <v>45</v>
      </c>
      <c r="D10" s="1490">
        <v>35</v>
      </c>
      <c r="E10" s="1490">
        <v>35</v>
      </c>
      <c r="F10" s="1490">
        <v>35</v>
      </c>
      <c r="G10" s="1490">
        <v>35</v>
      </c>
      <c r="H10" s="1490">
        <v>35</v>
      </c>
      <c r="I10" s="1490">
        <v>25</v>
      </c>
      <c r="J10" s="1490">
        <v>25</v>
      </c>
      <c r="K10" s="1490">
        <v>25</v>
      </c>
      <c r="L10" s="1490">
        <v>25</v>
      </c>
      <c r="M10" s="1554">
        <v>25</v>
      </c>
    </row>
    <row r="11" spans="1:13" ht="19.5" customHeight="1">
      <c r="A11" s="1489" t="s">
        <v>1568</v>
      </c>
      <c r="B11" s="1490">
        <v>60</v>
      </c>
      <c r="C11" s="1490">
        <v>60</v>
      </c>
      <c r="D11" s="1490">
        <v>50</v>
      </c>
      <c r="E11" s="1490">
        <v>50</v>
      </c>
      <c r="F11" s="1490">
        <v>50</v>
      </c>
      <c r="G11" s="1490">
        <v>50</v>
      </c>
      <c r="H11" s="1490">
        <v>50</v>
      </c>
      <c r="I11" s="1490">
        <v>40</v>
      </c>
      <c r="J11" s="1490">
        <v>40</v>
      </c>
      <c r="K11" s="1490">
        <v>40</v>
      </c>
      <c r="L11" s="1490">
        <v>40</v>
      </c>
      <c r="M11" s="1554">
        <v>40</v>
      </c>
    </row>
    <row r="12" spans="1:13" ht="19.5" customHeight="1">
      <c r="A12" s="1489" t="s">
        <v>1569</v>
      </c>
      <c r="B12" s="1490">
        <v>50</v>
      </c>
      <c r="C12" s="1490">
        <v>50</v>
      </c>
      <c r="D12" s="1490">
        <v>40</v>
      </c>
      <c r="E12" s="1490">
        <v>40</v>
      </c>
      <c r="F12" s="1490">
        <v>40</v>
      </c>
      <c r="G12" s="1490">
        <v>40</v>
      </c>
      <c r="H12" s="1490">
        <v>40</v>
      </c>
      <c r="I12" s="1490">
        <v>30</v>
      </c>
      <c r="J12" s="1490">
        <v>30</v>
      </c>
      <c r="K12" s="1490">
        <v>30</v>
      </c>
      <c r="L12" s="1490">
        <v>30</v>
      </c>
      <c r="M12" s="1554">
        <v>30</v>
      </c>
    </row>
    <row r="13" spans="1:13" ht="19.5" customHeight="1">
      <c r="A13" s="1555" t="s">
        <v>1570</v>
      </c>
      <c r="B13" s="1501">
        <v>20</v>
      </c>
      <c r="C13" s="1501">
        <v>20</v>
      </c>
      <c r="D13" s="1501">
        <v>15</v>
      </c>
      <c r="E13" s="1501">
        <v>15</v>
      </c>
      <c r="F13" s="1501">
        <v>15</v>
      </c>
      <c r="G13" s="1501">
        <v>15</v>
      </c>
      <c r="H13" s="1501">
        <v>15</v>
      </c>
      <c r="I13" s="1501">
        <v>10</v>
      </c>
      <c r="J13" s="1501">
        <v>10</v>
      </c>
      <c r="K13" s="1501">
        <v>10</v>
      </c>
      <c r="L13" s="1501">
        <v>10</v>
      </c>
      <c r="M13" s="1556">
        <v>10</v>
      </c>
    </row>
    <row r="14" spans="1:13" ht="19.5" customHeight="1">
      <c r="A14" s="1490" t="s">
        <v>1571</v>
      </c>
      <c r="B14" s="1557">
        <v>0</v>
      </c>
      <c r="C14" s="1557">
        <v>0</v>
      </c>
      <c r="D14" s="1557">
        <v>0</v>
      </c>
      <c r="E14" s="1557">
        <v>0</v>
      </c>
      <c r="F14" s="1557">
        <v>0</v>
      </c>
      <c r="G14" s="1557">
        <v>0</v>
      </c>
      <c r="H14" s="1557">
        <v>0</v>
      </c>
      <c r="I14" s="1557">
        <v>0</v>
      </c>
      <c r="J14" s="1557">
        <v>0</v>
      </c>
      <c r="K14" s="1557">
        <v>0</v>
      </c>
      <c r="L14" s="1557">
        <v>0</v>
      </c>
      <c r="M14" s="1557">
        <v>0</v>
      </c>
    </row>
    <row r="16" spans="1:13" ht="19.5" customHeight="1">
      <c r="A16" s="1558" t="s">
        <v>1572</v>
      </c>
      <c r="B16" s="1558"/>
      <c r="C16" s="1559"/>
      <c r="D16" s="1559"/>
      <c r="E16" s="1558"/>
      <c r="F16" s="1559"/>
      <c r="G16" s="1559"/>
    </row>
    <row r="17" spans="1:9" ht="19.5" customHeight="1">
      <c r="A17" s="1490" t="s">
        <v>1573</v>
      </c>
      <c r="B17" s="1561" t="s">
        <v>1574</v>
      </c>
      <c r="C17" s="1743" t="s">
        <v>1872</v>
      </c>
      <c r="D17" s="1562"/>
      <c r="E17" s="1490" t="s">
        <v>1575</v>
      </c>
      <c r="F17" s="1563"/>
      <c r="G17" s="1563"/>
    </row>
    <row r="18" spans="1:9" s="1569" customFormat="1" ht="19.5" customHeight="1">
      <c r="A18" s="3752" t="s">
        <v>1199</v>
      </c>
      <c r="B18" s="1564" t="s">
        <v>1576</v>
      </c>
      <c r="C18" s="1565" t="s">
        <v>1577</v>
      </c>
      <c r="D18" s="1566"/>
      <c r="E18" s="1564">
        <v>1</v>
      </c>
      <c r="F18" s="1567" t="s">
        <v>1578</v>
      </c>
      <c r="G18" s="1568"/>
      <c r="H18" s="1560"/>
      <c r="I18" s="1560"/>
    </row>
    <row r="19" spans="1:9" s="1569" customFormat="1" ht="19.5" customHeight="1">
      <c r="A19" s="3752"/>
      <c r="B19" s="3752" t="s">
        <v>1579</v>
      </c>
      <c r="C19" s="1565" t="s">
        <v>1580</v>
      </c>
      <c r="D19" s="1566"/>
      <c r="E19" s="1564">
        <v>0.9</v>
      </c>
      <c r="F19" s="1567" t="s">
        <v>1581</v>
      </c>
      <c r="G19" s="1568"/>
      <c r="H19" s="1560"/>
      <c r="I19" s="1560"/>
    </row>
    <row r="20" spans="1:9" s="1569" customFormat="1" ht="19.5" customHeight="1">
      <c r="A20" s="3752"/>
      <c r="B20" s="3752"/>
      <c r="C20" s="1565" t="s">
        <v>1582</v>
      </c>
      <c r="D20" s="1566"/>
      <c r="E20" s="1564">
        <v>1.1000000000000001</v>
      </c>
      <c r="F20" s="1567" t="s">
        <v>1583</v>
      </c>
      <c r="G20" s="1568"/>
      <c r="H20" s="1560"/>
      <c r="I20" s="1560"/>
    </row>
    <row r="21" spans="1:9" s="1569" customFormat="1" ht="19.5" customHeight="1">
      <c r="A21" s="3752"/>
      <c r="B21" s="3752"/>
      <c r="C21" s="1565" t="s">
        <v>1584</v>
      </c>
      <c r="D21" s="1566"/>
      <c r="E21" s="1564">
        <v>0.8</v>
      </c>
      <c r="F21" s="1567" t="s">
        <v>1585</v>
      </c>
      <c r="G21" s="1568"/>
      <c r="H21" s="1560"/>
      <c r="I21" s="1560"/>
    </row>
    <row r="22" spans="1:9" s="1569" customFormat="1" ht="19.5" customHeight="1">
      <c r="A22" s="3752"/>
      <c r="B22" s="3752"/>
      <c r="C22" s="1565" t="s">
        <v>1586</v>
      </c>
      <c r="D22" s="1566"/>
      <c r="E22" s="1564">
        <v>0.5</v>
      </c>
      <c r="F22" s="1567"/>
      <c r="G22" s="1568"/>
      <c r="H22" s="1560"/>
      <c r="I22" s="1560"/>
    </row>
    <row r="23" spans="1:9" s="1569" customFormat="1" ht="19.5" customHeight="1">
      <c r="A23" s="3752" t="s">
        <v>1200</v>
      </c>
      <c r="B23" s="1564" t="s">
        <v>1576</v>
      </c>
      <c r="C23" s="1565" t="s">
        <v>1587</v>
      </c>
      <c r="D23" s="1566"/>
      <c r="E23" s="1564">
        <v>1</v>
      </c>
      <c r="F23" s="1567" t="s">
        <v>1588</v>
      </c>
      <c r="G23" s="1568"/>
      <c r="H23" s="1560"/>
      <c r="I23" s="1560"/>
    </row>
    <row r="24" spans="1:9" s="1569" customFormat="1" ht="19.5" customHeight="1">
      <c r="A24" s="3752"/>
      <c r="B24" s="3752" t="s">
        <v>1579</v>
      </c>
      <c r="C24" s="1565" t="s">
        <v>1589</v>
      </c>
      <c r="D24" s="1566"/>
      <c r="E24" s="1564">
        <v>0.5</v>
      </c>
      <c r="F24" s="1567"/>
      <c r="G24" s="1568"/>
      <c r="H24" s="1560"/>
      <c r="I24" s="1560"/>
    </row>
    <row r="25" spans="1:9" s="1569" customFormat="1" ht="19.5" customHeight="1">
      <c r="A25" s="3752"/>
      <c r="B25" s="3752"/>
      <c r="C25" s="1565" t="s">
        <v>1590</v>
      </c>
      <c r="D25" s="1566"/>
      <c r="E25" s="1564">
        <v>1.1000000000000001</v>
      </c>
      <c r="F25" s="1567"/>
      <c r="G25" s="1568"/>
      <c r="H25" s="1560"/>
      <c r="I25" s="1560"/>
    </row>
    <row r="26" spans="1:9" s="1569" customFormat="1" ht="19.5" customHeight="1">
      <c r="A26" s="3752"/>
      <c r="B26" s="3752"/>
      <c r="C26" s="1565" t="s">
        <v>1591</v>
      </c>
      <c r="D26" s="1566"/>
      <c r="E26" s="1564">
        <v>1.1000000000000001</v>
      </c>
      <c r="F26" s="1567"/>
      <c r="G26" s="1568"/>
      <c r="H26" s="1560"/>
      <c r="I26" s="1560"/>
    </row>
    <row r="27" spans="1:9" s="1569" customFormat="1" ht="19.5" customHeight="1">
      <c r="A27" s="3752"/>
      <c r="B27" s="3752"/>
      <c r="C27" s="1565" t="s">
        <v>1592</v>
      </c>
      <c r="D27" s="1566"/>
      <c r="E27" s="1564">
        <v>0.9</v>
      </c>
      <c r="F27" s="1567" t="s">
        <v>1593</v>
      </c>
      <c r="G27" s="1568"/>
      <c r="H27" s="1560"/>
      <c r="I27" s="1560"/>
    </row>
    <row r="28" spans="1:9" s="1569" customFormat="1" ht="19.5" customHeight="1">
      <c r="A28" s="3752"/>
      <c r="B28" s="3752"/>
      <c r="C28" s="1565" t="s">
        <v>1594</v>
      </c>
      <c r="D28" s="1566"/>
      <c r="E28" s="1564">
        <v>0.9</v>
      </c>
      <c r="F28" s="1567" t="s">
        <v>1595</v>
      </c>
      <c r="G28" s="1568"/>
      <c r="H28" s="1560"/>
      <c r="I28" s="1560"/>
    </row>
    <row r="29" spans="1:9" s="1569" customFormat="1" ht="19.5" customHeight="1">
      <c r="A29" s="3752"/>
      <c r="B29" s="3752"/>
      <c r="C29" s="1565" t="s">
        <v>1596</v>
      </c>
      <c r="D29" s="1566"/>
      <c r="E29" s="1564">
        <v>0.9</v>
      </c>
      <c r="F29" s="1567" t="s">
        <v>1597</v>
      </c>
      <c r="G29" s="1568"/>
      <c r="H29" s="1560"/>
      <c r="I29" s="1560"/>
    </row>
    <row r="30" spans="1:9" s="1569" customFormat="1" ht="19.5" customHeight="1">
      <c r="A30" s="3752"/>
      <c r="B30" s="3752"/>
      <c r="C30" s="1565" t="s">
        <v>1598</v>
      </c>
      <c r="D30" s="1566"/>
      <c r="E30" s="1564">
        <v>0.9</v>
      </c>
      <c r="F30" s="1567" t="s">
        <v>1599</v>
      </c>
      <c r="G30" s="1568"/>
      <c r="H30" s="1560"/>
      <c r="I30" s="1560"/>
    </row>
    <row r="31" spans="1:9" s="1569" customFormat="1" ht="19.5" customHeight="1">
      <c r="A31" s="3752"/>
      <c r="B31" s="3752"/>
      <c r="C31" s="1565" t="s">
        <v>1600</v>
      </c>
      <c r="D31" s="1566"/>
      <c r="E31" s="1564">
        <v>0.8</v>
      </c>
      <c r="F31" s="1567" t="s">
        <v>1601</v>
      </c>
      <c r="G31" s="1568"/>
      <c r="H31" s="1560"/>
      <c r="I31" s="1560"/>
    </row>
    <row r="32" spans="1:9" s="1569" customFormat="1" ht="19.5" customHeight="1">
      <c r="A32" s="3752"/>
      <c r="B32" s="3752"/>
      <c r="C32" s="1565" t="s">
        <v>1602</v>
      </c>
      <c r="D32" s="1566"/>
      <c r="E32" s="1564">
        <v>0.8</v>
      </c>
      <c r="F32" s="1567" t="s">
        <v>1603</v>
      </c>
      <c r="G32" s="1568"/>
      <c r="H32" s="1560"/>
      <c r="I32" s="1560"/>
    </row>
    <row r="33" spans="1:9" s="1569" customFormat="1" ht="19.5" customHeight="1">
      <c r="A33" s="3752" t="s">
        <v>1201</v>
      </c>
      <c r="B33" s="1564" t="s">
        <v>1576</v>
      </c>
      <c r="C33" s="1565" t="s">
        <v>1604</v>
      </c>
      <c r="D33" s="1566"/>
      <c r="E33" s="1564">
        <v>1</v>
      </c>
      <c r="F33" s="1567" t="s">
        <v>1605</v>
      </c>
      <c r="G33" s="1568"/>
      <c r="H33" s="1560"/>
      <c r="I33" s="1560"/>
    </row>
    <row r="34" spans="1:9" s="1569" customFormat="1" ht="19.5" customHeight="1">
      <c r="A34" s="3752"/>
      <c r="B34" s="1564" t="s">
        <v>1579</v>
      </c>
      <c r="C34" s="1565" t="s">
        <v>1606</v>
      </c>
      <c r="D34" s="1566"/>
      <c r="E34" s="1564">
        <v>1.5</v>
      </c>
      <c r="F34" s="1567" t="s">
        <v>1607</v>
      </c>
      <c r="G34" s="1568"/>
      <c r="H34" s="1560"/>
      <c r="I34" s="1560"/>
    </row>
    <row r="35" spans="1:9" s="1569" customFormat="1" ht="19.5" customHeight="1">
      <c r="A35" s="3752" t="s">
        <v>1202</v>
      </c>
      <c r="B35" s="1564" t="s">
        <v>1576</v>
      </c>
      <c r="C35" s="1565" t="s">
        <v>1608</v>
      </c>
      <c r="D35" s="1566"/>
      <c r="E35" s="1564">
        <v>1</v>
      </c>
      <c r="F35" s="1567" t="s">
        <v>1609</v>
      </c>
      <c r="G35" s="1568"/>
      <c r="H35" s="1560"/>
      <c r="I35" s="1560"/>
    </row>
    <row r="36" spans="1:9" s="1569" customFormat="1" ht="19.5" customHeight="1">
      <c r="A36" s="3752"/>
      <c r="B36" s="3752" t="s">
        <v>1579</v>
      </c>
      <c r="C36" s="1565" t="s">
        <v>1610</v>
      </c>
      <c r="D36" s="1566"/>
      <c r="E36" s="1564">
        <v>1</v>
      </c>
      <c r="F36" s="1567" t="s">
        <v>1611</v>
      </c>
      <c r="G36" s="1568"/>
      <c r="H36" s="1560"/>
      <c r="I36" s="1560"/>
    </row>
    <row r="37" spans="1:9" s="1569" customFormat="1" ht="19.5" customHeight="1">
      <c r="A37" s="3752"/>
      <c r="B37" s="3752"/>
      <c r="C37" s="1565" t="s">
        <v>1612</v>
      </c>
      <c r="D37" s="1566"/>
      <c r="E37" s="1564">
        <v>1.5</v>
      </c>
      <c r="F37" s="1567" t="s">
        <v>1613</v>
      </c>
      <c r="G37" s="1568"/>
      <c r="H37" s="1560"/>
      <c r="I37" s="1560"/>
    </row>
    <row r="38" spans="1:9" s="1569" customFormat="1" ht="19.5" customHeight="1">
      <c r="A38" s="3752"/>
      <c r="B38" s="3752"/>
      <c r="C38" s="1565" t="s">
        <v>1614</v>
      </c>
      <c r="D38" s="1566"/>
      <c r="E38" s="1564">
        <v>1</v>
      </c>
      <c r="F38" s="1567" t="s">
        <v>1615</v>
      </c>
      <c r="G38" s="1568"/>
      <c r="H38" s="1560"/>
      <c r="I38" s="1560"/>
    </row>
    <row r="39" spans="1:9" s="1569" customFormat="1" ht="19.5" customHeight="1">
      <c r="A39" s="3752"/>
      <c r="B39" s="3752"/>
      <c r="C39" s="1565" t="s">
        <v>1616</v>
      </c>
      <c r="D39" s="1566"/>
      <c r="E39" s="1564">
        <v>1</v>
      </c>
      <c r="F39" s="1567" t="s">
        <v>1617</v>
      </c>
      <c r="G39" s="1568"/>
      <c r="H39" s="1560"/>
      <c r="I39" s="1560"/>
    </row>
    <row r="40" spans="1:9" s="1569" customFormat="1" ht="19.5" customHeight="1">
      <c r="A40" s="1570" t="s">
        <v>1618</v>
      </c>
      <c r="B40" s="1570"/>
      <c r="C40" s="1570"/>
      <c r="D40" s="1570"/>
      <c r="E40" s="1570"/>
      <c r="F40" s="1571"/>
      <c r="G40" s="1571"/>
      <c r="H40" s="1560"/>
      <c r="I40" s="1560"/>
    </row>
    <row r="42" spans="1:9" ht="19.5" customHeight="1">
      <c r="A42" s="1572"/>
      <c r="B42" s="1490" t="s">
        <v>1619</v>
      </c>
      <c r="C42" s="1490" t="s">
        <v>1619</v>
      </c>
      <c r="D42" s="1490" t="s">
        <v>1619</v>
      </c>
      <c r="E42" s="1501" t="s">
        <v>1619</v>
      </c>
      <c r="F42" s="1501" t="s">
        <v>1619</v>
      </c>
      <c r="G42" s="1501" t="s">
        <v>1620</v>
      </c>
      <c r="H42" s="1501" t="s">
        <v>1619</v>
      </c>
    </row>
    <row r="43" spans="1:9" ht="19.5" customHeight="1">
      <c r="A43" s="1573"/>
      <c r="B43" s="1501" t="s">
        <v>1199</v>
      </c>
      <c r="C43" s="1501" t="s">
        <v>1199</v>
      </c>
      <c r="D43" s="1501" t="s">
        <v>1199</v>
      </c>
      <c r="E43" s="1501" t="s">
        <v>1199</v>
      </c>
      <c r="F43" s="1490" t="s">
        <v>1200</v>
      </c>
      <c r="G43" s="1490" t="s">
        <v>1202</v>
      </c>
      <c r="H43" s="1490" t="s">
        <v>1621</v>
      </c>
    </row>
    <row r="44" spans="1:9" ht="19.5" customHeight="1">
      <c r="A44" s="1574"/>
      <c r="B44" s="1490">
        <v>1</v>
      </c>
      <c r="C44" s="1490">
        <v>2</v>
      </c>
      <c r="D44" s="1490">
        <v>3</v>
      </c>
      <c r="E44" s="1501">
        <v>4</v>
      </c>
      <c r="F44" s="1562" t="s">
        <v>1622</v>
      </c>
      <c r="G44" s="1562" t="s">
        <v>1622</v>
      </c>
      <c r="H44" s="1562" t="s">
        <v>1622</v>
      </c>
    </row>
    <row r="45" spans="1:9" ht="19.5" customHeight="1">
      <c r="A45" s="1575" t="s">
        <v>1173</v>
      </c>
      <c r="B45" s="1490">
        <v>0.8</v>
      </c>
      <c r="C45" s="1490">
        <v>0.5</v>
      </c>
      <c r="D45" s="1490">
        <v>0.36</v>
      </c>
      <c r="E45" s="1490">
        <v>0.3</v>
      </c>
      <c r="F45" s="1562">
        <v>0.3</v>
      </c>
      <c r="G45" s="1490">
        <v>0.3</v>
      </c>
      <c r="H45" s="1490">
        <v>0.25</v>
      </c>
    </row>
    <row r="46" spans="1:9" ht="19.5" customHeight="1">
      <c r="A46" s="1575" t="s">
        <v>1174</v>
      </c>
      <c r="B46" s="1490">
        <v>0.8</v>
      </c>
      <c r="C46" s="1490">
        <v>0.5</v>
      </c>
      <c r="D46" s="1490">
        <v>0.36</v>
      </c>
      <c r="E46" s="1490">
        <v>0.3</v>
      </c>
      <c r="F46" s="1490">
        <v>0.3</v>
      </c>
      <c r="G46" s="1490">
        <v>0.3</v>
      </c>
      <c r="H46" s="1490">
        <v>0.25</v>
      </c>
    </row>
    <row r="47" spans="1:9" ht="19.5" customHeight="1">
      <c r="A47" s="1575" t="s">
        <v>1175</v>
      </c>
      <c r="B47" s="1490">
        <v>0.7</v>
      </c>
      <c r="C47" s="1490">
        <v>0.4</v>
      </c>
      <c r="D47" s="1490">
        <v>0.28000000000000003</v>
      </c>
      <c r="E47" s="1490">
        <v>0.25</v>
      </c>
      <c r="F47" s="1490">
        <v>0.25</v>
      </c>
      <c r="G47" s="1490">
        <v>0.25</v>
      </c>
      <c r="H47" s="1490">
        <v>0.2</v>
      </c>
    </row>
    <row r="48" spans="1:9" ht="19.5" customHeight="1">
      <c r="A48" s="1575" t="s">
        <v>1176</v>
      </c>
      <c r="B48" s="1490">
        <v>0.7</v>
      </c>
      <c r="C48" s="1490">
        <v>0.4</v>
      </c>
      <c r="D48" s="1490">
        <v>0.28000000000000003</v>
      </c>
      <c r="E48" s="1490">
        <v>0.25</v>
      </c>
      <c r="F48" s="1490">
        <v>0.25</v>
      </c>
      <c r="G48" s="1490">
        <v>0.25</v>
      </c>
      <c r="H48" s="1490">
        <v>0.2</v>
      </c>
    </row>
    <row r="49" spans="1:8" s="1560" customFormat="1" ht="19.5" customHeight="1">
      <c r="A49" s="1575" t="s">
        <v>1177</v>
      </c>
      <c r="B49" s="1490">
        <v>0.7</v>
      </c>
      <c r="C49" s="1490">
        <v>0.4</v>
      </c>
      <c r="D49" s="1490">
        <v>0.28000000000000003</v>
      </c>
      <c r="E49" s="1490">
        <v>0.25</v>
      </c>
      <c r="F49" s="1490">
        <v>0.25</v>
      </c>
      <c r="G49" s="1490">
        <v>0.25</v>
      </c>
      <c r="H49" s="1490">
        <v>0.2</v>
      </c>
    </row>
    <row r="50" spans="1:8" s="1560" customFormat="1" ht="19.5" customHeight="1">
      <c r="A50" s="1575" t="s">
        <v>1178</v>
      </c>
      <c r="B50" s="1490">
        <v>0.7</v>
      </c>
      <c r="C50" s="1490">
        <v>0.4</v>
      </c>
      <c r="D50" s="1490">
        <v>0.28000000000000003</v>
      </c>
      <c r="E50" s="1490">
        <v>0.25</v>
      </c>
      <c r="F50" s="1490">
        <v>0.25</v>
      </c>
      <c r="G50" s="1490">
        <v>0.25</v>
      </c>
      <c r="H50" s="1490">
        <v>0.2</v>
      </c>
    </row>
    <row r="51" spans="1:8" s="1560" customFormat="1" ht="19.5" customHeight="1">
      <c r="A51" s="1575" t="s">
        <v>1179</v>
      </c>
      <c r="B51" s="1490">
        <v>0.7</v>
      </c>
      <c r="C51" s="1490">
        <v>0.4</v>
      </c>
      <c r="D51" s="1490">
        <v>0.28000000000000003</v>
      </c>
      <c r="E51" s="1490">
        <v>0.25</v>
      </c>
      <c r="F51" s="1490">
        <v>0.25</v>
      </c>
      <c r="G51" s="1490">
        <v>0.25</v>
      </c>
      <c r="H51" s="1490">
        <v>0.2</v>
      </c>
    </row>
    <row r="52" spans="1:8" s="1560" customFormat="1" ht="19.5" customHeight="1">
      <c r="A52" s="1575" t="s">
        <v>1180</v>
      </c>
      <c r="B52" s="1490">
        <v>0.6</v>
      </c>
      <c r="C52" s="1490">
        <v>0.3</v>
      </c>
      <c r="D52" s="1490">
        <v>0.2</v>
      </c>
      <c r="E52" s="1490">
        <v>0.2</v>
      </c>
      <c r="F52" s="1490">
        <v>0.2</v>
      </c>
      <c r="G52" s="1490">
        <v>0.2</v>
      </c>
      <c r="H52" s="1490">
        <v>0.15</v>
      </c>
    </row>
    <row r="53" spans="1:8" s="1560" customFormat="1" ht="19.5" customHeight="1">
      <c r="A53" s="1575" t="s">
        <v>1181</v>
      </c>
      <c r="B53" s="1490">
        <v>0.6</v>
      </c>
      <c r="C53" s="1490">
        <v>0.3</v>
      </c>
      <c r="D53" s="1490">
        <v>0.2</v>
      </c>
      <c r="E53" s="1490">
        <v>0.2</v>
      </c>
      <c r="F53" s="1490">
        <v>0.2</v>
      </c>
      <c r="G53" s="1490">
        <v>0.2</v>
      </c>
      <c r="H53" s="1490">
        <v>0.15</v>
      </c>
    </row>
    <row r="54" spans="1:8" s="1560" customFormat="1" ht="19.5" customHeight="1">
      <c r="A54" s="1575" t="s">
        <v>1182</v>
      </c>
      <c r="B54" s="1490">
        <v>0.6</v>
      </c>
      <c r="C54" s="1490">
        <v>0.3</v>
      </c>
      <c r="D54" s="1490">
        <v>0.2</v>
      </c>
      <c r="E54" s="1490">
        <v>0.2</v>
      </c>
      <c r="F54" s="1490">
        <v>0.2</v>
      </c>
      <c r="G54" s="1490">
        <v>0.2</v>
      </c>
      <c r="H54" s="1490">
        <v>0.15</v>
      </c>
    </row>
    <row r="55" spans="1:8" s="1560" customFormat="1" ht="19.5" customHeight="1">
      <c r="A55" s="1575" t="s">
        <v>1183</v>
      </c>
      <c r="B55" s="1490">
        <v>0.6</v>
      </c>
      <c r="C55" s="1490">
        <v>0.3</v>
      </c>
      <c r="D55" s="1490">
        <v>0.2</v>
      </c>
      <c r="E55" s="1490">
        <v>0.2</v>
      </c>
      <c r="F55" s="1490">
        <v>0.2</v>
      </c>
      <c r="G55" s="1490">
        <v>0.2</v>
      </c>
      <c r="H55" s="1490">
        <v>0.15</v>
      </c>
    </row>
    <row r="56" spans="1:8" s="1560" customFormat="1" ht="19.5" customHeight="1">
      <c r="A56" s="1575" t="s">
        <v>1184</v>
      </c>
      <c r="B56" s="1490">
        <v>0.6</v>
      </c>
      <c r="C56" s="1490">
        <v>0.3</v>
      </c>
      <c r="D56" s="1490">
        <v>0.2</v>
      </c>
      <c r="E56" s="1490">
        <v>0.2</v>
      </c>
      <c r="F56" s="1490">
        <v>0.2</v>
      </c>
      <c r="G56" s="1490">
        <v>0.2</v>
      </c>
      <c r="H56" s="1490">
        <v>0.15</v>
      </c>
    </row>
    <row r="58" spans="1:8" s="1560" customFormat="1" ht="19.5" customHeight="1">
      <c r="A58" s="1576"/>
      <c r="B58" s="1558"/>
      <c r="C58" s="1558"/>
      <c r="D58" s="1558" t="s">
        <v>1623</v>
      </c>
      <c r="E58" s="1558"/>
      <c r="F58" s="1558"/>
    </row>
    <row r="59" spans="1:8" s="1560" customFormat="1" ht="19.5" customHeight="1">
      <c r="A59" s="1564" t="s">
        <v>1624</v>
      </c>
      <c r="B59" s="1564" t="s">
        <v>1625</v>
      </c>
      <c r="C59" s="1564" t="s">
        <v>1626</v>
      </c>
      <c r="D59" s="1564" t="s">
        <v>1627</v>
      </c>
      <c r="E59" s="1564" t="s">
        <v>1628</v>
      </c>
      <c r="F59" s="1564" t="s">
        <v>1629</v>
      </c>
    </row>
    <row r="60" spans="1:8" ht="13.5">
      <c r="A60" s="1760"/>
      <c r="B60" s="1760"/>
      <c r="C60" s="1760" t="s">
        <v>1761</v>
      </c>
      <c r="D60" s="1760"/>
      <c r="E60" s="1577" t="s">
        <v>23</v>
      </c>
      <c r="F60" s="1760" t="s">
        <v>23</v>
      </c>
    </row>
    <row r="61" spans="1:8" s="1560" customFormat="1" ht="24">
      <c r="A61" s="1564">
        <v>1</v>
      </c>
      <c r="B61" s="3752" t="s">
        <v>1630</v>
      </c>
      <c r="C61" s="1490" t="s">
        <v>1631</v>
      </c>
      <c r="D61" s="1490" t="s">
        <v>1632</v>
      </c>
      <c r="E61" s="1577">
        <v>0.5</v>
      </c>
      <c r="F61" s="1564">
        <v>80</v>
      </c>
    </row>
    <row r="62" spans="1:8" s="1560" customFormat="1" ht="24">
      <c r="A62" s="1564">
        <v>2</v>
      </c>
      <c r="B62" s="3752"/>
      <c r="C62" s="1490" t="s">
        <v>1633</v>
      </c>
      <c r="D62" s="1490" t="s">
        <v>1634</v>
      </c>
      <c r="E62" s="1577">
        <v>0.5</v>
      </c>
      <c r="F62" s="1564">
        <v>80</v>
      </c>
    </row>
    <row r="63" spans="1:8" s="1560" customFormat="1" ht="36">
      <c r="A63" s="1564">
        <v>3</v>
      </c>
      <c r="B63" s="3752"/>
      <c r="C63" s="1490" t="s">
        <v>1635</v>
      </c>
      <c r="D63" s="1490" t="s">
        <v>1636</v>
      </c>
      <c r="E63" s="1577">
        <v>0.5</v>
      </c>
      <c r="F63" s="1564">
        <v>80</v>
      </c>
    </row>
    <row r="64" spans="1:8" s="1560" customFormat="1" ht="36">
      <c r="A64" s="1564">
        <v>4</v>
      </c>
      <c r="B64" s="3752"/>
      <c r="C64" s="1490" t="s">
        <v>1637</v>
      </c>
      <c r="D64" s="1490" t="s">
        <v>1638</v>
      </c>
      <c r="E64" s="1577">
        <v>0.4</v>
      </c>
      <c r="F64" s="1564">
        <v>60</v>
      </c>
    </row>
    <row r="65" spans="1:6" s="1560" customFormat="1" ht="36">
      <c r="A65" s="1564">
        <v>5</v>
      </c>
      <c r="B65" s="3752"/>
      <c r="C65" s="1490" t="s">
        <v>1639</v>
      </c>
      <c r="D65" s="1490" t="s">
        <v>1640</v>
      </c>
      <c r="E65" s="1577">
        <v>0.2</v>
      </c>
      <c r="F65" s="1564">
        <v>30</v>
      </c>
    </row>
    <row r="66" spans="1:6" s="1560" customFormat="1" ht="36">
      <c r="A66" s="1564">
        <v>6</v>
      </c>
      <c r="B66" s="3752"/>
      <c r="C66" s="1490" t="s">
        <v>1641</v>
      </c>
      <c r="D66" s="1490" t="s">
        <v>1642</v>
      </c>
      <c r="E66" s="1577">
        <v>0.3</v>
      </c>
      <c r="F66" s="1564">
        <v>50</v>
      </c>
    </row>
    <row r="67" spans="1:6" s="1560" customFormat="1" ht="36">
      <c r="A67" s="1564">
        <v>7</v>
      </c>
      <c r="B67" s="3752"/>
      <c r="C67" s="1490" t="s">
        <v>1643</v>
      </c>
      <c r="D67" s="1490" t="s">
        <v>1644</v>
      </c>
      <c r="E67" s="1577">
        <v>0.2</v>
      </c>
      <c r="F67" s="1564">
        <v>30</v>
      </c>
    </row>
    <row r="68" spans="1:6" s="1560" customFormat="1" ht="36">
      <c r="A68" s="1564">
        <v>8</v>
      </c>
      <c r="B68" s="3752"/>
      <c r="C68" s="1490" t="s">
        <v>1645</v>
      </c>
      <c r="D68" s="1490" t="s">
        <v>1646</v>
      </c>
      <c r="E68" s="1577">
        <v>0.2</v>
      </c>
      <c r="F68" s="1564">
        <v>30</v>
      </c>
    </row>
    <row r="69" spans="1:6" s="1560" customFormat="1" ht="36">
      <c r="A69" s="1564">
        <v>9</v>
      </c>
      <c r="B69" s="3752"/>
      <c r="C69" s="1490" t="s">
        <v>1647</v>
      </c>
      <c r="D69" s="1490" t="s">
        <v>1648</v>
      </c>
      <c r="E69" s="1577">
        <v>0.2</v>
      </c>
      <c r="F69" s="1564">
        <v>30</v>
      </c>
    </row>
    <row r="70" spans="1:6" s="1560" customFormat="1" ht="48">
      <c r="A70" s="1564">
        <v>10</v>
      </c>
      <c r="B70" s="3752"/>
      <c r="C70" s="1490" t="s">
        <v>1649</v>
      </c>
      <c r="D70" s="1490" t="s">
        <v>1650</v>
      </c>
      <c r="E70" s="1577">
        <v>0.2</v>
      </c>
      <c r="F70" s="1564">
        <v>30</v>
      </c>
    </row>
    <row r="71" spans="1:6" s="1560" customFormat="1" ht="48">
      <c r="A71" s="1564">
        <v>11</v>
      </c>
      <c r="B71" s="3752"/>
      <c r="C71" s="1490" t="s">
        <v>1651</v>
      </c>
      <c r="D71" s="1490" t="s">
        <v>1652</v>
      </c>
      <c r="E71" s="1577">
        <v>0.2</v>
      </c>
      <c r="F71" s="1564">
        <v>30</v>
      </c>
    </row>
    <row r="72" spans="1:6" s="1560" customFormat="1" ht="36">
      <c r="A72" s="1564">
        <v>12</v>
      </c>
      <c r="B72" s="3752"/>
      <c r="C72" s="1490" t="s">
        <v>1653</v>
      </c>
      <c r="D72" s="1490" t="s">
        <v>1654</v>
      </c>
      <c r="E72" s="1577">
        <v>0.5</v>
      </c>
      <c r="F72" s="1564">
        <v>80</v>
      </c>
    </row>
    <row r="73" spans="1:6" s="1560" customFormat="1" ht="24">
      <c r="A73" s="1564">
        <v>13</v>
      </c>
      <c r="B73" s="3752"/>
      <c r="C73" s="1490" t="s">
        <v>1655</v>
      </c>
      <c r="D73" s="1490" t="s">
        <v>1656</v>
      </c>
      <c r="E73" s="1577">
        <v>0.4</v>
      </c>
      <c r="F73" s="1564">
        <v>60</v>
      </c>
    </row>
    <row r="74" spans="1:6" s="1560" customFormat="1" ht="24">
      <c r="A74" s="1564">
        <v>14</v>
      </c>
      <c r="B74" s="3752"/>
      <c r="C74" s="1490" t="s">
        <v>1657</v>
      </c>
      <c r="D74" s="1490" t="s">
        <v>1658</v>
      </c>
      <c r="E74" s="1577">
        <v>0.2</v>
      </c>
      <c r="F74" s="1564">
        <v>30</v>
      </c>
    </row>
    <row r="75" spans="1:6" s="1560" customFormat="1" ht="24">
      <c r="A75" s="1564">
        <v>15</v>
      </c>
      <c r="B75" s="3752"/>
      <c r="C75" s="1490" t="s">
        <v>1659</v>
      </c>
      <c r="D75" s="1490" t="s">
        <v>1660</v>
      </c>
      <c r="E75" s="1577">
        <v>0.2</v>
      </c>
      <c r="F75" s="1564">
        <v>30</v>
      </c>
    </row>
    <row r="76" spans="1:6" s="1560" customFormat="1" ht="24">
      <c r="A76" s="1564">
        <v>16</v>
      </c>
      <c r="B76" s="3752" t="s">
        <v>1661</v>
      </c>
      <c r="C76" s="1490" t="s">
        <v>1662</v>
      </c>
      <c r="D76" s="1490" t="s">
        <v>1663</v>
      </c>
      <c r="E76" s="1577">
        <v>0.5</v>
      </c>
      <c r="F76" s="1564">
        <v>80</v>
      </c>
    </row>
    <row r="77" spans="1:6" s="1560" customFormat="1" ht="24">
      <c r="A77" s="1564">
        <v>17</v>
      </c>
      <c r="B77" s="3752"/>
      <c r="C77" s="1490" t="s">
        <v>1664</v>
      </c>
      <c r="D77" s="1490" t="s">
        <v>1665</v>
      </c>
      <c r="E77" s="1577">
        <v>0.5</v>
      </c>
      <c r="F77" s="1564">
        <v>80</v>
      </c>
    </row>
    <row r="78" spans="1:6" s="1560" customFormat="1" ht="24">
      <c r="A78" s="1564">
        <v>18</v>
      </c>
      <c r="B78" s="3752"/>
      <c r="C78" s="1490" t="s">
        <v>1666</v>
      </c>
      <c r="D78" s="1490" t="s">
        <v>1667</v>
      </c>
      <c r="E78" s="1577">
        <v>0.2</v>
      </c>
      <c r="F78" s="1564">
        <v>30</v>
      </c>
    </row>
    <row r="79" spans="1:6" s="1560" customFormat="1" ht="24">
      <c r="A79" s="1564">
        <v>19</v>
      </c>
      <c r="B79" s="3752"/>
      <c r="C79" s="1490" t="s">
        <v>1668</v>
      </c>
      <c r="D79" s="1490" t="s">
        <v>1669</v>
      </c>
      <c r="E79" s="1577">
        <v>0.5</v>
      </c>
      <c r="F79" s="1564">
        <v>80</v>
      </c>
    </row>
    <row r="80" spans="1:6" s="1560" customFormat="1" ht="36">
      <c r="A80" s="1564">
        <v>20</v>
      </c>
      <c r="B80" s="3752"/>
      <c r="C80" s="1490" t="s">
        <v>1670</v>
      </c>
      <c r="D80" s="1490" t="s">
        <v>1671</v>
      </c>
      <c r="E80" s="1577">
        <v>0.2</v>
      </c>
      <c r="F80" s="1564">
        <v>30</v>
      </c>
    </row>
    <row r="81" spans="1:6" s="1560" customFormat="1" ht="36">
      <c r="A81" s="1564">
        <v>21</v>
      </c>
      <c r="B81" s="3752"/>
      <c r="C81" s="1490" t="s">
        <v>1672</v>
      </c>
      <c r="D81" s="1490" t="s">
        <v>1673</v>
      </c>
      <c r="E81" s="1577">
        <v>0.2</v>
      </c>
      <c r="F81" s="1564">
        <v>30</v>
      </c>
    </row>
    <row r="82" spans="1:6" s="1560" customFormat="1" ht="48">
      <c r="A82" s="1564">
        <v>22</v>
      </c>
      <c r="B82" s="3752"/>
      <c r="C82" s="1490" t="s">
        <v>1674</v>
      </c>
      <c r="D82" s="1490" t="s">
        <v>1675</v>
      </c>
      <c r="E82" s="1577">
        <v>0.2</v>
      </c>
      <c r="F82" s="1564">
        <v>30</v>
      </c>
    </row>
    <row r="83" spans="1:6" s="1560" customFormat="1" ht="48">
      <c r="A83" s="1564">
        <v>23</v>
      </c>
      <c r="B83" s="3752"/>
      <c r="C83" s="1490" t="s">
        <v>1676</v>
      </c>
      <c r="D83" s="1490" t="s">
        <v>1677</v>
      </c>
      <c r="E83" s="1577">
        <v>0.2</v>
      </c>
      <c r="F83" s="1564">
        <v>30</v>
      </c>
    </row>
    <row r="84" spans="1:6" s="1560" customFormat="1" ht="36">
      <c r="A84" s="1564">
        <v>24</v>
      </c>
      <c r="B84" s="3752"/>
      <c r="C84" s="1490" t="s">
        <v>1678</v>
      </c>
      <c r="D84" s="1490" t="s">
        <v>1679</v>
      </c>
      <c r="E84" s="1577">
        <v>0.2</v>
      </c>
      <c r="F84" s="1564">
        <v>30</v>
      </c>
    </row>
    <row r="85" spans="1:6" s="1560" customFormat="1" ht="36">
      <c r="A85" s="1564">
        <v>25</v>
      </c>
      <c r="B85" s="3752"/>
      <c r="C85" s="1490" t="s">
        <v>1680</v>
      </c>
      <c r="D85" s="1490" t="s">
        <v>1681</v>
      </c>
      <c r="E85" s="1577">
        <v>0.5</v>
      </c>
      <c r="F85" s="1564">
        <v>80</v>
      </c>
    </row>
    <row r="86" spans="1:6" s="1560" customFormat="1" ht="36">
      <c r="A86" s="1564">
        <v>26</v>
      </c>
      <c r="B86" s="3752"/>
      <c r="C86" s="1490" t="s">
        <v>1682</v>
      </c>
      <c r="D86" s="1490" t="s">
        <v>1683</v>
      </c>
      <c r="E86" s="1577">
        <v>0.2</v>
      </c>
      <c r="F86" s="1564">
        <v>30</v>
      </c>
    </row>
    <row r="87" spans="1:6" s="1560" customFormat="1" ht="36">
      <c r="A87" s="1564">
        <v>27</v>
      </c>
      <c r="B87" s="3752"/>
      <c r="C87" s="1490" t="s">
        <v>1684</v>
      </c>
      <c r="D87" s="1490" t="s">
        <v>1685</v>
      </c>
      <c r="E87" s="1577">
        <v>0.2</v>
      </c>
      <c r="F87" s="1564">
        <v>30</v>
      </c>
    </row>
    <row r="88" spans="1:6" s="1560" customFormat="1" ht="36">
      <c r="A88" s="1564">
        <v>28</v>
      </c>
      <c r="B88" s="3752"/>
      <c r="C88" s="1490" t="s">
        <v>1686</v>
      </c>
      <c r="D88" s="1490" t="s">
        <v>1687</v>
      </c>
      <c r="E88" s="1577">
        <v>0.2</v>
      </c>
      <c r="F88" s="1564">
        <v>30</v>
      </c>
    </row>
    <row r="89" spans="1:6" s="1560" customFormat="1" ht="24">
      <c r="A89" s="1564">
        <v>29</v>
      </c>
      <c r="B89" s="3752"/>
      <c r="C89" s="1490" t="s">
        <v>1688</v>
      </c>
      <c r="D89" s="1490" t="s">
        <v>1689</v>
      </c>
      <c r="E89" s="1577">
        <v>0.2</v>
      </c>
      <c r="F89" s="1564">
        <v>30</v>
      </c>
    </row>
    <row r="90" spans="1:6" s="1560" customFormat="1" ht="24">
      <c r="A90" s="1564">
        <v>30</v>
      </c>
      <c r="B90" s="3752"/>
      <c r="C90" s="1490" t="s">
        <v>1690</v>
      </c>
      <c r="D90" s="1490" t="s">
        <v>1691</v>
      </c>
      <c r="E90" s="1577">
        <v>0.2</v>
      </c>
      <c r="F90" s="1564">
        <v>30</v>
      </c>
    </row>
    <row r="91" spans="1:6" s="1560" customFormat="1" ht="36">
      <c r="A91" s="1564">
        <v>31</v>
      </c>
      <c r="B91" s="3752"/>
      <c r="C91" s="1490" t="s">
        <v>1692</v>
      </c>
      <c r="D91" s="1490" t="s">
        <v>1693</v>
      </c>
      <c r="E91" s="1577">
        <v>0.2</v>
      </c>
      <c r="F91" s="1564">
        <v>30</v>
      </c>
    </row>
    <row r="92" spans="1:6" s="1560" customFormat="1" ht="24">
      <c r="A92" s="1564">
        <v>32</v>
      </c>
      <c r="B92" s="3752" t="s">
        <v>1694</v>
      </c>
      <c r="C92" s="1564" t="s">
        <v>1695</v>
      </c>
      <c r="D92" s="1490" t="s">
        <v>1696</v>
      </c>
      <c r="E92" s="1577">
        <v>0.2</v>
      </c>
      <c r="F92" s="1564">
        <v>30</v>
      </c>
    </row>
    <row r="93" spans="1:6" s="1560" customFormat="1" ht="36">
      <c r="A93" s="1564">
        <v>33</v>
      </c>
      <c r="B93" s="3752"/>
      <c r="C93" s="1564" t="s">
        <v>1697</v>
      </c>
      <c r="D93" s="1490" t="s">
        <v>1698</v>
      </c>
      <c r="E93" s="1577">
        <v>0.2</v>
      </c>
      <c r="F93" s="1564">
        <v>30</v>
      </c>
    </row>
    <row r="94" spans="1:6" s="1560" customFormat="1" ht="48">
      <c r="A94" s="1564">
        <v>34</v>
      </c>
      <c r="B94" s="3752"/>
      <c r="C94" s="1564" t="s">
        <v>1699</v>
      </c>
      <c r="D94" s="1490" t="s">
        <v>1700</v>
      </c>
      <c r="E94" s="1577">
        <v>0.2</v>
      </c>
      <c r="F94" s="1564">
        <v>30</v>
      </c>
    </row>
    <row r="95" spans="1:6" s="1560" customFormat="1" ht="36">
      <c r="A95" s="1564">
        <v>35</v>
      </c>
      <c r="B95" s="3752"/>
      <c r="C95" s="1564" t="s">
        <v>1701</v>
      </c>
      <c r="D95" s="1490" t="s">
        <v>1702</v>
      </c>
      <c r="E95" s="1577">
        <v>0.2</v>
      </c>
      <c r="F95" s="1564">
        <v>30</v>
      </c>
    </row>
    <row r="96" spans="1:6" s="1560" customFormat="1" ht="48">
      <c r="A96" s="1564">
        <v>36</v>
      </c>
      <c r="B96" s="3752"/>
      <c r="C96" s="1490" t="s">
        <v>1703</v>
      </c>
      <c r="D96" s="1490" t="s">
        <v>1704</v>
      </c>
      <c r="E96" s="1577">
        <v>0.2</v>
      </c>
      <c r="F96" s="1564">
        <v>30</v>
      </c>
    </row>
    <row r="97" spans="1:6" s="1560" customFormat="1" ht="36">
      <c r="A97" s="1564">
        <v>37</v>
      </c>
      <c r="B97" s="3752"/>
      <c r="C97" s="1564" t="s">
        <v>1705</v>
      </c>
      <c r="D97" s="1490" t="s">
        <v>1706</v>
      </c>
      <c r="E97" s="1577">
        <v>0.2</v>
      </c>
      <c r="F97" s="1564">
        <v>30</v>
      </c>
    </row>
    <row r="98" spans="1:6" s="1560" customFormat="1" ht="36">
      <c r="A98" s="1564">
        <v>38</v>
      </c>
      <c r="B98" s="3752"/>
      <c r="C98" s="1564" t="s">
        <v>1707</v>
      </c>
      <c r="D98" s="1490" t="s">
        <v>1708</v>
      </c>
      <c r="E98" s="1577">
        <v>0.2</v>
      </c>
      <c r="F98" s="1564">
        <v>30</v>
      </c>
    </row>
    <row r="99" spans="1:6" s="1560" customFormat="1" ht="36">
      <c r="A99" s="1564">
        <v>39</v>
      </c>
      <c r="B99" s="3752" t="s">
        <v>1709</v>
      </c>
      <c r="C99" s="1564" t="s">
        <v>1710</v>
      </c>
      <c r="D99" s="1490" t="s">
        <v>1711</v>
      </c>
      <c r="E99" s="1577">
        <v>0.3</v>
      </c>
      <c r="F99" s="1564">
        <v>50</v>
      </c>
    </row>
    <row r="100" spans="1:6" s="1560" customFormat="1" ht="24">
      <c r="A100" s="1564">
        <v>40</v>
      </c>
      <c r="B100" s="3752"/>
      <c r="C100" s="1564" t="s">
        <v>1712</v>
      </c>
      <c r="D100" s="1490" t="s">
        <v>1713</v>
      </c>
      <c r="E100" s="1577">
        <v>0.2</v>
      </c>
      <c r="F100" s="1564">
        <v>30</v>
      </c>
    </row>
    <row r="101" spans="1:6" s="1560" customFormat="1" ht="36">
      <c r="A101" s="1564">
        <v>41</v>
      </c>
      <c r="B101" s="3752"/>
      <c r="C101" s="1564" t="s">
        <v>1714</v>
      </c>
      <c r="D101" s="1490" t="s">
        <v>1711</v>
      </c>
      <c r="E101" s="1577">
        <v>0.2</v>
      </c>
      <c r="F101" s="1564">
        <v>30</v>
      </c>
    </row>
    <row r="102" spans="1:6" s="1560" customFormat="1" ht="48">
      <c r="A102" s="1564">
        <v>42</v>
      </c>
      <c r="B102" s="1564" t="s">
        <v>1715</v>
      </c>
      <c r="C102" s="1490" t="s">
        <v>1716</v>
      </c>
      <c r="D102" s="1490" t="s">
        <v>1717</v>
      </c>
      <c r="E102" s="1577">
        <v>0.2</v>
      </c>
      <c r="F102" s="1564">
        <v>30</v>
      </c>
    </row>
    <row r="103" spans="1:6" s="1560" customFormat="1" ht="24">
      <c r="A103" s="1564">
        <v>43</v>
      </c>
      <c r="B103" s="1564" t="s">
        <v>1718</v>
      </c>
      <c r="C103" s="1564" t="s">
        <v>1719</v>
      </c>
      <c r="D103" s="1490" t="s">
        <v>1720</v>
      </c>
      <c r="E103" s="1577">
        <v>0.2</v>
      </c>
      <c r="F103" s="1564">
        <v>30</v>
      </c>
    </row>
    <row r="104" spans="1:6" s="1560" customFormat="1" ht="36">
      <c r="A104" s="1564">
        <v>44</v>
      </c>
      <c r="B104" s="1564" t="s">
        <v>1721</v>
      </c>
      <c r="C104" s="1564" t="s">
        <v>1722</v>
      </c>
      <c r="D104" s="1490" t="s">
        <v>1723</v>
      </c>
      <c r="E104" s="1577">
        <v>0.2</v>
      </c>
      <c r="F104" s="1564">
        <v>30</v>
      </c>
    </row>
    <row r="105" spans="1:6" s="1560" customFormat="1" ht="36">
      <c r="A105" s="1564">
        <v>45</v>
      </c>
      <c r="B105" s="3752" t="s">
        <v>1724</v>
      </c>
      <c r="C105" s="1564" t="s">
        <v>1725</v>
      </c>
      <c r="D105" s="1490" t="s">
        <v>1726</v>
      </c>
      <c r="E105" s="1577">
        <v>0.2</v>
      </c>
      <c r="F105" s="1564">
        <v>30</v>
      </c>
    </row>
    <row r="106" spans="1:6" s="1560" customFormat="1" ht="36">
      <c r="A106" s="1564">
        <v>46</v>
      </c>
      <c r="B106" s="3752"/>
      <c r="C106" s="1564" t="s">
        <v>1727</v>
      </c>
      <c r="D106" s="1490" t="s">
        <v>1728</v>
      </c>
      <c r="E106" s="1577">
        <v>0.2</v>
      </c>
      <c r="F106" s="1564">
        <v>30</v>
      </c>
    </row>
    <row r="107" spans="1:6" s="1560" customFormat="1" ht="36">
      <c r="A107" s="1564">
        <v>47</v>
      </c>
      <c r="B107" s="3752" t="s">
        <v>1729</v>
      </c>
      <c r="C107" s="1564" t="s">
        <v>1730</v>
      </c>
      <c r="D107" s="1490" t="s">
        <v>1731</v>
      </c>
      <c r="E107" s="1577">
        <v>0.3</v>
      </c>
      <c r="F107" s="1564">
        <v>50</v>
      </c>
    </row>
    <row r="108" spans="1:6" s="1560" customFormat="1" ht="36">
      <c r="A108" s="1564">
        <v>48</v>
      </c>
      <c r="B108" s="3752"/>
      <c r="C108" s="1564" t="s">
        <v>1732</v>
      </c>
      <c r="D108" s="1490" t="s">
        <v>1733</v>
      </c>
      <c r="E108" s="1577">
        <v>0.2</v>
      </c>
      <c r="F108" s="1564">
        <v>30</v>
      </c>
    </row>
    <row r="109" spans="1:6" s="1560" customFormat="1" ht="36">
      <c r="A109" s="1564">
        <v>49</v>
      </c>
      <c r="B109" s="1564" t="s">
        <v>1734</v>
      </c>
      <c r="C109" s="1564" t="s">
        <v>1735</v>
      </c>
      <c r="D109" s="1490" t="s">
        <v>1736</v>
      </c>
      <c r="E109" s="1577">
        <v>0.2</v>
      </c>
      <c r="F109" s="1564">
        <v>30</v>
      </c>
    </row>
    <row r="110" spans="1:6" s="1560" customFormat="1" ht="36">
      <c r="A110" s="1564">
        <v>50</v>
      </c>
      <c r="B110" s="1564" t="s">
        <v>1737</v>
      </c>
      <c r="C110" s="1564" t="s">
        <v>1738</v>
      </c>
      <c r="D110" s="1490" t="s">
        <v>1739</v>
      </c>
      <c r="E110" s="1577">
        <v>0.2</v>
      </c>
      <c r="F110" s="1564">
        <v>30</v>
      </c>
    </row>
    <row r="111" spans="1:6" s="1560" customFormat="1" ht="36">
      <c r="A111" s="1564">
        <v>51</v>
      </c>
      <c r="B111" s="3752" t="s">
        <v>1740</v>
      </c>
      <c r="C111" s="1564" t="s">
        <v>1741</v>
      </c>
      <c r="D111" s="1490" t="s">
        <v>1742</v>
      </c>
      <c r="E111" s="1577">
        <v>0.2</v>
      </c>
      <c r="F111" s="1564">
        <v>30</v>
      </c>
    </row>
    <row r="112" spans="1:6" s="1560" customFormat="1" ht="24">
      <c r="A112" s="1564">
        <v>52</v>
      </c>
      <c r="B112" s="3752"/>
      <c r="C112" s="1564" t="s">
        <v>1743</v>
      </c>
      <c r="D112" s="1490" t="s">
        <v>1744</v>
      </c>
      <c r="E112" s="1577">
        <v>0.2</v>
      </c>
      <c r="F112" s="1564">
        <v>30</v>
      </c>
    </row>
    <row r="113" spans="1:6" s="1560" customFormat="1" ht="24">
      <c r="A113" s="1564">
        <v>53</v>
      </c>
      <c r="B113" s="3752"/>
      <c r="C113" s="1564" t="s">
        <v>1745</v>
      </c>
      <c r="D113" s="1490" t="s">
        <v>1746</v>
      </c>
      <c r="E113" s="1577">
        <v>0.2</v>
      </c>
      <c r="F113" s="1564">
        <v>30</v>
      </c>
    </row>
    <row r="114" spans="1:6" ht="36">
      <c r="A114" s="1564">
        <v>54</v>
      </c>
      <c r="B114" s="1564" t="s">
        <v>1747</v>
      </c>
      <c r="C114" s="1564" t="s">
        <v>1748</v>
      </c>
      <c r="D114" s="1490" t="s">
        <v>1749</v>
      </c>
      <c r="E114" s="1577">
        <v>0.2</v>
      </c>
      <c r="F114" s="1564">
        <v>30</v>
      </c>
    </row>
    <row r="115" spans="1:6" ht="24">
      <c r="A115" s="1564">
        <v>55</v>
      </c>
      <c r="B115" s="1564" t="s">
        <v>1750</v>
      </c>
      <c r="C115" s="1564" t="s">
        <v>1751</v>
      </c>
      <c r="D115" s="1490" t="s">
        <v>1752</v>
      </c>
      <c r="E115" s="1577">
        <v>0.2</v>
      </c>
      <c r="F115" s="1564">
        <v>30</v>
      </c>
    </row>
    <row r="116" spans="1:6" ht="24">
      <c r="A116" s="1564">
        <v>56</v>
      </c>
      <c r="B116" s="3752" t="s">
        <v>1753</v>
      </c>
      <c r="C116" s="1564" t="s">
        <v>1754</v>
      </c>
      <c r="D116" s="1490" t="s">
        <v>1755</v>
      </c>
      <c r="E116" s="1577">
        <v>0.2</v>
      </c>
      <c r="F116" s="1564">
        <v>30</v>
      </c>
    </row>
    <row r="117" spans="1:6" ht="36">
      <c r="A117" s="1564">
        <v>57</v>
      </c>
      <c r="B117" s="3752"/>
      <c r="C117" s="1564" t="s">
        <v>1756</v>
      </c>
      <c r="D117" s="1490" t="s">
        <v>1757</v>
      </c>
      <c r="E117" s="1577">
        <v>0.2</v>
      </c>
      <c r="F117" s="1564">
        <v>30</v>
      </c>
    </row>
    <row r="118" spans="1:6" ht="36">
      <c r="A118" s="1564">
        <v>58</v>
      </c>
      <c r="B118" s="1564" t="s">
        <v>1758</v>
      </c>
      <c r="C118" s="1564" t="s">
        <v>1759</v>
      </c>
      <c r="D118" s="1490" t="s">
        <v>1760</v>
      </c>
      <c r="E118" s="1577">
        <v>0.2</v>
      </c>
      <c r="F118" s="1564">
        <v>30</v>
      </c>
    </row>
    <row r="119" spans="1:6" ht="13.5">
      <c r="A119" s="1564"/>
      <c r="B119" s="1564"/>
      <c r="C119" s="1564" t="s">
        <v>1761</v>
      </c>
      <c r="D119" s="1564"/>
      <c r="E119" s="1577" t="s">
        <v>1571</v>
      </c>
      <c r="F119" s="1564"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14"/>
    <col min="2" max="16384" width="9" style="1589"/>
  </cols>
  <sheetData>
    <row r="1" spans="1:14" ht="14.25">
      <c r="A1" s="1587" t="s">
        <v>1771</v>
      </c>
      <c r="B1" s="1588"/>
      <c r="C1" s="1588"/>
      <c r="D1" s="1588"/>
      <c r="E1" s="1588"/>
      <c r="F1" s="1588"/>
      <c r="G1" s="1588"/>
      <c r="H1" s="1588"/>
      <c r="I1" s="1588"/>
      <c r="J1" s="1588"/>
      <c r="K1" s="1588"/>
      <c r="L1" s="1588"/>
      <c r="M1" s="1588"/>
      <c r="N1" s="1588"/>
    </row>
    <row r="2" spans="1:14">
      <c r="A2" s="1590" t="s">
        <v>1768</v>
      </c>
      <c r="B2" s="1591" t="s">
        <v>1173</v>
      </c>
      <c r="C2" s="1591" t="s">
        <v>1174</v>
      </c>
      <c r="D2" s="1591" t="s">
        <v>1175</v>
      </c>
      <c r="E2" s="1591" t="s">
        <v>1176</v>
      </c>
      <c r="F2" s="1591" t="s">
        <v>1177</v>
      </c>
      <c r="G2" s="1591" t="s">
        <v>1178</v>
      </c>
      <c r="H2" s="1592" t="s">
        <v>1179</v>
      </c>
      <c r="I2" s="1592" t="s">
        <v>1180</v>
      </c>
      <c r="J2" s="1593" t="s">
        <v>1181</v>
      </c>
      <c r="K2" s="1593" t="s">
        <v>1182</v>
      </c>
      <c r="L2" s="1593" t="s">
        <v>1183</v>
      </c>
      <c r="M2" s="1593" t="s">
        <v>1184</v>
      </c>
    </row>
    <row r="3" spans="1:14">
      <c r="A3" s="1590">
        <v>0.1</v>
      </c>
      <c r="B3" s="1599">
        <v>15.052</v>
      </c>
      <c r="C3" s="1599">
        <v>15.052</v>
      </c>
      <c r="D3" s="1599">
        <v>14.263</v>
      </c>
      <c r="E3" s="1599">
        <v>14.263</v>
      </c>
      <c r="F3" s="1599">
        <v>14.263</v>
      </c>
      <c r="G3" s="1599">
        <v>14.263</v>
      </c>
      <c r="H3" s="1599">
        <v>14.263</v>
      </c>
      <c r="I3" s="1599">
        <v>14.097</v>
      </c>
      <c r="J3" s="1599">
        <v>14.097</v>
      </c>
      <c r="K3" s="1599">
        <v>14.097</v>
      </c>
      <c r="L3" s="1599">
        <v>14.097</v>
      </c>
      <c r="M3" s="1599">
        <v>14.097</v>
      </c>
      <c r="N3" s="1600"/>
    </row>
    <row r="4" spans="1:14">
      <c r="A4" s="1590">
        <v>0.2</v>
      </c>
      <c r="B4" s="1599">
        <v>7.5259999999999998</v>
      </c>
      <c r="C4" s="1599">
        <v>7.5259999999999998</v>
      </c>
      <c r="D4" s="1599">
        <v>7.1315</v>
      </c>
      <c r="E4" s="1599">
        <v>7.1315</v>
      </c>
      <c r="F4" s="1599">
        <v>7.1315</v>
      </c>
      <c r="G4" s="1599">
        <v>7.1315</v>
      </c>
      <c r="H4" s="1599">
        <v>7.1315</v>
      </c>
      <c r="I4" s="1599">
        <v>7.0484999999999998</v>
      </c>
      <c r="J4" s="1599">
        <v>7.0484999999999998</v>
      </c>
      <c r="K4" s="1599">
        <v>7.0484999999999998</v>
      </c>
      <c r="L4" s="1599">
        <v>7.0484999999999998</v>
      </c>
      <c r="M4" s="1599">
        <v>7.0484999999999998</v>
      </c>
    </row>
    <row r="5" spans="1:14">
      <c r="A5" s="1590">
        <v>0.3</v>
      </c>
      <c r="B5" s="1599">
        <v>5.0172999999999996</v>
      </c>
      <c r="C5" s="1599">
        <v>5.0172999999999996</v>
      </c>
      <c r="D5" s="1599">
        <v>4.7542999999999997</v>
      </c>
      <c r="E5" s="1599">
        <v>4.7542999999999997</v>
      </c>
      <c r="F5" s="1599">
        <v>4.7542999999999997</v>
      </c>
      <c r="G5" s="1599">
        <v>4.7542999999999997</v>
      </c>
      <c r="H5" s="1599">
        <v>4.7542999999999997</v>
      </c>
      <c r="I5" s="1599">
        <v>4.6989999999999998</v>
      </c>
      <c r="J5" s="1599">
        <v>4.6989999999999998</v>
      </c>
      <c r="K5" s="1599">
        <v>4.6989999999999998</v>
      </c>
      <c r="L5" s="1599">
        <v>4.6989999999999998</v>
      </c>
      <c r="M5" s="1599">
        <v>4.6989999999999998</v>
      </c>
    </row>
    <row r="6" spans="1:14">
      <c r="A6" s="1590">
        <v>0.4</v>
      </c>
      <c r="B6" s="1599">
        <v>3.7629999999999999</v>
      </c>
      <c r="C6" s="1599">
        <v>3.7629999999999999</v>
      </c>
      <c r="D6" s="1599">
        <v>3.5657999999999999</v>
      </c>
      <c r="E6" s="1599">
        <v>3.5657999999999999</v>
      </c>
      <c r="F6" s="1599">
        <v>3.5657999999999999</v>
      </c>
      <c r="G6" s="1599">
        <v>3.5657999999999999</v>
      </c>
      <c r="H6" s="1599">
        <v>3.5657999999999999</v>
      </c>
      <c r="I6" s="1599">
        <v>3.5243000000000002</v>
      </c>
      <c r="J6" s="1599">
        <v>3.5243000000000002</v>
      </c>
      <c r="K6" s="1599">
        <v>3.5243000000000002</v>
      </c>
      <c r="L6" s="1599">
        <v>3.5243000000000002</v>
      </c>
      <c r="M6" s="1599">
        <v>3.5243000000000002</v>
      </c>
    </row>
    <row r="7" spans="1:14">
      <c r="A7" s="1590">
        <v>0.5</v>
      </c>
      <c r="B7" s="1599">
        <v>3.0104000000000002</v>
      </c>
      <c r="C7" s="1599">
        <v>3.0104000000000002</v>
      </c>
      <c r="D7" s="1599">
        <v>2.8525999999999998</v>
      </c>
      <c r="E7" s="1599">
        <v>2.8525999999999998</v>
      </c>
      <c r="F7" s="1599">
        <v>2.8525999999999998</v>
      </c>
      <c r="G7" s="1599">
        <v>2.8525999999999998</v>
      </c>
      <c r="H7" s="1599">
        <v>2.8525999999999998</v>
      </c>
      <c r="I7" s="1599">
        <v>2.8193999999999999</v>
      </c>
      <c r="J7" s="1599">
        <v>2.8193999999999999</v>
      </c>
      <c r="K7" s="1599">
        <v>2.8193999999999999</v>
      </c>
      <c r="L7" s="1599">
        <v>2.8193999999999999</v>
      </c>
      <c r="M7" s="1599">
        <v>2.8193999999999999</v>
      </c>
    </row>
    <row r="8" spans="1:14">
      <c r="A8" s="1590">
        <v>0.6</v>
      </c>
      <c r="B8" s="1599">
        <v>2.5087000000000002</v>
      </c>
      <c r="C8" s="1599">
        <v>2.5087000000000002</v>
      </c>
      <c r="D8" s="1599">
        <v>2.3772000000000002</v>
      </c>
      <c r="E8" s="1599">
        <v>2.3772000000000002</v>
      </c>
      <c r="F8" s="1599">
        <v>2.3772000000000002</v>
      </c>
      <c r="G8" s="1599">
        <v>2.3772000000000002</v>
      </c>
      <c r="H8" s="1599">
        <v>2.3772000000000002</v>
      </c>
      <c r="I8" s="1599">
        <v>2.3494999999999999</v>
      </c>
      <c r="J8" s="1599">
        <v>2.3494999999999999</v>
      </c>
      <c r="K8" s="1599">
        <v>2.3494999999999999</v>
      </c>
      <c r="L8" s="1599">
        <v>2.3494999999999999</v>
      </c>
      <c r="M8" s="1599">
        <v>2.3494999999999999</v>
      </c>
    </row>
    <row r="9" spans="1:14">
      <c r="A9" s="1590">
        <v>0.7</v>
      </c>
      <c r="B9" s="1599">
        <v>2.1503000000000001</v>
      </c>
      <c r="C9" s="1599">
        <v>2.1503000000000001</v>
      </c>
      <c r="D9" s="1599">
        <v>2.0375999999999999</v>
      </c>
      <c r="E9" s="1599">
        <v>2.0375999999999999</v>
      </c>
      <c r="F9" s="1599">
        <v>2.0375999999999999</v>
      </c>
      <c r="G9" s="1599">
        <v>2.0375999999999999</v>
      </c>
      <c r="H9" s="1599">
        <v>2.0375999999999999</v>
      </c>
      <c r="I9" s="1599">
        <v>2.0139</v>
      </c>
      <c r="J9" s="1599">
        <v>2.0139</v>
      </c>
      <c r="K9" s="1599">
        <v>2.0139</v>
      </c>
      <c r="L9" s="1599">
        <v>2.0139</v>
      </c>
      <c r="M9" s="1599">
        <v>2.0139</v>
      </c>
    </row>
    <row r="10" spans="1:14">
      <c r="A10" s="1590">
        <v>0.8</v>
      </c>
      <c r="B10" s="1599">
        <v>1.8815</v>
      </c>
      <c r="C10" s="1599">
        <v>1.8815</v>
      </c>
      <c r="D10" s="1599">
        <v>1.7828999999999999</v>
      </c>
      <c r="E10" s="1599">
        <v>1.7828999999999999</v>
      </c>
      <c r="F10" s="1599">
        <v>1.7828999999999999</v>
      </c>
      <c r="G10" s="1599">
        <v>1.7828999999999999</v>
      </c>
      <c r="H10" s="1599">
        <v>1.7828999999999999</v>
      </c>
      <c r="I10" s="1599">
        <v>1.7621</v>
      </c>
      <c r="J10" s="1599">
        <v>1.7621</v>
      </c>
      <c r="K10" s="1599">
        <v>1.7621</v>
      </c>
      <c r="L10" s="1599">
        <v>1.7621</v>
      </c>
      <c r="M10" s="1599">
        <v>1.7621</v>
      </c>
    </row>
    <row r="11" spans="1:14">
      <c r="A11" s="1590">
        <v>0.9</v>
      </c>
      <c r="B11" s="1599">
        <v>1.6724000000000001</v>
      </c>
      <c r="C11" s="1599">
        <v>1.6724000000000001</v>
      </c>
      <c r="D11" s="1599">
        <v>1.5848</v>
      </c>
      <c r="E11" s="1599">
        <v>1.5848</v>
      </c>
      <c r="F11" s="1599">
        <v>1.5848</v>
      </c>
      <c r="G11" s="1599">
        <v>1.5848</v>
      </c>
      <c r="H11" s="1599">
        <v>1.5848</v>
      </c>
      <c r="I11" s="1599">
        <v>1.5663</v>
      </c>
      <c r="J11" s="1599">
        <v>1.5663</v>
      </c>
      <c r="K11" s="1599">
        <v>1.5663</v>
      </c>
      <c r="L11" s="1599">
        <v>1.5663</v>
      </c>
      <c r="M11" s="1599">
        <v>1.5663</v>
      </c>
    </row>
    <row r="12" spans="1:14">
      <c r="A12" s="1590">
        <v>1</v>
      </c>
      <c r="B12" s="1599">
        <v>1.5052000000000001</v>
      </c>
      <c r="C12" s="1599">
        <v>1.5052000000000001</v>
      </c>
      <c r="D12" s="1599">
        <v>1.4262999999999999</v>
      </c>
      <c r="E12" s="1599">
        <v>1.4262999999999999</v>
      </c>
      <c r="F12" s="1599">
        <v>1.4262999999999999</v>
      </c>
      <c r="G12" s="1599">
        <v>1.4262999999999999</v>
      </c>
      <c r="H12" s="1599">
        <v>1.4262999999999999</v>
      </c>
      <c r="I12" s="1599">
        <v>1.4097</v>
      </c>
      <c r="J12" s="1599">
        <v>1.4097</v>
      </c>
      <c r="K12" s="1599">
        <v>1.4097</v>
      </c>
      <c r="L12" s="1599">
        <v>1.4097</v>
      </c>
      <c r="M12" s="1599">
        <v>1.4097</v>
      </c>
    </row>
    <row r="13" spans="1:14">
      <c r="A13" s="1590">
        <v>1.1000000000000001</v>
      </c>
      <c r="B13" s="1599">
        <v>1.4509000000000001</v>
      </c>
      <c r="C13" s="1599">
        <v>1.4509000000000001</v>
      </c>
      <c r="D13" s="1599">
        <v>1.3697999999999999</v>
      </c>
      <c r="E13" s="1599">
        <v>1.3697999999999999</v>
      </c>
      <c r="F13" s="1599">
        <v>1.3697999999999999</v>
      </c>
      <c r="G13" s="1599">
        <v>1.3697999999999999</v>
      </c>
      <c r="H13" s="1599">
        <v>1.3697999999999999</v>
      </c>
      <c r="I13" s="1599">
        <v>1.343</v>
      </c>
      <c r="J13" s="1599">
        <v>1.343</v>
      </c>
      <c r="K13" s="1599">
        <v>1.343</v>
      </c>
      <c r="L13" s="1599">
        <v>1.343</v>
      </c>
      <c r="M13" s="1599">
        <v>1.343</v>
      </c>
    </row>
    <row r="14" spans="1:14">
      <c r="A14" s="1590">
        <v>1.2</v>
      </c>
      <c r="B14" s="1599">
        <v>1.4035</v>
      </c>
      <c r="C14" s="1599">
        <v>1.4035</v>
      </c>
      <c r="D14" s="1599">
        <v>1.3205</v>
      </c>
      <c r="E14" s="1599">
        <v>1.3205</v>
      </c>
      <c r="F14" s="1599">
        <v>1.3205</v>
      </c>
      <c r="G14" s="1599">
        <v>1.3205</v>
      </c>
      <c r="H14" s="1599">
        <v>1.3205</v>
      </c>
      <c r="I14" s="1599">
        <v>1.2845</v>
      </c>
      <c r="J14" s="1599">
        <v>1.2845</v>
      </c>
      <c r="K14" s="1599">
        <v>1.2845</v>
      </c>
      <c r="L14" s="1599">
        <v>1.2845</v>
      </c>
      <c r="M14" s="1599">
        <v>1.2845</v>
      </c>
    </row>
    <row r="15" spans="1:14">
      <c r="A15" s="1590">
        <v>1.3</v>
      </c>
      <c r="B15" s="1599">
        <v>1.3622000000000001</v>
      </c>
      <c r="C15" s="1599">
        <v>1.3622000000000001</v>
      </c>
      <c r="D15" s="1599">
        <v>1.2775000000000001</v>
      </c>
      <c r="E15" s="1599">
        <v>1.2775000000000001</v>
      </c>
      <c r="F15" s="1599">
        <v>1.2775000000000001</v>
      </c>
      <c r="G15" s="1599">
        <v>1.2775000000000001</v>
      </c>
      <c r="H15" s="1599">
        <v>1.2775000000000001</v>
      </c>
      <c r="I15" s="1599">
        <v>1.2332000000000001</v>
      </c>
      <c r="J15" s="1599">
        <v>1.2332000000000001</v>
      </c>
      <c r="K15" s="1599">
        <v>1.2332000000000001</v>
      </c>
      <c r="L15" s="1599">
        <v>1.2332000000000001</v>
      </c>
      <c r="M15" s="1599">
        <v>1.2332000000000001</v>
      </c>
    </row>
    <row r="16" spans="1:14">
      <c r="A16" s="1590">
        <v>1.4</v>
      </c>
      <c r="B16" s="1599">
        <v>1.3262</v>
      </c>
      <c r="C16" s="1599">
        <v>1.3262</v>
      </c>
      <c r="D16" s="1599">
        <v>1.2402</v>
      </c>
      <c r="E16" s="1599">
        <v>1.2402</v>
      </c>
      <c r="F16" s="1599">
        <v>1.2402</v>
      </c>
      <c r="G16" s="1599">
        <v>1.2402</v>
      </c>
      <c r="H16" s="1599">
        <v>1.2402</v>
      </c>
      <c r="I16" s="1599">
        <v>1.1881999999999999</v>
      </c>
      <c r="J16" s="1599">
        <v>1.1881999999999999</v>
      </c>
      <c r="K16" s="1599">
        <v>1.1881999999999999</v>
      </c>
      <c r="L16" s="1599">
        <v>1.1881999999999999</v>
      </c>
      <c r="M16" s="1599">
        <v>1.1881999999999999</v>
      </c>
      <c r="N16" s="1600"/>
    </row>
    <row r="17" spans="1:14">
      <c r="A17" s="1590">
        <v>1.5</v>
      </c>
      <c r="B17" s="1599">
        <v>1.2948</v>
      </c>
      <c r="C17" s="1599">
        <v>1.2948</v>
      </c>
      <c r="D17" s="1599">
        <v>1.2075</v>
      </c>
      <c r="E17" s="1599">
        <v>1.2075</v>
      </c>
      <c r="F17" s="1599">
        <v>1.2075</v>
      </c>
      <c r="G17" s="1599">
        <v>1.2075</v>
      </c>
      <c r="H17" s="1599">
        <v>1.2075</v>
      </c>
      <c r="I17" s="1599">
        <v>1.1486000000000001</v>
      </c>
      <c r="J17" s="1599">
        <v>1.1486000000000001</v>
      </c>
      <c r="K17" s="1599">
        <v>1.1486000000000001</v>
      </c>
      <c r="L17" s="1599">
        <v>1.1486000000000001</v>
      </c>
      <c r="M17" s="1599">
        <v>1.1486000000000001</v>
      </c>
      <c r="N17" s="1600"/>
    </row>
    <row r="18" spans="1:14">
      <c r="A18" s="1590">
        <v>1.6</v>
      </c>
      <c r="B18" s="1599">
        <v>1.2673000000000001</v>
      </c>
      <c r="C18" s="1599">
        <v>1.2673000000000001</v>
      </c>
      <c r="D18" s="1599">
        <v>1.1789000000000001</v>
      </c>
      <c r="E18" s="1599">
        <v>1.1789000000000001</v>
      </c>
      <c r="F18" s="1599">
        <v>1.1789000000000001</v>
      </c>
      <c r="G18" s="1599">
        <v>1.1789000000000001</v>
      </c>
      <c r="H18" s="1599">
        <v>1.1789000000000001</v>
      </c>
      <c r="I18" s="1599">
        <v>1.1134999999999999</v>
      </c>
      <c r="J18" s="1599">
        <v>1.1134999999999999</v>
      </c>
      <c r="K18" s="1599">
        <v>1.1134999999999999</v>
      </c>
      <c r="L18" s="1599">
        <v>1.1134999999999999</v>
      </c>
      <c r="M18" s="1599">
        <v>1.1134999999999999</v>
      </c>
    </row>
    <row r="19" spans="1:14">
      <c r="A19" s="1590">
        <v>1.7</v>
      </c>
      <c r="B19" s="1599">
        <v>1.2428999999999999</v>
      </c>
      <c r="C19" s="1599">
        <v>1.2428999999999999</v>
      </c>
      <c r="D19" s="1599">
        <v>1.1534</v>
      </c>
      <c r="E19" s="1599">
        <v>1.1534</v>
      </c>
      <c r="F19" s="1599">
        <v>1.1534</v>
      </c>
      <c r="G19" s="1599">
        <v>1.1534</v>
      </c>
      <c r="H19" s="1599">
        <v>1.1534</v>
      </c>
      <c r="I19" s="1599">
        <v>1.0820000000000001</v>
      </c>
      <c r="J19" s="1599">
        <v>1.0820000000000001</v>
      </c>
      <c r="K19" s="1599">
        <v>1.0820000000000001</v>
      </c>
      <c r="L19" s="1599">
        <v>1.0820000000000001</v>
      </c>
      <c r="M19" s="1599">
        <v>1.0820000000000001</v>
      </c>
    </row>
    <row r="20" spans="1:14">
      <c r="A20" s="1590">
        <v>1.8</v>
      </c>
      <c r="B20" s="1599">
        <v>1.2206999999999999</v>
      </c>
      <c r="C20" s="1599">
        <v>1.2206999999999999</v>
      </c>
      <c r="D20" s="1599">
        <v>1.1304000000000001</v>
      </c>
      <c r="E20" s="1599">
        <v>1.1304000000000001</v>
      </c>
      <c r="F20" s="1599">
        <v>1.1304000000000001</v>
      </c>
      <c r="G20" s="1599">
        <v>1.1304000000000001</v>
      </c>
      <c r="H20" s="1599">
        <v>1.1304000000000001</v>
      </c>
      <c r="I20" s="1599">
        <v>1.0531999999999999</v>
      </c>
      <c r="J20" s="1599">
        <v>1.0531999999999999</v>
      </c>
      <c r="K20" s="1599">
        <v>1.0531999999999999</v>
      </c>
      <c r="L20" s="1599">
        <v>1.0531999999999999</v>
      </c>
      <c r="M20" s="1599">
        <v>1.0531999999999999</v>
      </c>
    </row>
    <row r="21" spans="1:14">
      <c r="A21" s="1590">
        <v>1.9</v>
      </c>
      <c r="B21" s="1599">
        <v>1.2</v>
      </c>
      <c r="C21" s="1599">
        <v>1.2</v>
      </c>
      <c r="D21" s="1599">
        <v>1.1089</v>
      </c>
      <c r="E21" s="1599">
        <v>1.1089</v>
      </c>
      <c r="F21" s="1599">
        <v>1.1089</v>
      </c>
      <c r="G21" s="1599">
        <v>1.1089</v>
      </c>
      <c r="H21" s="1599">
        <v>1.1089</v>
      </c>
      <c r="I21" s="1599">
        <v>1.0261</v>
      </c>
      <c r="J21" s="1599">
        <v>1.0261</v>
      </c>
      <c r="K21" s="1599">
        <v>1.0261</v>
      </c>
      <c r="L21" s="1599">
        <v>1.0261</v>
      </c>
      <c r="M21" s="1599">
        <v>1.0261</v>
      </c>
    </row>
    <row r="22" spans="1:14">
      <c r="A22" s="1590">
        <v>2</v>
      </c>
      <c r="B22" s="1599">
        <v>1.1800999999999999</v>
      </c>
      <c r="C22" s="1599">
        <v>1.1800999999999999</v>
      </c>
      <c r="D22" s="1599">
        <v>1.0883</v>
      </c>
      <c r="E22" s="1599">
        <v>1.0883</v>
      </c>
      <c r="F22" s="1599">
        <v>1.0883</v>
      </c>
      <c r="G22" s="1599">
        <v>1.0883</v>
      </c>
      <c r="H22" s="1599">
        <v>1.0883</v>
      </c>
      <c r="I22" s="1599">
        <v>1</v>
      </c>
      <c r="J22" s="1599">
        <v>1</v>
      </c>
      <c r="K22" s="1599">
        <v>1</v>
      </c>
      <c r="L22" s="1599">
        <v>1</v>
      </c>
      <c r="M22" s="1599">
        <v>1</v>
      </c>
    </row>
    <row r="23" spans="1:14">
      <c r="A23" s="1613">
        <v>2.1</v>
      </c>
      <c r="B23" s="1599">
        <v>1.1616</v>
      </c>
      <c r="C23" s="1599">
        <v>1.1616</v>
      </c>
      <c r="D23" s="1599">
        <v>1.0685</v>
      </c>
      <c r="E23" s="1599">
        <v>1.0685</v>
      </c>
      <c r="F23" s="1599">
        <v>1.0685</v>
      </c>
      <c r="G23" s="1599">
        <v>1.0685</v>
      </c>
      <c r="H23" s="1599">
        <v>1.0685</v>
      </c>
      <c r="I23" s="1599">
        <v>0.97550000000000003</v>
      </c>
      <c r="J23" s="1599">
        <v>0.97550000000000003</v>
      </c>
      <c r="K23" s="1599">
        <v>0.97550000000000003</v>
      </c>
      <c r="L23" s="1599">
        <v>0.97550000000000003</v>
      </c>
      <c r="M23" s="1599">
        <v>0.97550000000000003</v>
      </c>
    </row>
    <row r="24" spans="1:14">
      <c r="A24" s="1613">
        <v>2.2000000000000002</v>
      </c>
      <c r="B24" s="1599">
        <v>1.1440999999999999</v>
      </c>
      <c r="C24" s="1599">
        <v>1.1440999999999999</v>
      </c>
      <c r="D24" s="1599">
        <v>1.0497000000000001</v>
      </c>
      <c r="E24" s="1599">
        <v>1.0497000000000001</v>
      </c>
      <c r="F24" s="1599">
        <v>1.0497000000000001</v>
      </c>
      <c r="G24" s="1599">
        <v>1.0497000000000001</v>
      </c>
      <c r="H24" s="1599">
        <v>1.0497000000000001</v>
      </c>
      <c r="I24" s="1599">
        <v>0.95230000000000004</v>
      </c>
      <c r="J24" s="1599">
        <v>0.95230000000000004</v>
      </c>
      <c r="K24" s="1599">
        <v>0.95230000000000004</v>
      </c>
      <c r="L24" s="1599">
        <v>0.95230000000000004</v>
      </c>
      <c r="M24" s="1599">
        <v>0.95230000000000004</v>
      </c>
    </row>
    <row r="25" spans="1:14">
      <c r="A25" s="1613">
        <v>2.2999999999999998</v>
      </c>
      <c r="B25" s="1599">
        <v>1.1275999999999999</v>
      </c>
      <c r="C25" s="1599">
        <v>1.1275999999999999</v>
      </c>
      <c r="D25" s="1599">
        <v>1.032</v>
      </c>
      <c r="E25" s="1599">
        <v>1.032</v>
      </c>
      <c r="F25" s="1599">
        <v>1.032</v>
      </c>
      <c r="G25" s="1599">
        <v>1.032</v>
      </c>
      <c r="H25" s="1599">
        <v>1.032</v>
      </c>
      <c r="I25" s="1599">
        <v>0.9304</v>
      </c>
      <c r="J25" s="1599">
        <v>0.9304</v>
      </c>
      <c r="K25" s="1599">
        <v>0.9304</v>
      </c>
      <c r="L25" s="1599">
        <v>0.9304</v>
      </c>
      <c r="M25" s="1599">
        <v>0.9304</v>
      </c>
    </row>
    <row r="26" spans="1:14">
      <c r="A26" s="1613">
        <v>2.4</v>
      </c>
      <c r="B26" s="1599">
        <v>1.1121000000000001</v>
      </c>
      <c r="C26" s="1599">
        <v>1.1121000000000001</v>
      </c>
      <c r="D26" s="1599">
        <v>1.0155000000000001</v>
      </c>
      <c r="E26" s="1599">
        <v>1.0155000000000001</v>
      </c>
      <c r="F26" s="1599">
        <v>1.0155000000000001</v>
      </c>
      <c r="G26" s="1599">
        <v>1.0155000000000001</v>
      </c>
      <c r="H26" s="1599">
        <v>1.0155000000000001</v>
      </c>
      <c r="I26" s="1599">
        <v>0.91</v>
      </c>
      <c r="J26" s="1599">
        <v>0.91</v>
      </c>
      <c r="K26" s="1599">
        <v>0.91</v>
      </c>
      <c r="L26" s="1599">
        <v>0.91</v>
      </c>
      <c r="M26" s="1599">
        <v>0.91</v>
      </c>
    </row>
    <row r="27" spans="1:14">
      <c r="A27" s="1613">
        <v>2.5</v>
      </c>
      <c r="B27" s="1599">
        <v>1.0975999999999999</v>
      </c>
      <c r="C27" s="1599">
        <v>1.0975999999999999</v>
      </c>
      <c r="D27" s="1599">
        <v>1</v>
      </c>
      <c r="E27" s="1599">
        <v>1</v>
      </c>
      <c r="F27" s="1599">
        <v>1</v>
      </c>
      <c r="G27" s="1599">
        <v>1</v>
      </c>
      <c r="H27" s="1599">
        <v>1</v>
      </c>
      <c r="I27" s="1599">
        <v>0.89080000000000004</v>
      </c>
      <c r="J27" s="1599">
        <v>0.89080000000000004</v>
      </c>
      <c r="K27" s="1599">
        <v>0.89080000000000004</v>
      </c>
      <c r="L27" s="1599">
        <v>0.89080000000000004</v>
      </c>
      <c r="M27" s="1599">
        <v>0.89080000000000004</v>
      </c>
    </row>
    <row r="28" spans="1:14">
      <c r="A28" s="1613">
        <v>2.6</v>
      </c>
      <c r="B28" s="1599">
        <v>1.0841000000000001</v>
      </c>
      <c r="C28" s="1599">
        <v>1.0841000000000001</v>
      </c>
      <c r="D28" s="1599">
        <v>0.98619999999999997</v>
      </c>
      <c r="E28" s="1599">
        <v>0.98619999999999997</v>
      </c>
      <c r="F28" s="1599">
        <v>0.98619999999999997</v>
      </c>
      <c r="G28" s="1599">
        <v>0.98619999999999997</v>
      </c>
      <c r="H28" s="1599">
        <v>0.98619999999999997</v>
      </c>
      <c r="I28" s="1599">
        <v>0.873</v>
      </c>
      <c r="J28" s="1599">
        <v>0.873</v>
      </c>
      <c r="K28" s="1599">
        <v>0.873</v>
      </c>
      <c r="L28" s="1599">
        <v>0.873</v>
      </c>
      <c r="M28" s="1599">
        <v>0.873</v>
      </c>
    </row>
    <row r="29" spans="1:14">
      <c r="A29" s="1613">
        <v>2.7</v>
      </c>
      <c r="B29" s="1599">
        <v>1.0716000000000001</v>
      </c>
      <c r="C29" s="1599">
        <v>1.0716000000000001</v>
      </c>
      <c r="D29" s="1599">
        <v>0.97330000000000005</v>
      </c>
      <c r="E29" s="1599">
        <v>0.97330000000000005</v>
      </c>
      <c r="F29" s="1599">
        <v>0.97330000000000005</v>
      </c>
      <c r="G29" s="1599">
        <v>0.97330000000000005</v>
      </c>
      <c r="H29" s="1599">
        <v>0.97330000000000005</v>
      </c>
      <c r="I29" s="1599">
        <v>0.85670000000000002</v>
      </c>
      <c r="J29" s="1599">
        <v>0.85670000000000002</v>
      </c>
      <c r="K29" s="1599">
        <v>0.85670000000000002</v>
      </c>
      <c r="L29" s="1599">
        <v>0.85670000000000002</v>
      </c>
      <c r="M29" s="1599">
        <v>0.85670000000000002</v>
      </c>
    </row>
    <row r="30" spans="1:14">
      <c r="A30" s="1613">
        <v>2.8</v>
      </c>
      <c r="B30" s="1599">
        <v>1.0602</v>
      </c>
      <c r="C30" s="1599">
        <v>1.0602</v>
      </c>
      <c r="D30" s="1599">
        <v>0.96160000000000001</v>
      </c>
      <c r="E30" s="1599">
        <v>0.96160000000000001</v>
      </c>
      <c r="F30" s="1599">
        <v>0.96160000000000001</v>
      </c>
      <c r="G30" s="1599">
        <v>0.96160000000000001</v>
      </c>
      <c r="H30" s="1599">
        <v>0.96160000000000001</v>
      </c>
      <c r="I30" s="1599">
        <v>0.8417</v>
      </c>
      <c r="J30" s="1599">
        <v>0.8417</v>
      </c>
      <c r="K30" s="1599">
        <v>0.8417</v>
      </c>
      <c r="L30" s="1599">
        <v>0.8417</v>
      </c>
      <c r="M30" s="1599">
        <v>0.8417</v>
      </c>
    </row>
    <row r="31" spans="1:14">
      <c r="A31" s="1613">
        <v>2.9</v>
      </c>
      <c r="B31" s="1599">
        <v>1.0497000000000001</v>
      </c>
      <c r="C31" s="1599">
        <v>1.0497000000000001</v>
      </c>
      <c r="D31" s="1599">
        <v>0.95089999999999997</v>
      </c>
      <c r="E31" s="1599">
        <v>0.95089999999999997</v>
      </c>
      <c r="F31" s="1599">
        <v>0.95089999999999997</v>
      </c>
      <c r="G31" s="1599">
        <v>0.95089999999999997</v>
      </c>
      <c r="H31" s="1599">
        <v>0.95089999999999997</v>
      </c>
      <c r="I31" s="1599">
        <v>0.82809999999999995</v>
      </c>
      <c r="J31" s="1599">
        <v>0.82809999999999995</v>
      </c>
      <c r="K31" s="1599">
        <v>0.82809999999999995</v>
      </c>
      <c r="L31" s="1599">
        <v>0.82809999999999995</v>
      </c>
      <c r="M31" s="1599">
        <v>0.82809999999999995</v>
      </c>
    </row>
    <row r="32" spans="1:14">
      <c r="A32" s="1613">
        <v>3</v>
      </c>
      <c r="B32" s="1599">
        <v>1.0401</v>
      </c>
      <c r="C32" s="1599">
        <v>1.0401</v>
      </c>
      <c r="D32" s="1599">
        <v>0.94089999999999996</v>
      </c>
      <c r="E32" s="1599">
        <v>0.94089999999999996</v>
      </c>
      <c r="F32" s="1599">
        <v>0.94089999999999996</v>
      </c>
      <c r="G32" s="1599">
        <v>0.94089999999999996</v>
      </c>
      <c r="H32" s="1599">
        <v>0.94089999999999996</v>
      </c>
      <c r="I32" s="1599">
        <v>0.81579999999999997</v>
      </c>
      <c r="J32" s="1599">
        <v>0.81579999999999997</v>
      </c>
      <c r="K32" s="1599">
        <v>0.81579999999999997</v>
      </c>
      <c r="L32" s="1599">
        <v>0.81579999999999997</v>
      </c>
      <c r="M32" s="1599">
        <v>0.81579999999999997</v>
      </c>
    </row>
    <row r="33" spans="1:13">
      <c r="A33" s="1613">
        <v>3.1</v>
      </c>
      <c r="B33" s="1599">
        <v>1.0314000000000001</v>
      </c>
      <c r="C33" s="1599">
        <v>1.0314000000000001</v>
      </c>
      <c r="D33" s="1599">
        <v>0.93169999999999997</v>
      </c>
      <c r="E33" s="1599">
        <v>0.93169999999999997</v>
      </c>
      <c r="F33" s="1599">
        <v>0.93169999999999997</v>
      </c>
      <c r="G33" s="1599">
        <v>0.93169999999999997</v>
      </c>
      <c r="H33" s="1599">
        <v>0.93169999999999997</v>
      </c>
      <c r="I33" s="1599">
        <v>0.80410000000000004</v>
      </c>
      <c r="J33" s="1599">
        <v>0.80410000000000004</v>
      </c>
      <c r="K33" s="1599">
        <v>0.80410000000000004</v>
      </c>
      <c r="L33" s="1599">
        <v>0.80410000000000004</v>
      </c>
      <c r="M33" s="1599">
        <v>0.80410000000000004</v>
      </c>
    </row>
    <row r="34" spans="1:13">
      <c r="A34" s="1613">
        <v>3.2</v>
      </c>
      <c r="B34" s="1599">
        <v>1.0229999999999999</v>
      </c>
      <c r="C34" s="1599">
        <v>1.0229999999999999</v>
      </c>
      <c r="D34" s="1599">
        <v>0.92279999999999995</v>
      </c>
      <c r="E34" s="1599">
        <v>0.92279999999999995</v>
      </c>
      <c r="F34" s="1599">
        <v>0.92279999999999995</v>
      </c>
      <c r="G34" s="1599">
        <v>0.92279999999999995</v>
      </c>
      <c r="H34" s="1599">
        <v>0.92279999999999995</v>
      </c>
      <c r="I34" s="1599">
        <v>0.79300000000000004</v>
      </c>
      <c r="J34" s="1599">
        <v>0.79300000000000004</v>
      </c>
      <c r="K34" s="1599">
        <v>0.79300000000000004</v>
      </c>
      <c r="L34" s="1599">
        <v>0.79300000000000004</v>
      </c>
      <c r="M34" s="1599">
        <v>0.79300000000000004</v>
      </c>
    </row>
    <row r="35" spans="1:13">
      <c r="A35" s="1613">
        <v>3.3</v>
      </c>
      <c r="B35" s="1599">
        <v>1.0149999999999999</v>
      </c>
      <c r="C35" s="1599">
        <v>1.0149999999999999</v>
      </c>
      <c r="D35" s="1599">
        <v>0.91439999999999999</v>
      </c>
      <c r="E35" s="1599">
        <v>0.91439999999999999</v>
      </c>
      <c r="F35" s="1599">
        <v>0.91439999999999999</v>
      </c>
      <c r="G35" s="1599">
        <v>0.91439999999999999</v>
      </c>
      <c r="H35" s="1599">
        <v>0.91439999999999999</v>
      </c>
      <c r="I35" s="1599">
        <v>0.78220000000000001</v>
      </c>
      <c r="J35" s="1599">
        <v>0.78220000000000001</v>
      </c>
      <c r="K35" s="1599">
        <v>0.78220000000000001</v>
      </c>
      <c r="L35" s="1599">
        <v>0.78220000000000001</v>
      </c>
      <c r="M35" s="1599">
        <v>0.78220000000000001</v>
      </c>
    </row>
    <row r="36" spans="1:13">
      <c r="A36" s="1613">
        <v>3.4</v>
      </c>
      <c r="B36" s="1599">
        <v>1.0073000000000001</v>
      </c>
      <c r="C36" s="1599">
        <v>1.0073000000000001</v>
      </c>
      <c r="D36" s="1599">
        <v>0.90629999999999999</v>
      </c>
      <c r="E36" s="1599">
        <v>0.90629999999999999</v>
      </c>
      <c r="F36" s="1599">
        <v>0.90629999999999999</v>
      </c>
      <c r="G36" s="1599">
        <v>0.90629999999999999</v>
      </c>
      <c r="H36" s="1599">
        <v>0.90629999999999999</v>
      </c>
      <c r="I36" s="1599">
        <v>0.77210000000000001</v>
      </c>
      <c r="J36" s="1599">
        <v>0.77210000000000001</v>
      </c>
      <c r="K36" s="1599">
        <v>0.77210000000000001</v>
      </c>
      <c r="L36" s="1599">
        <v>0.77210000000000001</v>
      </c>
      <c r="M36" s="1599">
        <v>0.77210000000000001</v>
      </c>
    </row>
    <row r="37" spans="1:13">
      <c r="A37" s="1613">
        <v>3.5</v>
      </c>
      <c r="B37" s="1599">
        <v>1</v>
      </c>
      <c r="C37" s="1599">
        <v>1</v>
      </c>
      <c r="D37" s="1599">
        <v>0.89870000000000005</v>
      </c>
      <c r="E37" s="1599">
        <v>0.89870000000000005</v>
      </c>
      <c r="F37" s="1599">
        <v>0.89870000000000005</v>
      </c>
      <c r="G37" s="1599">
        <v>0.89870000000000005</v>
      </c>
      <c r="H37" s="1599">
        <v>0.89870000000000005</v>
      </c>
      <c r="I37" s="1599">
        <v>0.76239999999999997</v>
      </c>
      <c r="J37" s="1599">
        <v>0.76239999999999997</v>
      </c>
      <c r="K37" s="1599">
        <v>0.76239999999999997</v>
      </c>
      <c r="L37" s="1599">
        <v>0.76239999999999997</v>
      </c>
      <c r="M37" s="1599">
        <v>0.76239999999999997</v>
      </c>
    </row>
    <row r="38" spans="1:13">
      <c r="A38" s="1613">
        <v>3.6</v>
      </c>
      <c r="B38" s="1599">
        <v>0.99329999999999996</v>
      </c>
      <c r="C38" s="1599">
        <v>0.99329999999999996</v>
      </c>
      <c r="D38" s="1599">
        <v>0.89139999999999997</v>
      </c>
      <c r="E38" s="1599">
        <v>0.89139999999999997</v>
      </c>
      <c r="F38" s="1599">
        <v>0.89139999999999997</v>
      </c>
      <c r="G38" s="1599">
        <v>0.89139999999999997</v>
      </c>
      <c r="H38" s="1599">
        <v>0.89139999999999997</v>
      </c>
      <c r="I38" s="1599">
        <v>0.75319999999999998</v>
      </c>
      <c r="J38" s="1599">
        <v>0.75319999999999998</v>
      </c>
      <c r="K38" s="1599">
        <v>0.75319999999999998</v>
      </c>
      <c r="L38" s="1599">
        <v>0.75319999999999998</v>
      </c>
      <c r="M38" s="1599">
        <v>0.75319999999999998</v>
      </c>
    </row>
    <row r="39" spans="1:13">
      <c r="A39" s="1613">
        <v>3.7</v>
      </c>
      <c r="B39" s="1599">
        <v>0.9869</v>
      </c>
      <c r="C39" s="1599">
        <v>0.9869</v>
      </c>
      <c r="D39" s="1599">
        <v>0.88449999999999995</v>
      </c>
      <c r="E39" s="1599">
        <v>0.88449999999999995</v>
      </c>
      <c r="F39" s="1599">
        <v>0.88449999999999995</v>
      </c>
      <c r="G39" s="1599">
        <v>0.88449999999999995</v>
      </c>
      <c r="H39" s="1599">
        <v>0.88449999999999995</v>
      </c>
      <c r="I39" s="1599">
        <v>0.74460000000000004</v>
      </c>
      <c r="J39" s="1599">
        <v>0.74460000000000004</v>
      </c>
      <c r="K39" s="1599">
        <v>0.74460000000000004</v>
      </c>
      <c r="L39" s="1599">
        <v>0.74460000000000004</v>
      </c>
      <c r="M39" s="1599">
        <v>0.74460000000000004</v>
      </c>
    </row>
    <row r="40" spans="1:13">
      <c r="A40" s="1613">
        <v>3.8</v>
      </c>
      <c r="B40" s="1599">
        <v>0.98080000000000001</v>
      </c>
      <c r="C40" s="1599">
        <v>0.98080000000000001</v>
      </c>
      <c r="D40" s="1599">
        <v>0.87809999999999999</v>
      </c>
      <c r="E40" s="1599">
        <v>0.87809999999999999</v>
      </c>
      <c r="F40" s="1599">
        <v>0.87809999999999999</v>
      </c>
      <c r="G40" s="1599">
        <v>0.87809999999999999</v>
      </c>
      <c r="H40" s="1599">
        <v>0.87809999999999999</v>
      </c>
      <c r="I40" s="1599">
        <v>0.73640000000000005</v>
      </c>
      <c r="J40" s="1599">
        <v>0.73640000000000005</v>
      </c>
      <c r="K40" s="1599">
        <v>0.73640000000000005</v>
      </c>
      <c r="L40" s="1599">
        <v>0.73640000000000005</v>
      </c>
      <c r="M40" s="1599">
        <v>0.73640000000000005</v>
      </c>
    </row>
    <row r="41" spans="1:13">
      <c r="A41" s="1613">
        <v>3.9</v>
      </c>
      <c r="B41" s="1599">
        <v>0.97509999999999997</v>
      </c>
      <c r="C41" s="1599">
        <v>0.97509999999999997</v>
      </c>
      <c r="D41" s="1599">
        <v>0.87209999999999999</v>
      </c>
      <c r="E41" s="1599">
        <v>0.87209999999999999</v>
      </c>
      <c r="F41" s="1599">
        <v>0.87209999999999999</v>
      </c>
      <c r="G41" s="1599">
        <v>0.87209999999999999</v>
      </c>
      <c r="H41" s="1599">
        <v>0.87209999999999999</v>
      </c>
      <c r="I41" s="1599">
        <v>0.7288</v>
      </c>
      <c r="J41" s="1599">
        <v>0.7288</v>
      </c>
      <c r="K41" s="1599">
        <v>0.7288</v>
      </c>
      <c r="L41" s="1599">
        <v>0.7288</v>
      </c>
      <c r="M41" s="1599">
        <v>0.7288</v>
      </c>
    </row>
    <row r="42" spans="1:13">
      <c r="A42" s="1613">
        <v>4</v>
      </c>
      <c r="B42" s="1599">
        <v>0.96989999999999998</v>
      </c>
      <c r="C42" s="1599">
        <v>0.96989999999999998</v>
      </c>
      <c r="D42" s="1599">
        <v>0.86650000000000005</v>
      </c>
      <c r="E42" s="1599">
        <v>0.86650000000000005</v>
      </c>
      <c r="F42" s="1599">
        <v>0.86650000000000005</v>
      </c>
      <c r="G42" s="1599">
        <v>0.86650000000000005</v>
      </c>
      <c r="H42" s="1599">
        <v>0.86650000000000005</v>
      </c>
      <c r="I42" s="1599">
        <v>0.7218</v>
      </c>
      <c r="J42" s="1599">
        <v>0.7218</v>
      </c>
      <c r="K42" s="1599">
        <v>0.7218</v>
      </c>
      <c r="L42" s="1599">
        <v>0.7218</v>
      </c>
      <c r="M42" s="1599">
        <v>0.7218</v>
      </c>
    </row>
    <row r="43" spans="1:13">
      <c r="A43" s="1613">
        <v>4.0999999999999996</v>
      </c>
      <c r="B43" s="1599">
        <v>0.96479999999999999</v>
      </c>
      <c r="C43" s="1599">
        <v>0.96479999999999999</v>
      </c>
      <c r="D43" s="1599">
        <v>0.86109999999999998</v>
      </c>
      <c r="E43" s="1599">
        <v>0.86109999999999998</v>
      </c>
      <c r="F43" s="1599">
        <v>0.86109999999999998</v>
      </c>
      <c r="G43" s="1599">
        <v>0.86109999999999998</v>
      </c>
      <c r="H43" s="1599">
        <v>0.86109999999999998</v>
      </c>
      <c r="I43" s="1599">
        <v>0.71499999999999997</v>
      </c>
      <c r="J43" s="1599">
        <v>0.71499999999999997</v>
      </c>
      <c r="K43" s="1599">
        <v>0.71499999999999997</v>
      </c>
      <c r="L43" s="1599">
        <v>0.71499999999999997</v>
      </c>
      <c r="M43" s="1599">
        <v>0.71499999999999997</v>
      </c>
    </row>
    <row r="44" spans="1:13">
      <c r="A44" s="1613">
        <v>4.2</v>
      </c>
      <c r="B44" s="1599">
        <v>0.96</v>
      </c>
      <c r="C44" s="1599">
        <v>0.96</v>
      </c>
      <c r="D44" s="1599">
        <v>0.85599999999999998</v>
      </c>
      <c r="E44" s="1599">
        <v>0.85599999999999998</v>
      </c>
      <c r="F44" s="1599">
        <v>0.85599999999999998</v>
      </c>
      <c r="G44" s="1599">
        <v>0.85599999999999998</v>
      </c>
      <c r="H44" s="1599">
        <v>0.85599999999999998</v>
      </c>
      <c r="I44" s="1599">
        <v>0.70840000000000003</v>
      </c>
      <c r="J44" s="1599">
        <v>0.70840000000000003</v>
      </c>
      <c r="K44" s="1599">
        <v>0.70840000000000003</v>
      </c>
      <c r="L44" s="1599">
        <v>0.70840000000000003</v>
      </c>
      <c r="M44" s="1599">
        <v>0.70840000000000003</v>
      </c>
    </row>
    <row r="45" spans="1:13">
      <c r="A45" s="1613">
        <v>4.3</v>
      </c>
      <c r="B45" s="1599">
        <v>0.95530000000000004</v>
      </c>
      <c r="C45" s="1599">
        <v>0.95530000000000004</v>
      </c>
      <c r="D45" s="1599">
        <v>0.85099999999999998</v>
      </c>
      <c r="E45" s="1599">
        <v>0.85099999999999998</v>
      </c>
      <c r="F45" s="1599">
        <v>0.85099999999999998</v>
      </c>
      <c r="G45" s="1599">
        <v>0.85099999999999998</v>
      </c>
      <c r="H45" s="1599">
        <v>0.85099999999999998</v>
      </c>
      <c r="I45" s="1599">
        <v>0.70199999999999996</v>
      </c>
      <c r="J45" s="1599">
        <v>0.70199999999999996</v>
      </c>
      <c r="K45" s="1599">
        <v>0.70199999999999996</v>
      </c>
      <c r="L45" s="1599">
        <v>0.70199999999999996</v>
      </c>
      <c r="M45" s="1599">
        <v>0.70199999999999996</v>
      </c>
    </row>
    <row r="46" spans="1:13">
      <c r="A46" s="1613">
        <v>4.4000000000000004</v>
      </c>
      <c r="B46" s="1599">
        <v>0.95079999999999998</v>
      </c>
      <c r="C46" s="1599">
        <v>0.95079999999999998</v>
      </c>
      <c r="D46" s="1599">
        <v>0.84619999999999995</v>
      </c>
      <c r="E46" s="1599">
        <v>0.84619999999999995</v>
      </c>
      <c r="F46" s="1599">
        <v>0.84619999999999995</v>
      </c>
      <c r="G46" s="1599">
        <v>0.84619999999999995</v>
      </c>
      <c r="H46" s="1599">
        <v>0.84619999999999995</v>
      </c>
      <c r="I46" s="1599">
        <v>0.69579999999999997</v>
      </c>
      <c r="J46" s="1599">
        <v>0.69579999999999997</v>
      </c>
      <c r="K46" s="1599">
        <v>0.69579999999999997</v>
      </c>
      <c r="L46" s="1599">
        <v>0.69579999999999997</v>
      </c>
      <c r="M46" s="1599">
        <v>0.69579999999999997</v>
      </c>
    </row>
    <row r="47" spans="1:13">
      <c r="A47" s="1613">
        <v>4.5</v>
      </c>
      <c r="B47" s="1599">
        <v>0.94640000000000002</v>
      </c>
      <c r="C47" s="1599">
        <v>0.94640000000000002</v>
      </c>
      <c r="D47" s="1599">
        <v>0.84150000000000003</v>
      </c>
      <c r="E47" s="1599">
        <v>0.84150000000000003</v>
      </c>
      <c r="F47" s="1599">
        <v>0.84150000000000003</v>
      </c>
      <c r="G47" s="1599">
        <v>0.84150000000000003</v>
      </c>
      <c r="H47" s="1599">
        <v>0.84150000000000003</v>
      </c>
      <c r="I47" s="1599">
        <v>0.68989999999999996</v>
      </c>
      <c r="J47" s="1599">
        <v>0.68989999999999996</v>
      </c>
      <c r="K47" s="1599">
        <v>0.68989999999999996</v>
      </c>
      <c r="L47" s="1599">
        <v>0.68989999999999996</v>
      </c>
      <c r="M47" s="1599">
        <v>0.68989999999999996</v>
      </c>
    </row>
    <row r="48" spans="1:13">
      <c r="A48" s="1613">
        <v>4.5999999999999996</v>
      </c>
      <c r="B48" s="1599">
        <v>0.94230000000000003</v>
      </c>
      <c r="C48" s="1599">
        <v>0.94230000000000003</v>
      </c>
      <c r="D48" s="1599">
        <v>0.83709999999999996</v>
      </c>
      <c r="E48" s="1599">
        <v>0.83709999999999996</v>
      </c>
      <c r="F48" s="1599">
        <v>0.83709999999999996</v>
      </c>
      <c r="G48" s="1599">
        <v>0.83709999999999996</v>
      </c>
      <c r="H48" s="1599">
        <v>0.83709999999999996</v>
      </c>
      <c r="I48" s="1599">
        <v>0.68430000000000002</v>
      </c>
      <c r="J48" s="1599">
        <v>0.68430000000000002</v>
      </c>
      <c r="K48" s="1599">
        <v>0.68430000000000002</v>
      </c>
      <c r="L48" s="1599">
        <v>0.68430000000000002</v>
      </c>
      <c r="M48" s="1599">
        <v>0.68430000000000002</v>
      </c>
    </row>
    <row r="49" spans="1:13">
      <c r="A49" s="1613">
        <v>4.7</v>
      </c>
      <c r="B49" s="1599">
        <v>0.93830000000000002</v>
      </c>
      <c r="C49" s="1599">
        <v>0.93830000000000002</v>
      </c>
      <c r="D49" s="1599">
        <v>0.83279999999999998</v>
      </c>
      <c r="E49" s="1599">
        <v>0.83279999999999998</v>
      </c>
      <c r="F49" s="1599">
        <v>0.83279999999999998</v>
      </c>
      <c r="G49" s="1599">
        <v>0.83279999999999998</v>
      </c>
      <c r="H49" s="1599">
        <v>0.83279999999999998</v>
      </c>
      <c r="I49" s="1599">
        <v>0.67879999999999996</v>
      </c>
      <c r="J49" s="1599">
        <v>0.67879999999999996</v>
      </c>
      <c r="K49" s="1599">
        <v>0.67879999999999996</v>
      </c>
      <c r="L49" s="1599">
        <v>0.67879999999999996</v>
      </c>
      <c r="M49" s="1599">
        <v>0.67879999999999996</v>
      </c>
    </row>
    <row r="50" spans="1:13">
      <c r="A50" s="1613">
        <v>4.8</v>
      </c>
      <c r="B50" s="1599">
        <v>0.9345</v>
      </c>
      <c r="C50" s="1599">
        <v>0.9345</v>
      </c>
      <c r="D50" s="1599">
        <v>0.82869999999999999</v>
      </c>
      <c r="E50" s="1599">
        <v>0.82869999999999999</v>
      </c>
      <c r="F50" s="1599">
        <v>0.82869999999999999</v>
      </c>
      <c r="G50" s="1599">
        <v>0.82869999999999999</v>
      </c>
      <c r="H50" s="1599">
        <v>0.82869999999999999</v>
      </c>
      <c r="I50" s="1599">
        <v>0.67359999999999998</v>
      </c>
      <c r="J50" s="1599">
        <v>0.67359999999999998</v>
      </c>
      <c r="K50" s="1599">
        <v>0.67359999999999998</v>
      </c>
      <c r="L50" s="1599">
        <v>0.67359999999999998</v>
      </c>
      <c r="M50" s="1599">
        <v>0.67359999999999998</v>
      </c>
    </row>
    <row r="51" spans="1:13">
      <c r="A51" s="1613">
        <v>4.9000000000000004</v>
      </c>
      <c r="B51" s="1599">
        <v>0.93079999999999996</v>
      </c>
      <c r="C51" s="1599">
        <v>0.93079999999999996</v>
      </c>
      <c r="D51" s="1599">
        <v>0.82479999999999998</v>
      </c>
      <c r="E51" s="1599">
        <v>0.82479999999999998</v>
      </c>
      <c r="F51" s="1599">
        <v>0.82479999999999998</v>
      </c>
      <c r="G51" s="1599">
        <v>0.82479999999999998</v>
      </c>
      <c r="H51" s="1599">
        <v>0.82479999999999998</v>
      </c>
      <c r="I51" s="1599">
        <v>0.66849999999999998</v>
      </c>
      <c r="J51" s="1599">
        <v>0.66849999999999998</v>
      </c>
      <c r="K51" s="1599">
        <v>0.66849999999999998</v>
      </c>
      <c r="L51" s="1599">
        <v>0.66849999999999998</v>
      </c>
      <c r="M51" s="1599">
        <v>0.66849999999999998</v>
      </c>
    </row>
    <row r="52" spans="1:13">
      <c r="A52" s="1613">
        <v>5</v>
      </c>
      <c r="B52" s="1599">
        <v>0.9274</v>
      </c>
      <c r="C52" s="1599">
        <v>0.9274</v>
      </c>
      <c r="D52" s="1599">
        <v>0.82110000000000005</v>
      </c>
      <c r="E52" s="1599">
        <v>0.82110000000000005</v>
      </c>
      <c r="F52" s="1599">
        <v>0.82110000000000005</v>
      </c>
      <c r="G52" s="1599">
        <v>0.82110000000000005</v>
      </c>
      <c r="H52" s="1599">
        <v>0.82110000000000005</v>
      </c>
      <c r="I52" s="1599">
        <v>0.66369999999999996</v>
      </c>
      <c r="J52" s="1599">
        <v>0.66369999999999996</v>
      </c>
      <c r="K52" s="1599">
        <v>0.66369999999999996</v>
      </c>
      <c r="L52" s="1599">
        <v>0.66369999999999996</v>
      </c>
      <c r="M52" s="1599">
        <v>0.66369999999999996</v>
      </c>
    </row>
    <row r="53" spans="1:13">
      <c r="A53" s="1590">
        <v>5.0999999999999996</v>
      </c>
      <c r="B53" s="1599">
        <v>0.92410000000000003</v>
      </c>
      <c r="C53" s="1599">
        <v>0.92410000000000003</v>
      </c>
      <c r="D53" s="1599">
        <v>0.8175</v>
      </c>
      <c r="E53" s="1599">
        <v>0.8175</v>
      </c>
      <c r="F53" s="1599">
        <v>0.8175</v>
      </c>
      <c r="G53" s="1599">
        <v>0.8175</v>
      </c>
      <c r="H53" s="1599">
        <v>0.8175</v>
      </c>
      <c r="I53" s="1599">
        <v>0.65900000000000003</v>
      </c>
      <c r="J53" s="1599">
        <v>0.65900000000000003</v>
      </c>
      <c r="K53" s="1599">
        <v>0.65900000000000003</v>
      </c>
      <c r="L53" s="1599">
        <v>0.65900000000000003</v>
      </c>
      <c r="M53" s="1599">
        <v>0.65900000000000003</v>
      </c>
    </row>
    <row r="54" spans="1:13">
      <c r="A54" s="1590">
        <v>5.2</v>
      </c>
      <c r="B54" s="1599">
        <v>0.92090000000000005</v>
      </c>
      <c r="C54" s="1599">
        <v>0.92090000000000005</v>
      </c>
      <c r="D54" s="1599">
        <v>0.81399999999999995</v>
      </c>
      <c r="E54" s="1599">
        <v>0.81399999999999995</v>
      </c>
      <c r="F54" s="1599">
        <v>0.81399999999999995</v>
      </c>
      <c r="G54" s="1599">
        <v>0.81399999999999995</v>
      </c>
      <c r="H54" s="1599">
        <v>0.81399999999999995</v>
      </c>
      <c r="I54" s="1599">
        <v>0.65449999999999997</v>
      </c>
      <c r="J54" s="1599">
        <v>0.65449999999999997</v>
      </c>
      <c r="K54" s="1599">
        <v>0.65449999999999997</v>
      </c>
      <c r="L54" s="1599">
        <v>0.65449999999999997</v>
      </c>
      <c r="M54" s="1599">
        <v>0.65449999999999997</v>
      </c>
    </row>
    <row r="55" spans="1:13">
      <c r="A55" s="1590">
        <v>5.3</v>
      </c>
      <c r="B55" s="1599">
        <v>0.91790000000000005</v>
      </c>
      <c r="C55" s="1599">
        <v>0.91790000000000005</v>
      </c>
      <c r="D55" s="1599">
        <v>0.81059999999999999</v>
      </c>
      <c r="E55" s="1599">
        <v>0.81059999999999999</v>
      </c>
      <c r="F55" s="1599">
        <v>0.81059999999999999</v>
      </c>
      <c r="G55" s="1599">
        <v>0.81059999999999999</v>
      </c>
      <c r="H55" s="1599">
        <v>0.81059999999999999</v>
      </c>
      <c r="I55" s="1599">
        <v>0.6502</v>
      </c>
      <c r="J55" s="1599">
        <v>0.6502</v>
      </c>
      <c r="K55" s="1599">
        <v>0.6502</v>
      </c>
      <c r="L55" s="1599">
        <v>0.6502</v>
      </c>
      <c r="M55" s="1599">
        <v>0.6502</v>
      </c>
    </row>
    <row r="56" spans="1:13">
      <c r="A56" s="1590">
        <v>5.4</v>
      </c>
      <c r="B56" s="1599">
        <v>0.91490000000000005</v>
      </c>
      <c r="C56" s="1599">
        <v>0.91490000000000005</v>
      </c>
      <c r="D56" s="1599">
        <v>0.80740000000000001</v>
      </c>
      <c r="E56" s="1599">
        <v>0.80740000000000001</v>
      </c>
      <c r="F56" s="1599">
        <v>0.80740000000000001</v>
      </c>
      <c r="G56" s="1599">
        <v>0.80740000000000001</v>
      </c>
      <c r="H56" s="1599">
        <v>0.80740000000000001</v>
      </c>
      <c r="I56" s="1599">
        <v>0.64590000000000003</v>
      </c>
      <c r="J56" s="1599">
        <v>0.64590000000000003</v>
      </c>
      <c r="K56" s="1599">
        <v>0.64590000000000003</v>
      </c>
      <c r="L56" s="1599">
        <v>0.64590000000000003</v>
      </c>
      <c r="M56" s="1599">
        <v>0.64590000000000003</v>
      </c>
    </row>
    <row r="57" spans="1:13">
      <c r="A57" s="1590">
        <v>5.5</v>
      </c>
      <c r="B57" s="1599">
        <v>0.91200000000000003</v>
      </c>
      <c r="C57" s="1599">
        <v>0.91200000000000003</v>
      </c>
      <c r="D57" s="1599">
        <v>0.80420000000000003</v>
      </c>
      <c r="E57" s="1599">
        <v>0.80420000000000003</v>
      </c>
      <c r="F57" s="1599">
        <v>0.80420000000000003</v>
      </c>
      <c r="G57" s="1599">
        <v>0.80420000000000003</v>
      </c>
      <c r="H57" s="1599">
        <v>0.80420000000000003</v>
      </c>
      <c r="I57" s="1599">
        <v>0.64180000000000004</v>
      </c>
      <c r="J57" s="1599">
        <v>0.64180000000000004</v>
      </c>
      <c r="K57" s="1599">
        <v>0.64180000000000004</v>
      </c>
      <c r="L57" s="1599">
        <v>0.64180000000000004</v>
      </c>
      <c r="M57" s="1599">
        <v>0.64180000000000004</v>
      </c>
    </row>
    <row r="58" spans="1:13">
      <c r="A58" s="1590">
        <v>5.6</v>
      </c>
      <c r="B58" s="1599">
        <v>0.90910000000000002</v>
      </c>
      <c r="C58" s="1599">
        <v>0.90910000000000002</v>
      </c>
      <c r="D58" s="1599">
        <v>0.80120000000000002</v>
      </c>
      <c r="E58" s="1599">
        <v>0.80120000000000002</v>
      </c>
      <c r="F58" s="1599">
        <v>0.80120000000000002</v>
      </c>
      <c r="G58" s="1599">
        <v>0.80120000000000002</v>
      </c>
      <c r="H58" s="1599">
        <v>0.80120000000000002</v>
      </c>
      <c r="I58" s="1599">
        <v>0.63790000000000002</v>
      </c>
      <c r="J58" s="1599">
        <v>0.63790000000000002</v>
      </c>
      <c r="K58" s="1599">
        <v>0.63790000000000002</v>
      </c>
      <c r="L58" s="1599">
        <v>0.63790000000000002</v>
      </c>
      <c r="M58" s="1599">
        <v>0.63790000000000002</v>
      </c>
    </row>
    <row r="59" spans="1:13">
      <c r="A59" s="1613">
        <v>5.7</v>
      </c>
      <c r="B59" s="1599">
        <v>0.90639999999999998</v>
      </c>
      <c r="C59" s="1599">
        <v>0.90639999999999998</v>
      </c>
      <c r="D59" s="1599">
        <v>0.79820000000000002</v>
      </c>
      <c r="E59" s="1599">
        <v>0.79820000000000002</v>
      </c>
      <c r="F59" s="1599">
        <v>0.79820000000000002</v>
      </c>
      <c r="G59" s="1599">
        <v>0.79820000000000002</v>
      </c>
      <c r="H59" s="1599">
        <v>0.79820000000000002</v>
      </c>
      <c r="I59" s="1599">
        <v>0.6341</v>
      </c>
      <c r="J59" s="1599">
        <v>0.6341</v>
      </c>
      <c r="K59" s="1599">
        <v>0.6341</v>
      </c>
      <c r="L59" s="1599">
        <v>0.6341</v>
      </c>
      <c r="M59" s="1599">
        <v>0.6341</v>
      </c>
    </row>
    <row r="60" spans="1:13">
      <c r="A60" s="1590">
        <v>5.8</v>
      </c>
      <c r="B60" s="1599">
        <v>0.90380000000000005</v>
      </c>
      <c r="C60" s="1599">
        <v>0.90380000000000005</v>
      </c>
      <c r="D60" s="1599">
        <v>0.7954</v>
      </c>
      <c r="E60" s="1599">
        <v>0.7954</v>
      </c>
      <c r="F60" s="1599">
        <v>0.7954</v>
      </c>
      <c r="G60" s="1599">
        <v>0.7954</v>
      </c>
      <c r="H60" s="1599">
        <v>0.7954</v>
      </c>
      <c r="I60" s="1599">
        <v>0.63039999999999996</v>
      </c>
      <c r="J60" s="1599">
        <v>0.63039999999999996</v>
      </c>
      <c r="K60" s="1599">
        <v>0.63039999999999996</v>
      </c>
      <c r="L60" s="1599">
        <v>0.63039999999999996</v>
      </c>
      <c r="M60" s="1599">
        <v>0.63039999999999996</v>
      </c>
    </row>
    <row r="61" spans="1:13">
      <c r="A61" s="1590">
        <v>5.9</v>
      </c>
      <c r="B61" s="1599">
        <v>0.90129999999999999</v>
      </c>
      <c r="C61" s="1599">
        <v>0.90129999999999999</v>
      </c>
      <c r="D61" s="1599">
        <v>0.79269999999999996</v>
      </c>
      <c r="E61" s="1599">
        <v>0.79269999999999996</v>
      </c>
      <c r="F61" s="1599">
        <v>0.79269999999999996</v>
      </c>
      <c r="G61" s="1599">
        <v>0.79269999999999996</v>
      </c>
      <c r="H61" s="1599">
        <v>0.79269999999999996</v>
      </c>
      <c r="I61" s="1599">
        <v>0.62690000000000001</v>
      </c>
      <c r="J61" s="1599">
        <v>0.62690000000000001</v>
      </c>
      <c r="K61" s="1599">
        <v>0.62690000000000001</v>
      </c>
      <c r="L61" s="1599">
        <v>0.62690000000000001</v>
      </c>
      <c r="M61" s="1599">
        <v>0.62690000000000001</v>
      </c>
    </row>
    <row r="62" spans="1:13">
      <c r="A62" s="1590">
        <v>6</v>
      </c>
      <c r="B62" s="1599">
        <v>0.89890000000000003</v>
      </c>
      <c r="C62" s="1599">
        <v>0.89890000000000003</v>
      </c>
      <c r="D62" s="1599">
        <v>0.79020000000000001</v>
      </c>
      <c r="E62" s="1599">
        <v>0.79020000000000001</v>
      </c>
      <c r="F62" s="1599">
        <v>0.79020000000000001</v>
      </c>
      <c r="G62" s="1599">
        <v>0.79020000000000001</v>
      </c>
      <c r="H62" s="1599">
        <v>0.79020000000000001</v>
      </c>
      <c r="I62" s="1599">
        <v>0.62350000000000005</v>
      </c>
      <c r="J62" s="1599">
        <v>0.62350000000000005</v>
      </c>
      <c r="K62" s="1599">
        <v>0.62350000000000005</v>
      </c>
      <c r="L62" s="1599">
        <v>0.62350000000000005</v>
      </c>
      <c r="M62" s="1599">
        <v>0.62350000000000005</v>
      </c>
    </row>
    <row r="63" spans="1:13">
      <c r="A63" s="1590">
        <v>6.1</v>
      </c>
      <c r="B63" s="1599">
        <v>0.89649999999999996</v>
      </c>
      <c r="C63" s="1599">
        <v>0.89649999999999996</v>
      </c>
      <c r="D63" s="1599">
        <v>0.78769999999999996</v>
      </c>
      <c r="E63" s="1599">
        <v>0.78769999999999996</v>
      </c>
      <c r="F63" s="1599">
        <v>0.78769999999999996</v>
      </c>
      <c r="G63" s="1599">
        <v>0.78769999999999996</v>
      </c>
      <c r="H63" s="1599">
        <v>0.78769999999999996</v>
      </c>
      <c r="I63" s="1599">
        <v>0.62029999999999996</v>
      </c>
      <c r="J63" s="1599">
        <v>0.62029999999999996</v>
      </c>
      <c r="K63" s="1599">
        <v>0.62029999999999996</v>
      </c>
      <c r="L63" s="1599">
        <v>0.62029999999999996</v>
      </c>
      <c r="M63" s="1599">
        <v>0.62029999999999996</v>
      </c>
    </row>
    <row r="64" spans="1:13">
      <c r="A64" s="1590">
        <v>6.2</v>
      </c>
      <c r="B64" s="1599">
        <v>0.89429999999999998</v>
      </c>
      <c r="C64" s="1599">
        <v>0.89429999999999998</v>
      </c>
      <c r="D64" s="1599">
        <v>0.78520000000000001</v>
      </c>
      <c r="E64" s="1599">
        <v>0.78520000000000001</v>
      </c>
      <c r="F64" s="1599">
        <v>0.78520000000000001</v>
      </c>
      <c r="G64" s="1599">
        <v>0.78520000000000001</v>
      </c>
      <c r="H64" s="1599">
        <v>0.78520000000000001</v>
      </c>
      <c r="I64" s="1599">
        <v>0.61719999999999997</v>
      </c>
      <c r="J64" s="1599">
        <v>0.61719999999999997</v>
      </c>
      <c r="K64" s="1599">
        <v>0.61719999999999997</v>
      </c>
      <c r="L64" s="1599">
        <v>0.61719999999999997</v>
      </c>
      <c r="M64" s="1599">
        <v>0.61719999999999997</v>
      </c>
    </row>
    <row r="65" spans="1:13">
      <c r="A65" s="1590">
        <v>6.3</v>
      </c>
      <c r="B65" s="1599">
        <v>0.89200000000000002</v>
      </c>
      <c r="C65" s="1599">
        <v>0.89200000000000002</v>
      </c>
      <c r="D65" s="1599">
        <v>0.78280000000000005</v>
      </c>
      <c r="E65" s="1599">
        <v>0.78280000000000005</v>
      </c>
      <c r="F65" s="1599">
        <v>0.78280000000000005</v>
      </c>
      <c r="G65" s="1599">
        <v>0.78280000000000005</v>
      </c>
      <c r="H65" s="1599">
        <v>0.78280000000000005</v>
      </c>
      <c r="I65" s="1599">
        <v>0.61409999999999998</v>
      </c>
      <c r="J65" s="1599">
        <v>0.61409999999999998</v>
      </c>
      <c r="K65" s="1599">
        <v>0.61409999999999998</v>
      </c>
      <c r="L65" s="1599">
        <v>0.61409999999999998</v>
      </c>
      <c r="M65" s="1599">
        <v>0.61409999999999998</v>
      </c>
    </row>
    <row r="66" spans="1:13">
      <c r="A66" s="1590">
        <v>6.4</v>
      </c>
      <c r="B66" s="1599">
        <v>0.88990000000000002</v>
      </c>
      <c r="C66" s="1599">
        <v>0.88990000000000002</v>
      </c>
      <c r="D66" s="1599">
        <v>0.78039999999999998</v>
      </c>
      <c r="E66" s="1599">
        <v>0.78039999999999998</v>
      </c>
      <c r="F66" s="1599">
        <v>0.78039999999999998</v>
      </c>
      <c r="G66" s="1599">
        <v>0.78039999999999998</v>
      </c>
      <c r="H66" s="1599">
        <v>0.78039999999999998</v>
      </c>
      <c r="I66" s="1599">
        <v>0.61099999999999999</v>
      </c>
      <c r="J66" s="1599">
        <v>0.61099999999999999</v>
      </c>
      <c r="K66" s="1599">
        <v>0.61099999999999999</v>
      </c>
      <c r="L66" s="1599">
        <v>0.61099999999999999</v>
      </c>
      <c r="M66" s="1599">
        <v>0.61099999999999999</v>
      </c>
    </row>
    <row r="67" spans="1:13">
      <c r="A67" s="1590">
        <v>6.5</v>
      </c>
      <c r="B67" s="1599">
        <v>0.88780000000000003</v>
      </c>
      <c r="C67" s="1599">
        <v>0.88780000000000003</v>
      </c>
      <c r="D67" s="1599">
        <v>0.77810000000000001</v>
      </c>
      <c r="E67" s="1599">
        <v>0.77810000000000001</v>
      </c>
      <c r="F67" s="1599">
        <v>0.77810000000000001</v>
      </c>
      <c r="G67" s="1599">
        <v>0.77810000000000001</v>
      </c>
      <c r="H67" s="1599">
        <v>0.77810000000000001</v>
      </c>
      <c r="I67" s="1599">
        <v>0.60799999999999998</v>
      </c>
      <c r="J67" s="1599">
        <v>0.60799999999999998</v>
      </c>
      <c r="K67" s="1599">
        <v>0.60799999999999998</v>
      </c>
      <c r="L67" s="1599">
        <v>0.60799999999999998</v>
      </c>
      <c r="M67" s="1599">
        <v>0.60799999999999998</v>
      </c>
    </row>
    <row r="68" spans="1:13">
      <c r="A68" s="1590">
        <v>6.6</v>
      </c>
      <c r="B68" s="1599">
        <v>0.88580000000000003</v>
      </c>
      <c r="C68" s="1599">
        <v>0.88580000000000003</v>
      </c>
      <c r="D68" s="1599">
        <v>0.77580000000000005</v>
      </c>
      <c r="E68" s="1599">
        <v>0.77580000000000005</v>
      </c>
      <c r="F68" s="1599">
        <v>0.77580000000000005</v>
      </c>
      <c r="G68" s="1599">
        <v>0.77580000000000005</v>
      </c>
      <c r="H68" s="1599">
        <v>0.77580000000000005</v>
      </c>
      <c r="I68" s="1599">
        <v>0.60499999999999998</v>
      </c>
      <c r="J68" s="1599">
        <v>0.60499999999999998</v>
      </c>
      <c r="K68" s="1599">
        <v>0.60499999999999998</v>
      </c>
      <c r="L68" s="1599">
        <v>0.60499999999999998</v>
      </c>
      <c r="M68" s="1599">
        <v>0.60499999999999998</v>
      </c>
    </row>
    <row r="69" spans="1:13">
      <c r="A69" s="1590">
        <v>6.7</v>
      </c>
      <c r="B69" s="1599">
        <v>0.88380000000000003</v>
      </c>
      <c r="C69" s="1599">
        <v>0.88380000000000003</v>
      </c>
      <c r="D69" s="1599">
        <v>0.77359999999999995</v>
      </c>
      <c r="E69" s="1599">
        <v>0.77359999999999995</v>
      </c>
      <c r="F69" s="1599">
        <v>0.77359999999999995</v>
      </c>
      <c r="G69" s="1599">
        <v>0.77359999999999995</v>
      </c>
      <c r="H69" s="1599">
        <v>0.77359999999999995</v>
      </c>
      <c r="I69" s="1599">
        <v>0.60209999999999997</v>
      </c>
      <c r="J69" s="1599">
        <v>0.60209999999999997</v>
      </c>
      <c r="K69" s="1599">
        <v>0.60209999999999997</v>
      </c>
      <c r="L69" s="1599">
        <v>0.60209999999999997</v>
      </c>
      <c r="M69" s="1599">
        <v>0.60209999999999997</v>
      </c>
    </row>
    <row r="70" spans="1:13">
      <c r="A70" s="1590">
        <v>6.8</v>
      </c>
      <c r="B70" s="1599">
        <v>0.88190000000000002</v>
      </c>
      <c r="C70" s="1599">
        <v>0.88190000000000002</v>
      </c>
      <c r="D70" s="1599">
        <v>0.77159999999999995</v>
      </c>
      <c r="E70" s="1599">
        <v>0.77159999999999995</v>
      </c>
      <c r="F70" s="1599">
        <v>0.77159999999999995</v>
      </c>
      <c r="G70" s="1599">
        <v>0.77159999999999995</v>
      </c>
      <c r="H70" s="1599">
        <v>0.77159999999999995</v>
      </c>
      <c r="I70" s="1599">
        <v>0.59930000000000005</v>
      </c>
      <c r="J70" s="1599">
        <v>0.59930000000000005</v>
      </c>
      <c r="K70" s="1599">
        <v>0.59930000000000005</v>
      </c>
      <c r="L70" s="1599">
        <v>0.59930000000000005</v>
      </c>
      <c r="M70" s="1599">
        <v>0.59930000000000005</v>
      </c>
    </row>
    <row r="71" spans="1:13">
      <c r="A71" s="1590">
        <v>6.9</v>
      </c>
      <c r="B71" s="1599">
        <v>0.88</v>
      </c>
      <c r="C71" s="1599">
        <v>0.88</v>
      </c>
      <c r="D71" s="1599">
        <v>0.76949999999999996</v>
      </c>
      <c r="E71" s="1599">
        <v>0.76949999999999996</v>
      </c>
      <c r="F71" s="1599">
        <v>0.76949999999999996</v>
      </c>
      <c r="G71" s="1599">
        <v>0.76949999999999996</v>
      </c>
      <c r="H71" s="1599">
        <v>0.76949999999999996</v>
      </c>
      <c r="I71" s="1599">
        <v>0.59640000000000004</v>
      </c>
      <c r="J71" s="1599">
        <v>0.59640000000000004</v>
      </c>
      <c r="K71" s="1599">
        <v>0.59640000000000004</v>
      </c>
      <c r="L71" s="1599">
        <v>0.59640000000000004</v>
      </c>
      <c r="M71" s="1599">
        <v>0.59640000000000004</v>
      </c>
    </row>
    <row r="72" spans="1:13">
      <c r="A72" s="1590">
        <v>7</v>
      </c>
      <c r="B72" s="1599">
        <v>0.87819999999999998</v>
      </c>
      <c r="C72" s="1599">
        <v>0.87819999999999998</v>
      </c>
      <c r="D72" s="1599">
        <v>0.76749999999999996</v>
      </c>
      <c r="E72" s="1599">
        <v>0.76749999999999996</v>
      </c>
      <c r="F72" s="1599">
        <v>0.76749999999999996</v>
      </c>
      <c r="G72" s="1599">
        <v>0.76749999999999996</v>
      </c>
      <c r="H72" s="1599">
        <v>0.76749999999999996</v>
      </c>
      <c r="I72" s="1599">
        <v>0.59360000000000002</v>
      </c>
      <c r="J72" s="1599">
        <v>0.59360000000000002</v>
      </c>
      <c r="K72" s="1599">
        <v>0.59360000000000002</v>
      </c>
      <c r="L72" s="1599">
        <v>0.59360000000000002</v>
      </c>
      <c r="M72" s="1599">
        <v>0.59360000000000002</v>
      </c>
    </row>
    <row r="73" spans="1:13">
      <c r="A73" s="1590">
        <v>7.1</v>
      </c>
      <c r="B73" s="1599">
        <v>0.87660000000000005</v>
      </c>
      <c r="C73" s="1599">
        <v>0.87660000000000005</v>
      </c>
      <c r="D73" s="1599">
        <v>0.76570000000000005</v>
      </c>
      <c r="E73" s="1599">
        <v>0.76570000000000005</v>
      </c>
      <c r="F73" s="1599">
        <v>0.76570000000000005</v>
      </c>
      <c r="G73" s="1599">
        <v>0.76570000000000005</v>
      </c>
      <c r="H73" s="1599">
        <v>0.76570000000000005</v>
      </c>
      <c r="I73" s="1599">
        <v>0.59109999999999996</v>
      </c>
      <c r="J73" s="1599">
        <v>0.59109999999999996</v>
      </c>
      <c r="K73" s="1599">
        <v>0.59109999999999996</v>
      </c>
      <c r="L73" s="1599">
        <v>0.59109999999999996</v>
      </c>
      <c r="M73" s="1599">
        <v>0.59109999999999996</v>
      </c>
    </row>
    <row r="74" spans="1:13">
      <c r="A74" s="1590">
        <v>7.2</v>
      </c>
      <c r="B74" s="1599">
        <v>0.87490000000000001</v>
      </c>
      <c r="C74" s="1599">
        <v>0.87490000000000001</v>
      </c>
      <c r="D74" s="1599">
        <v>0.76380000000000003</v>
      </c>
      <c r="E74" s="1599">
        <v>0.76380000000000003</v>
      </c>
      <c r="F74" s="1599">
        <v>0.76380000000000003</v>
      </c>
      <c r="G74" s="1599">
        <v>0.76380000000000003</v>
      </c>
      <c r="H74" s="1599">
        <v>0.76380000000000003</v>
      </c>
      <c r="I74" s="1599">
        <v>0.58860000000000001</v>
      </c>
      <c r="J74" s="1599">
        <v>0.58860000000000001</v>
      </c>
      <c r="K74" s="1599">
        <v>0.58860000000000001</v>
      </c>
      <c r="L74" s="1599">
        <v>0.58860000000000001</v>
      </c>
      <c r="M74" s="1599">
        <v>0.58860000000000001</v>
      </c>
    </row>
    <row r="75" spans="1:13">
      <c r="A75" s="1590">
        <v>7.3</v>
      </c>
      <c r="B75" s="1599">
        <v>0.87329999999999997</v>
      </c>
      <c r="C75" s="1599">
        <v>0.87329999999999997</v>
      </c>
      <c r="D75" s="1599">
        <v>0.76200000000000001</v>
      </c>
      <c r="E75" s="1599">
        <v>0.76200000000000001</v>
      </c>
      <c r="F75" s="1599">
        <v>0.76200000000000001</v>
      </c>
      <c r="G75" s="1599">
        <v>0.76200000000000001</v>
      </c>
      <c r="H75" s="1599">
        <v>0.76200000000000001</v>
      </c>
      <c r="I75" s="1599">
        <v>0.58620000000000005</v>
      </c>
      <c r="J75" s="1599">
        <v>0.58620000000000005</v>
      </c>
      <c r="K75" s="1599">
        <v>0.58620000000000005</v>
      </c>
      <c r="L75" s="1599">
        <v>0.58620000000000005</v>
      </c>
      <c r="M75" s="1599">
        <v>0.58620000000000005</v>
      </c>
    </row>
    <row r="76" spans="1:13">
      <c r="A76" s="1590">
        <v>7.4</v>
      </c>
      <c r="B76" s="1599">
        <v>0.87160000000000004</v>
      </c>
      <c r="C76" s="1599">
        <v>0.87160000000000004</v>
      </c>
      <c r="D76" s="1599">
        <v>0.76029999999999998</v>
      </c>
      <c r="E76" s="1599">
        <v>0.76029999999999998</v>
      </c>
      <c r="F76" s="1599">
        <v>0.76029999999999998</v>
      </c>
      <c r="G76" s="1599">
        <v>0.76029999999999998</v>
      </c>
      <c r="H76" s="1599">
        <v>0.76029999999999998</v>
      </c>
      <c r="I76" s="1599">
        <v>0.58379999999999999</v>
      </c>
      <c r="J76" s="1599">
        <v>0.58379999999999999</v>
      </c>
      <c r="K76" s="1599">
        <v>0.58379999999999999</v>
      </c>
      <c r="L76" s="1599">
        <v>0.58379999999999999</v>
      </c>
      <c r="M76" s="1599">
        <v>0.58379999999999999</v>
      </c>
    </row>
    <row r="77" spans="1:13">
      <c r="A77" s="1590">
        <v>7.5</v>
      </c>
      <c r="B77" s="1599">
        <v>0.87</v>
      </c>
      <c r="C77" s="1599">
        <v>0.87</v>
      </c>
      <c r="D77" s="1599">
        <v>0.75849999999999995</v>
      </c>
      <c r="E77" s="1599">
        <v>0.75849999999999995</v>
      </c>
      <c r="F77" s="1599">
        <v>0.75849999999999995</v>
      </c>
      <c r="G77" s="1599">
        <v>0.75849999999999995</v>
      </c>
      <c r="H77" s="1599">
        <v>0.75849999999999995</v>
      </c>
      <c r="I77" s="1599">
        <v>0.58140000000000003</v>
      </c>
      <c r="J77" s="1599">
        <v>0.58140000000000003</v>
      </c>
      <c r="K77" s="1599">
        <v>0.58140000000000003</v>
      </c>
      <c r="L77" s="1599">
        <v>0.58140000000000003</v>
      </c>
      <c r="M77" s="1599">
        <v>0.58140000000000003</v>
      </c>
    </row>
    <row r="78" spans="1:13">
      <c r="A78" s="1590">
        <v>7.6</v>
      </c>
      <c r="B78" s="1599">
        <v>0.86839999999999995</v>
      </c>
      <c r="C78" s="1599">
        <v>0.86839999999999995</v>
      </c>
      <c r="D78" s="1599">
        <v>0.75680000000000003</v>
      </c>
      <c r="E78" s="1599">
        <v>0.75680000000000003</v>
      </c>
      <c r="F78" s="1599">
        <v>0.75680000000000003</v>
      </c>
      <c r="G78" s="1599">
        <v>0.75680000000000003</v>
      </c>
      <c r="H78" s="1599">
        <v>0.75680000000000003</v>
      </c>
      <c r="I78" s="1599">
        <v>0.57899999999999996</v>
      </c>
      <c r="J78" s="1599">
        <v>0.57899999999999996</v>
      </c>
      <c r="K78" s="1599">
        <v>0.57899999999999996</v>
      </c>
      <c r="L78" s="1599">
        <v>0.57899999999999996</v>
      </c>
      <c r="M78" s="1599">
        <v>0.57899999999999996</v>
      </c>
    </row>
    <row r="79" spans="1:13">
      <c r="A79" s="1590">
        <v>7.7</v>
      </c>
      <c r="B79" s="1599">
        <v>0.8669</v>
      </c>
      <c r="C79" s="1599">
        <v>0.8669</v>
      </c>
      <c r="D79" s="1599">
        <v>0.755</v>
      </c>
      <c r="E79" s="1599">
        <v>0.755</v>
      </c>
      <c r="F79" s="1599">
        <v>0.755</v>
      </c>
      <c r="G79" s="1599">
        <v>0.755</v>
      </c>
      <c r="H79" s="1599">
        <v>0.755</v>
      </c>
      <c r="I79" s="1599">
        <v>0.57669999999999999</v>
      </c>
      <c r="J79" s="1599">
        <v>0.57669999999999999</v>
      </c>
      <c r="K79" s="1599">
        <v>0.57669999999999999</v>
      </c>
      <c r="L79" s="1599">
        <v>0.57669999999999999</v>
      </c>
      <c r="M79" s="1599">
        <v>0.57669999999999999</v>
      </c>
    </row>
    <row r="80" spans="1:13">
      <c r="A80" s="1590">
        <v>7.8</v>
      </c>
      <c r="B80" s="1599">
        <v>0.86539999999999995</v>
      </c>
      <c r="C80" s="1599">
        <v>0.86539999999999995</v>
      </c>
      <c r="D80" s="1599">
        <v>0.75329999999999997</v>
      </c>
      <c r="E80" s="1599">
        <v>0.75329999999999997</v>
      </c>
      <c r="F80" s="1599">
        <v>0.75329999999999997</v>
      </c>
      <c r="G80" s="1599">
        <v>0.75329999999999997</v>
      </c>
      <c r="H80" s="1599">
        <v>0.75329999999999997</v>
      </c>
      <c r="I80" s="1599">
        <v>0.57450000000000001</v>
      </c>
      <c r="J80" s="1599">
        <v>0.57450000000000001</v>
      </c>
      <c r="K80" s="1599">
        <v>0.57450000000000001</v>
      </c>
      <c r="L80" s="1599">
        <v>0.57450000000000001</v>
      </c>
      <c r="M80" s="1599">
        <v>0.57450000000000001</v>
      </c>
    </row>
    <row r="81" spans="1:13">
      <c r="A81" s="1590">
        <v>7.9</v>
      </c>
      <c r="B81" s="1599">
        <v>0.86380000000000001</v>
      </c>
      <c r="C81" s="1599">
        <v>0.86380000000000001</v>
      </c>
      <c r="D81" s="1599">
        <v>0.75170000000000003</v>
      </c>
      <c r="E81" s="1599">
        <v>0.75170000000000003</v>
      </c>
      <c r="F81" s="1599">
        <v>0.75170000000000003</v>
      </c>
      <c r="G81" s="1599">
        <v>0.75170000000000003</v>
      </c>
      <c r="H81" s="1599">
        <v>0.75170000000000003</v>
      </c>
      <c r="I81" s="1599">
        <v>0.57220000000000004</v>
      </c>
      <c r="J81" s="1599">
        <v>0.57220000000000004</v>
      </c>
      <c r="K81" s="1599">
        <v>0.57220000000000004</v>
      </c>
      <c r="L81" s="1599">
        <v>0.57220000000000004</v>
      </c>
      <c r="M81" s="1599">
        <v>0.57220000000000004</v>
      </c>
    </row>
    <row r="82" spans="1:13">
      <c r="A82" s="1590">
        <v>8</v>
      </c>
      <c r="B82" s="1599">
        <v>0.86240000000000006</v>
      </c>
      <c r="C82" s="1599">
        <v>0.86240000000000006</v>
      </c>
      <c r="D82" s="1599">
        <v>0.75</v>
      </c>
      <c r="E82" s="1599">
        <v>0.75</v>
      </c>
      <c r="F82" s="1599">
        <v>0.75</v>
      </c>
      <c r="G82" s="1599">
        <v>0.75</v>
      </c>
      <c r="H82" s="1599">
        <v>0.75</v>
      </c>
      <c r="I82" s="1599">
        <v>0.56989999999999996</v>
      </c>
      <c r="J82" s="1599">
        <v>0.56989999999999996</v>
      </c>
      <c r="K82" s="1599">
        <v>0.56989999999999996</v>
      </c>
      <c r="L82" s="1599">
        <v>0.56989999999999996</v>
      </c>
      <c r="M82" s="1599">
        <v>0.56989999999999996</v>
      </c>
    </row>
    <row r="83" spans="1:13">
      <c r="A83" s="1590">
        <v>8.1</v>
      </c>
      <c r="B83" s="1599">
        <v>0.86099999999999999</v>
      </c>
      <c r="C83" s="1599">
        <v>0.86099999999999999</v>
      </c>
      <c r="D83" s="1599">
        <v>0.74850000000000005</v>
      </c>
      <c r="E83" s="1599">
        <v>0.74850000000000005</v>
      </c>
      <c r="F83" s="1599">
        <v>0.74850000000000005</v>
      </c>
      <c r="G83" s="1599">
        <v>0.74850000000000005</v>
      </c>
      <c r="H83" s="1599">
        <v>0.74850000000000005</v>
      </c>
      <c r="I83" s="1599">
        <v>0.56779999999999997</v>
      </c>
      <c r="J83" s="1599">
        <v>0.56779999999999997</v>
      </c>
      <c r="K83" s="1599">
        <v>0.56779999999999997</v>
      </c>
      <c r="L83" s="1599">
        <v>0.56779999999999997</v>
      </c>
      <c r="M83" s="1599">
        <v>0.56779999999999997</v>
      </c>
    </row>
    <row r="84" spans="1:13">
      <c r="A84" s="1590">
        <v>8.1999999999999993</v>
      </c>
      <c r="B84" s="1599">
        <v>0.85970000000000002</v>
      </c>
      <c r="C84" s="1599">
        <v>0.85970000000000002</v>
      </c>
      <c r="D84" s="1599">
        <v>0.747</v>
      </c>
      <c r="E84" s="1599">
        <v>0.747</v>
      </c>
      <c r="F84" s="1599">
        <v>0.747</v>
      </c>
      <c r="G84" s="1599">
        <v>0.747</v>
      </c>
      <c r="H84" s="1599">
        <v>0.747</v>
      </c>
      <c r="I84" s="1599">
        <v>0.56589999999999996</v>
      </c>
      <c r="J84" s="1599">
        <v>0.56589999999999996</v>
      </c>
      <c r="K84" s="1599">
        <v>0.56589999999999996</v>
      </c>
      <c r="L84" s="1599">
        <v>0.56589999999999996</v>
      </c>
      <c r="M84" s="1599">
        <v>0.56589999999999996</v>
      </c>
    </row>
    <row r="85" spans="1:13">
      <c r="A85" s="1590">
        <v>8.3000000000000007</v>
      </c>
      <c r="B85" s="1599">
        <v>0.85840000000000005</v>
      </c>
      <c r="C85" s="1599">
        <v>0.85840000000000005</v>
      </c>
      <c r="D85" s="1599">
        <v>0.74560000000000004</v>
      </c>
      <c r="E85" s="1599">
        <v>0.74560000000000004</v>
      </c>
      <c r="F85" s="1599">
        <v>0.74560000000000004</v>
      </c>
      <c r="G85" s="1599">
        <v>0.74560000000000004</v>
      </c>
      <c r="H85" s="1599">
        <v>0.74560000000000004</v>
      </c>
      <c r="I85" s="1599">
        <v>0.56389999999999996</v>
      </c>
      <c r="J85" s="1599">
        <v>0.56389999999999996</v>
      </c>
      <c r="K85" s="1599">
        <v>0.56389999999999996</v>
      </c>
      <c r="L85" s="1599">
        <v>0.56389999999999996</v>
      </c>
      <c r="M85" s="1599">
        <v>0.56389999999999996</v>
      </c>
    </row>
    <row r="86" spans="1:13">
      <c r="A86" s="1590">
        <v>8.4</v>
      </c>
      <c r="B86" s="1599">
        <v>0.85709999999999997</v>
      </c>
      <c r="C86" s="1599">
        <v>0.85709999999999997</v>
      </c>
      <c r="D86" s="1599">
        <v>0.74419999999999997</v>
      </c>
      <c r="E86" s="1599">
        <v>0.74419999999999997</v>
      </c>
      <c r="F86" s="1599">
        <v>0.74419999999999997</v>
      </c>
      <c r="G86" s="1599">
        <v>0.74419999999999997</v>
      </c>
      <c r="H86" s="1599">
        <v>0.74419999999999997</v>
      </c>
      <c r="I86" s="1599">
        <v>0.56189999999999996</v>
      </c>
      <c r="J86" s="1599">
        <v>0.56189999999999996</v>
      </c>
      <c r="K86" s="1599">
        <v>0.56189999999999996</v>
      </c>
      <c r="L86" s="1599">
        <v>0.56189999999999996</v>
      </c>
      <c r="M86" s="1599">
        <v>0.56189999999999996</v>
      </c>
    </row>
    <row r="87" spans="1:13">
      <c r="A87" s="1590">
        <v>8.5</v>
      </c>
      <c r="B87" s="1599">
        <v>0.85580000000000001</v>
      </c>
      <c r="C87" s="1599">
        <v>0.85580000000000001</v>
      </c>
      <c r="D87" s="1599">
        <v>0.74270000000000003</v>
      </c>
      <c r="E87" s="1599">
        <v>0.74270000000000003</v>
      </c>
      <c r="F87" s="1599">
        <v>0.74270000000000003</v>
      </c>
      <c r="G87" s="1599">
        <v>0.74270000000000003</v>
      </c>
      <c r="H87" s="1599">
        <v>0.74270000000000003</v>
      </c>
      <c r="I87" s="1599">
        <v>0.55989999999999995</v>
      </c>
      <c r="J87" s="1599">
        <v>0.55989999999999995</v>
      </c>
      <c r="K87" s="1599">
        <v>0.55989999999999995</v>
      </c>
      <c r="L87" s="1599">
        <v>0.55989999999999995</v>
      </c>
      <c r="M87" s="1599">
        <v>0.55989999999999995</v>
      </c>
    </row>
    <row r="88" spans="1:13">
      <c r="A88" s="1590">
        <v>8.6</v>
      </c>
      <c r="B88" s="1599">
        <v>0.85450000000000004</v>
      </c>
      <c r="C88" s="1599">
        <v>0.85450000000000004</v>
      </c>
      <c r="D88" s="1599">
        <v>0.74129999999999996</v>
      </c>
      <c r="E88" s="1599">
        <v>0.74129999999999996</v>
      </c>
      <c r="F88" s="1599">
        <v>0.74129999999999996</v>
      </c>
      <c r="G88" s="1599">
        <v>0.74129999999999996</v>
      </c>
      <c r="H88" s="1599">
        <v>0.74129999999999996</v>
      </c>
      <c r="I88" s="1599">
        <v>0.55800000000000005</v>
      </c>
      <c r="J88" s="1599">
        <v>0.55800000000000005</v>
      </c>
      <c r="K88" s="1599">
        <v>0.55800000000000005</v>
      </c>
      <c r="L88" s="1599">
        <v>0.55800000000000005</v>
      </c>
      <c r="M88" s="1599">
        <v>0.55800000000000005</v>
      </c>
    </row>
    <row r="89" spans="1:13">
      <c r="A89" s="1590">
        <v>8.6999999999999993</v>
      </c>
      <c r="B89" s="1599">
        <v>0.85329999999999995</v>
      </c>
      <c r="C89" s="1599">
        <v>0.85329999999999995</v>
      </c>
      <c r="D89" s="1599">
        <v>0.7399</v>
      </c>
      <c r="E89" s="1599">
        <v>0.7399</v>
      </c>
      <c r="F89" s="1599">
        <v>0.7399</v>
      </c>
      <c r="G89" s="1599">
        <v>0.7399</v>
      </c>
      <c r="H89" s="1599">
        <v>0.7399</v>
      </c>
      <c r="I89" s="1599">
        <v>0.55600000000000005</v>
      </c>
      <c r="J89" s="1599">
        <v>0.55600000000000005</v>
      </c>
      <c r="K89" s="1599">
        <v>0.55600000000000005</v>
      </c>
      <c r="L89" s="1599">
        <v>0.55600000000000005</v>
      </c>
      <c r="M89" s="1599">
        <v>0.55600000000000005</v>
      </c>
    </row>
    <row r="90" spans="1:13">
      <c r="A90" s="1590">
        <v>8.8000000000000007</v>
      </c>
      <c r="B90" s="1599">
        <v>0.85209999999999997</v>
      </c>
      <c r="C90" s="1599">
        <v>0.85209999999999997</v>
      </c>
      <c r="D90" s="1599">
        <v>0.73850000000000005</v>
      </c>
      <c r="E90" s="1599">
        <v>0.73850000000000005</v>
      </c>
      <c r="F90" s="1599">
        <v>0.73850000000000005</v>
      </c>
      <c r="G90" s="1599">
        <v>0.73850000000000005</v>
      </c>
      <c r="H90" s="1599">
        <v>0.73850000000000005</v>
      </c>
      <c r="I90" s="1599">
        <v>0.55420000000000003</v>
      </c>
      <c r="J90" s="1599">
        <v>0.55420000000000003</v>
      </c>
      <c r="K90" s="1599">
        <v>0.55420000000000003</v>
      </c>
      <c r="L90" s="1599">
        <v>0.55420000000000003</v>
      </c>
      <c r="M90" s="1599">
        <v>0.55420000000000003</v>
      </c>
    </row>
    <row r="91" spans="1:13">
      <c r="A91" s="1590">
        <v>8.9</v>
      </c>
      <c r="B91" s="1599">
        <v>0.85099999999999998</v>
      </c>
      <c r="C91" s="1599">
        <v>0.85099999999999998</v>
      </c>
      <c r="D91" s="1599">
        <v>0.73719999999999997</v>
      </c>
      <c r="E91" s="1599">
        <v>0.73719999999999997</v>
      </c>
      <c r="F91" s="1599">
        <v>0.73719999999999997</v>
      </c>
      <c r="G91" s="1599">
        <v>0.73719999999999997</v>
      </c>
      <c r="H91" s="1599">
        <v>0.73719999999999997</v>
      </c>
      <c r="I91" s="1599">
        <v>0.55230000000000001</v>
      </c>
      <c r="J91" s="1599">
        <v>0.55230000000000001</v>
      </c>
      <c r="K91" s="1599">
        <v>0.55230000000000001</v>
      </c>
      <c r="L91" s="1599">
        <v>0.55230000000000001</v>
      </c>
      <c r="M91" s="1599">
        <v>0.55230000000000001</v>
      </c>
    </row>
    <row r="92" spans="1:13">
      <c r="A92" s="1613">
        <v>9</v>
      </c>
      <c r="B92" s="1599">
        <v>0.8498</v>
      </c>
      <c r="C92" s="1599">
        <v>0.8498</v>
      </c>
      <c r="D92" s="1599">
        <v>0.7359</v>
      </c>
      <c r="E92" s="1599">
        <v>0.7359</v>
      </c>
      <c r="F92" s="1599">
        <v>0.7359</v>
      </c>
      <c r="G92" s="1599">
        <v>0.7359</v>
      </c>
      <c r="H92" s="1599">
        <v>0.7359</v>
      </c>
      <c r="I92" s="1599">
        <v>0.55049999999999999</v>
      </c>
      <c r="J92" s="1599">
        <v>0.55049999999999999</v>
      </c>
      <c r="K92" s="1599">
        <v>0.55049999999999999</v>
      </c>
      <c r="L92" s="1599">
        <v>0.55049999999999999</v>
      </c>
      <c r="M92" s="1599">
        <v>0.55049999999999999</v>
      </c>
    </row>
    <row r="93" spans="1:13">
      <c r="A93" s="1613">
        <v>9.1</v>
      </c>
      <c r="B93" s="1599">
        <v>0.84870000000000001</v>
      </c>
      <c r="C93" s="1599">
        <v>0.84870000000000001</v>
      </c>
      <c r="D93" s="1599">
        <v>0.73470000000000002</v>
      </c>
      <c r="E93" s="1599">
        <v>0.73470000000000002</v>
      </c>
      <c r="F93" s="1599">
        <v>0.73470000000000002</v>
      </c>
      <c r="G93" s="1599">
        <v>0.73470000000000002</v>
      </c>
      <c r="H93" s="1599">
        <v>0.73470000000000002</v>
      </c>
      <c r="I93" s="1599">
        <v>0.54879999999999995</v>
      </c>
      <c r="J93" s="1599">
        <v>0.54879999999999995</v>
      </c>
      <c r="K93" s="1599">
        <v>0.54879999999999995</v>
      </c>
      <c r="L93" s="1599">
        <v>0.54879999999999995</v>
      </c>
      <c r="M93" s="1599">
        <v>0.54879999999999995</v>
      </c>
    </row>
    <row r="94" spans="1:13">
      <c r="A94" s="1613">
        <v>9.1999999999999993</v>
      </c>
      <c r="B94" s="1599">
        <v>0.84770000000000001</v>
      </c>
      <c r="C94" s="1599">
        <v>0.84770000000000001</v>
      </c>
      <c r="D94" s="1599">
        <v>0.73350000000000004</v>
      </c>
      <c r="E94" s="1599">
        <v>0.73350000000000004</v>
      </c>
      <c r="F94" s="1599">
        <v>0.73350000000000004</v>
      </c>
      <c r="G94" s="1599">
        <v>0.73350000000000004</v>
      </c>
      <c r="H94" s="1599">
        <v>0.73350000000000004</v>
      </c>
      <c r="I94" s="1599">
        <v>0.54710000000000003</v>
      </c>
      <c r="J94" s="1599">
        <v>0.54710000000000003</v>
      </c>
      <c r="K94" s="1599">
        <v>0.54710000000000003</v>
      </c>
      <c r="L94" s="1599">
        <v>0.54710000000000003</v>
      </c>
      <c r="M94" s="1599">
        <v>0.54710000000000003</v>
      </c>
    </row>
    <row r="95" spans="1:13">
      <c r="A95" s="1613">
        <v>9.3000000000000007</v>
      </c>
      <c r="B95" s="1599">
        <v>0.84660000000000002</v>
      </c>
      <c r="C95" s="1599">
        <v>0.84660000000000002</v>
      </c>
      <c r="D95" s="1599">
        <v>0.73229999999999995</v>
      </c>
      <c r="E95" s="1599">
        <v>0.73229999999999995</v>
      </c>
      <c r="F95" s="1599">
        <v>0.73229999999999995</v>
      </c>
      <c r="G95" s="1599">
        <v>0.73229999999999995</v>
      </c>
      <c r="H95" s="1599">
        <v>0.73229999999999995</v>
      </c>
      <c r="I95" s="1599">
        <v>0.5454</v>
      </c>
      <c r="J95" s="1599">
        <v>0.5454</v>
      </c>
      <c r="K95" s="1599">
        <v>0.5454</v>
      </c>
      <c r="L95" s="1599">
        <v>0.5454</v>
      </c>
      <c r="M95" s="1599">
        <v>0.5454</v>
      </c>
    </row>
    <row r="96" spans="1:13">
      <c r="A96" s="1613">
        <v>9.4</v>
      </c>
      <c r="B96" s="1599">
        <v>0.84550000000000003</v>
      </c>
      <c r="C96" s="1599">
        <v>0.84550000000000003</v>
      </c>
      <c r="D96" s="1599">
        <v>0.73109999999999997</v>
      </c>
      <c r="E96" s="1599">
        <v>0.73109999999999997</v>
      </c>
      <c r="F96" s="1599">
        <v>0.73109999999999997</v>
      </c>
      <c r="G96" s="1599">
        <v>0.73109999999999997</v>
      </c>
      <c r="H96" s="1599">
        <v>0.73109999999999997</v>
      </c>
      <c r="I96" s="1599">
        <v>0.54369999999999996</v>
      </c>
      <c r="J96" s="1599">
        <v>0.54369999999999996</v>
      </c>
      <c r="K96" s="1599">
        <v>0.54369999999999996</v>
      </c>
      <c r="L96" s="1599">
        <v>0.54369999999999996</v>
      </c>
      <c r="M96" s="1599">
        <v>0.54369999999999996</v>
      </c>
    </row>
    <row r="97" spans="1:14">
      <c r="A97" s="1613">
        <v>9.5</v>
      </c>
      <c r="B97" s="1599">
        <v>0.84450000000000003</v>
      </c>
      <c r="C97" s="1599">
        <v>0.84450000000000003</v>
      </c>
      <c r="D97" s="1599">
        <v>0.72989999999999999</v>
      </c>
      <c r="E97" s="1599">
        <v>0.72989999999999999</v>
      </c>
      <c r="F97" s="1599">
        <v>0.72989999999999999</v>
      </c>
      <c r="G97" s="1599">
        <v>0.72989999999999999</v>
      </c>
      <c r="H97" s="1599">
        <v>0.72989999999999999</v>
      </c>
      <c r="I97" s="1599">
        <v>0.54200000000000004</v>
      </c>
      <c r="J97" s="1599">
        <v>0.54200000000000004</v>
      </c>
      <c r="K97" s="1599">
        <v>0.54200000000000004</v>
      </c>
      <c r="L97" s="1599">
        <v>0.54200000000000004</v>
      </c>
      <c r="M97" s="1599">
        <v>0.54200000000000004</v>
      </c>
    </row>
    <row r="98" spans="1:14">
      <c r="A98" s="1613">
        <v>9.6</v>
      </c>
      <c r="B98" s="1599">
        <v>0.84340000000000004</v>
      </c>
      <c r="C98" s="1599">
        <v>0.84340000000000004</v>
      </c>
      <c r="D98" s="1599">
        <v>0.72870000000000001</v>
      </c>
      <c r="E98" s="1599">
        <v>0.72870000000000001</v>
      </c>
      <c r="F98" s="1599">
        <v>0.72870000000000001</v>
      </c>
      <c r="G98" s="1599">
        <v>0.72870000000000001</v>
      </c>
      <c r="H98" s="1599">
        <v>0.72870000000000001</v>
      </c>
      <c r="I98" s="1599">
        <v>0.5403</v>
      </c>
      <c r="J98" s="1599">
        <v>0.5403</v>
      </c>
      <c r="K98" s="1599">
        <v>0.5403</v>
      </c>
      <c r="L98" s="1599">
        <v>0.5403</v>
      </c>
      <c r="M98" s="1599">
        <v>0.5403</v>
      </c>
    </row>
    <row r="99" spans="1:14">
      <c r="A99" s="1613">
        <v>9.6999999999999993</v>
      </c>
      <c r="B99" s="1599">
        <v>0.84230000000000005</v>
      </c>
      <c r="C99" s="1599">
        <v>0.84230000000000005</v>
      </c>
      <c r="D99" s="1599">
        <v>0.72750000000000004</v>
      </c>
      <c r="E99" s="1599">
        <v>0.72750000000000004</v>
      </c>
      <c r="F99" s="1599">
        <v>0.72750000000000004</v>
      </c>
      <c r="G99" s="1599">
        <v>0.72750000000000004</v>
      </c>
      <c r="H99" s="1599">
        <v>0.72750000000000004</v>
      </c>
      <c r="I99" s="1599">
        <v>0.53859999999999997</v>
      </c>
      <c r="J99" s="1599">
        <v>0.53859999999999997</v>
      </c>
      <c r="K99" s="1599">
        <v>0.53859999999999997</v>
      </c>
      <c r="L99" s="1599">
        <v>0.53859999999999997</v>
      </c>
      <c r="M99" s="1599">
        <v>0.53859999999999997</v>
      </c>
    </row>
    <row r="100" spans="1:14">
      <c r="A100" s="1613">
        <v>9.8000000000000007</v>
      </c>
      <c r="B100" s="1599">
        <v>0.84140000000000004</v>
      </c>
      <c r="C100" s="1599">
        <v>0.84140000000000004</v>
      </c>
      <c r="D100" s="1599">
        <v>0.72629999999999995</v>
      </c>
      <c r="E100" s="1599">
        <v>0.72629999999999995</v>
      </c>
      <c r="F100" s="1599">
        <v>0.72629999999999995</v>
      </c>
      <c r="G100" s="1599">
        <v>0.72629999999999995</v>
      </c>
      <c r="H100" s="1599">
        <v>0.72629999999999995</v>
      </c>
      <c r="I100" s="1599">
        <v>0.53710000000000002</v>
      </c>
      <c r="J100" s="1599">
        <v>0.53710000000000002</v>
      </c>
      <c r="K100" s="1599">
        <v>0.53710000000000002</v>
      </c>
      <c r="L100" s="1599">
        <v>0.53710000000000002</v>
      </c>
      <c r="M100" s="1599">
        <v>0.53710000000000002</v>
      </c>
    </row>
    <row r="101" spans="1:14">
      <c r="A101" s="1613">
        <v>9.9</v>
      </c>
      <c r="B101" s="1599">
        <v>0.84050000000000002</v>
      </c>
      <c r="C101" s="1599">
        <v>0.84050000000000002</v>
      </c>
      <c r="D101" s="1599">
        <v>0.72519999999999996</v>
      </c>
      <c r="E101" s="1599">
        <v>0.72519999999999996</v>
      </c>
      <c r="F101" s="1599">
        <v>0.72519999999999996</v>
      </c>
      <c r="G101" s="1599">
        <v>0.72519999999999996</v>
      </c>
      <c r="H101" s="1599">
        <v>0.72519999999999996</v>
      </c>
      <c r="I101" s="1599">
        <v>0.53549999999999998</v>
      </c>
      <c r="J101" s="1599">
        <v>0.53549999999999998</v>
      </c>
      <c r="K101" s="1599">
        <v>0.53549999999999998</v>
      </c>
      <c r="L101" s="1599">
        <v>0.53549999999999998</v>
      </c>
      <c r="M101" s="1599">
        <v>0.53549999999999998</v>
      </c>
    </row>
    <row r="102" spans="1:14">
      <c r="A102" s="1613">
        <v>10</v>
      </c>
      <c r="B102" s="1599">
        <v>0.83950000000000002</v>
      </c>
      <c r="C102" s="1599">
        <v>0.83950000000000002</v>
      </c>
      <c r="D102" s="1599">
        <v>0.72409999999999997</v>
      </c>
      <c r="E102" s="1599">
        <v>0.72409999999999997</v>
      </c>
      <c r="F102" s="1599">
        <v>0.72409999999999997</v>
      </c>
      <c r="G102" s="1599">
        <v>0.72409999999999997</v>
      </c>
      <c r="H102" s="1599">
        <v>0.72409999999999997</v>
      </c>
      <c r="I102" s="1599">
        <v>0.53400000000000003</v>
      </c>
      <c r="J102" s="1599">
        <v>0.53400000000000003</v>
      </c>
      <c r="K102" s="1599">
        <v>0.53400000000000003</v>
      </c>
      <c r="L102" s="1599">
        <v>0.53400000000000003</v>
      </c>
      <c r="M102" s="1599">
        <v>0.53400000000000003</v>
      </c>
    </row>
    <row r="103" spans="1:14" ht="14.25">
      <c r="A103" s="1587" t="s">
        <v>1777</v>
      </c>
      <c r="B103" s="1588"/>
      <c r="C103" s="1588"/>
      <c r="D103" s="1588"/>
      <c r="E103" s="1588"/>
      <c r="F103" s="1588"/>
      <c r="G103" s="1588"/>
      <c r="H103" s="1588"/>
      <c r="I103" s="1588"/>
      <c r="J103" s="1588"/>
      <c r="K103" s="1588"/>
      <c r="L103" s="1588"/>
      <c r="M103" s="1588"/>
      <c r="N103" s="1588"/>
    </row>
    <row r="104" spans="1:14" ht="14.25">
      <c r="A104" s="1590" t="s">
        <v>1768</v>
      </c>
      <c r="B104" s="1591" t="s">
        <v>1173</v>
      </c>
      <c r="C104" s="1591" t="s">
        <v>1174</v>
      </c>
      <c r="D104" s="1591" t="s">
        <v>1175</v>
      </c>
      <c r="E104" s="1591" t="s">
        <v>1176</v>
      </c>
      <c r="F104" s="1591" t="s">
        <v>1177</v>
      </c>
      <c r="G104" s="1591" t="s">
        <v>1178</v>
      </c>
      <c r="H104" s="1592" t="s">
        <v>1179</v>
      </c>
      <c r="I104" s="1592" t="s">
        <v>1180</v>
      </c>
      <c r="J104" s="1593" t="s">
        <v>1181</v>
      </c>
      <c r="K104" s="1593" t="s">
        <v>1182</v>
      </c>
      <c r="L104" s="1593" t="s">
        <v>1183</v>
      </c>
      <c r="M104" s="1593" t="s">
        <v>1184</v>
      </c>
      <c r="N104" s="1588">
        <f>SUMPRODUCT((A105:A204=ROUNDDOWN(基准地价修正!G3,1))*(B104:M104=基准地价修正!G2)*(B105:M204))</f>
        <v>0</v>
      </c>
    </row>
    <row r="105" spans="1:14">
      <c r="A105" s="1590">
        <v>0.1</v>
      </c>
      <c r="B105" s="1599">
        <v>13.733000000000001</v>
      </c>
      <c r="C105" s="1599">
        <v>13.733000000000001</v>
      </c>
      <c r="D105" s="1599">
        <v>12.787000000000001</v>
      </c>
      <c r="E105" s="1599">
        <v>12.787000000000001</v>
      </c>
      <c r="F105" s="1599">
        <v>12.787000000000001</v>
      </c>
      <c r="G105" s="1599">
        <v>12.787000000000001</v>
      </c>
      <c r="H105" s="1599">
        <v>12.787000000000001</v>
      </c>
      <c r="I105" s="1599">
        <v>12.384</v>
      </c>
      <c r="J105" s="1599">
        <v>12.384</v>
      </c>
      <c r="K105" s="1599">
        <v>12.384</v>
      </c>
      <c r="L105" s="1599">
        <v>12.384</v>
      </c>
      <c r="M105" s="1599">
        <v>12.384</v>
      </c>
    </row>
    <row r="106" spans="1:14">
      <c r="A106" s="1590">
        <v>0.2</v>
      </c>
      <c r="B106" s="1599">
        <v>6.8665000000000003</v>
      </c>
      <c r="C106" s="1599">
        <v>6.8665000000000003</v>
      </c>
      <c r="D106" s="1599">
        <v>6.3935000000000004</v>
      </c>
      <c r="E106" s="1599">
        <v>6.3935000000000004</v>
      </c>
      <c r="F106" s="1599">
        <v>6.3935000000000004</v>
      </c>
      <c r="G106" s="1599">
        <v>6.3935000000000004</v>
      </c>
      <c r="H106" s="1599">
        <v>6.3935000000000004</v>
      </c>
      <c r="I106" s="1599">
        <v>6.1920000000000002</v>
      </c>
      <c r="J106" s="1599">
        <v>6.1920000000000002</v>
      </c>
      <c r="K106" s="1599">
        <v>6.1920000000000002</v>
      </c>
      <c r="L106" s="1599">
        <v>6.1920000000000002</v>
      </c>
      <c r="M106" s="1599">
        <v>6.1920000000000002</v>
      </c>
    </row>
    <row r="107" spans="1:14">
      <c r="A107" s="1590">
        <v>0.3</v>
      </c>
      <c r="B107" s="1599">
        <v>4.5777000000000001</v>
      </c>
      <c r="C107" s="1599">
        <v>4.5777000000000001</v>
      </c>
      <c r="D107" s="1599">
        <v>4.2622999999999998</v>
      </c>
      <c r="E107" s="1599">
        <v>4.2622999999999998</v>
      </c>
      <c r="F107" s="1599">
        <v>4.2622999999999998</v>
      </c>
      <c r="G107" s="1599">
        <v>4.2622999999999998</v>
      </c>
      <c r="H107" s="1599">
        <v>4.2622999999999998</v>
      </c>
      <c r="I107" s="1599">
        <v>4.1280000000000001</v>
      </c>
      <c r="J107" s="1599">
        <v>4.1280000000000001</v>
      </c>
      <c r="K107" s="1599">
        <v>4.1280000000000001</v>
      </c>
      <c r="L107" s="1599">
        <v>4.1280000000000001</v>
      </c>
      <c r="M107" s="1599">
        <v>4.1280000000000001</v>
      </c>
    </row>
    <row r="108" spans="1:14">
      <c r="A108" s="1590">
        <v>0.4</v>
      </c>
      <c r="B108" s="1599">
        <v>3.4333</v>
      </c>
      <c r="C108" s="1599">
        <v>3.4333</v>
      </c>
      <c r="D108" s="1599">
        <v>3.1968000000000001</v>
      </c>
      <c r="E108" s="1599">
        <v>3.1968000000000001</v>
      </c>
      <c r="F108" s="1599">
        <v>3.1968000000000001</v>
      </c>
      <c r="G108" s="1599">
        <v>3.1968000000000001</v>
      </c>
      <c r="H108" s="1599">
        <v>3.1968000000000001</v>
      </c>
      <c r="I108" s="1599">
        <v>3.0960000000000001</v>
      </c>
      <c r="J108" s="1599">
        <v>3.0960000000000001</v>
      </c>
      <c r="K108" s="1599">
        <v>3.0960000000000001</v>
      </c>
      <c r="L108" s="1599">
        <v>3.0960000000000001</v>
      </c>
      <c r="M108" s="1599">
        <v>3.0960000000000001</v>
      </c>
    </row>
    <row r="109" spans="1:14">
      <c r="A109" s="1590">
        <v>0.5</v>
      </c>
      <c r="B109" s="1599">
        <v>2.7465999999999999</v>
      </c>
      <c r="C109" s="1599">
        <v>2.7465999999999999</v>
      </c>
      <c r="D109" s="1599">
        <v>2.5573999999999999</v>
      </c>
      <c r="E109" s="1599">
        <v>2.5573999999999999</v>
      </c>
      <c r="F109" s="1599">
        <v>2.5573999999999999</v>
      </c>
      <c r="G109" s="1599">
        <v>2.5573999999999999</v>
      </c>
      <c r="H109" s="1599">
        <v>2.5573999999999999</v>
      </c>
      <c r="I109" s="1599">
        <v>2.4767999999999999</v>
      </c>
      <c r="J109" s="1599">
        <v>2.4767999999999999</v>
      </c>
      <c r="K109" s="1599">
        <v>2.4767999999999999</v>
      </c>
      <c r="L109" s="1599">
        <v>2.4767999999999999</v>
      </c>
      <c r="M109" s="1599">
        <v>2.4767999999999999</v>
      </c>
    </row>
    <row r="110" spans="1:14">
      <c r="A110" s="1590">
        <v>0.6</v>
      </c>
      <c r="B110" s="1599">
        <v>2.2888000000000002</v>
      </c>
      <c r="C110" s="1599">
        <v>2.2888000000000002</v>
      </c>
      <c r="D110" s="1599">
        <v>2.1312000000000002</v>
      </c>
      <c r="E110" s="1599">
        <v>2.1312000000000002</v>
      </c>
      <c r="F110" s="1599">
        <v>2.1312000000000002</v>
      </c>
      <c r="G110" s="1599">
        <v>2.1312000000000002</v>
      </c>
      <c r="H110" s="1599">
        <v>2.1312000000000002</v>
      </c>
      <c r="I110" s="1599">
        <v>2.0640000000000001</v>
      </c>
      <c r="J110" s="1599">
        <v>2.0640000000000001</v>
      </c>
      <c r="K110" s="1599">
        <v>2.0640000000000001</v>
      </c>
      <c r="L110" s="1599">
        <v>2.0640000000000001</v>
      </c>
      <c r="M110" s="1599">
        <v>2.0640000000000001</v>
      </c>
    </row>
    <row r="111" spans="1:14">
      <c r="A111" s="1590">
        <v>0.7</v>
      </c>
      <c r="B111" s="1599">
        <v>1.9619</v>
      </c>
      <c r="C111" s="1599">
        <v>1.9619</v>
      </c>
      <c r="D111" s="1599">
        <v>1.8267</v>
      </c>
      <c r="E111" s="1599">
        <v>1.8267</v>
      </c>
      <c r="F111" s="1599">
        <v>1.8267</v>
      </c>
      <c r="G111" s="1599">
        <v>1.8267</v>
      </c>
      <c r="H111" s="1599">
        <v>1.8267</v>
      </c>
      <c r="I111" s="1599">
        <v>1.7690999999999999</v>
      </c>
      <c r="J111" s="1599">
        <v>1.7690999999999999</v>
      </c>
      <c r="K111" s="1599">
        <v>1.7690999999999999</v>
      </c>
      <c r="L111" s="1599">
        <v>1.7690999999999999</v>
      </c>
      <c r="M111" s="1599">
        <v>1.7690999999999999</v>
      </c>
    </row>
    <row r="112" spans="1:14">
      <c r="A112" s="1590">
        <v>0.8</v>
      </c>
      <c r="B112" s="1599">
        <v>1.7165999999999999</v>
      </c>
      <c r="C112" s="1599">
        <v>1.7165999999999999</v>
      </c>
      <c r="D112" s="1599">
        <v>1.5984</v>
      </c>
      <c r="E112" s="1599">
        <v>1.5984</v>
      </c>
      <c r="F112" s="1599">
        <v>1.5984</v>
      </c>
      <c r="G112" s="1599">
        <v>1.5984</v>
      </c>
      <c r="H112" s="1599">
        <v>1.5984</v>
      </c>
      <c r="I112" s="1599">
        <v>1.548</v>
      </c>
      <c r="J112" s="1599">
        <v>1.548</v>
      </c>
      <c r="K112" s="1599">
        <v>1.548</v>
      </c>
      <c r="L112" s="1599">
        <v>1.548</v>
      </c>
      <c r="M112" s="1599">
        <v>1.548</v>
      </c>
    </row>
    <row r="113" spans="1:13">
      <c r="A113" s="1590">
        <v>0.9</v>
      </c>
      <c r="B113" s="1599">
        <v>1.5259</v>
      </c>
      <c r="C113" s="1599">
        <v>1.5259</v>
      </c>
      <c r="D113" s="1599">
        <v>1.4208000000000001</v>
      </c>
      <c r="E113" s="1599">
        <v>1.4208000000000001</v>
      </c>
      <c r="F113" s="1599">
        <v>1.4208000000000001</v>
      </c>
      <c r="G113" s="1599">
        <v>1.4208000000000001</v>
      </c>
      <c r="H113" s="1599">
        <v>1.4208000000000001</v>
      </c>
      <c r="I113" s="1599">
        <v>1.3759999999999999</v>
      </c>
      <c r="J113" s="1599">
        <v>1.3759999999999999</v>
      </c>
      <c r="K113" s="1599">
        <v>1.3759999999999999</v>
      </c>
      <c r="L113" s="1599">
        <v>1.3759999999999999</v>
      </c>
      <c r="M113" s="1599">
        <v>1.3759999999999999</v>
      </c>
    </row>
    <row r="114" spans="1:13">
      <c r="A114" s="1590">
        <v>1</v>
      </c>
      <c r="B114" s="1599">
        <v>1.3733</v>
      </c>
      <c r="C114" s="1599">
        <v>1.3733</v>
      </c>
      <c r="D114" s="1599">
        <v>1.2786999999999999</v>
      </c>
      <c r="E114" s="1599">
        <v>1.2786999999999999</v>
      </c>
      <c r="F114" s="1599">
        <v>1.2786999999999999</v>
      </c>
      <c r="G114" s="1599">
        <v>1.2786999999999999</v>
      </c>
      <c r="H114" s="1599">
        <v>1.2786999999999999</v>
      </c>
      <c r="I114" s="1599">
        <v>1.2383999999999999</v>
      </c>
      <c r="J114" s="1599">
        <v>1.2383999999999999</v>
      </c>
      <c r="K114" s="1599">
        <v>1.2383999999999999</v>
      </c>
      <c r="L114" s="1599">
        <v>1.2383999999999999</v>
      </c>
      <c r="M114" s="1599">
        <v>1.2383999999999999</v>
      </c>
    </row>
    <row r="115" spans="1:13">
      <c r="A115" s="1590">
        <v>1.1000000000000001</v>
      </c>
      <c r="B115" s="1599">
        <v>1.3489</v>
      </c>
      <c r="C115" s="1599">
        <v>1.3489</v>
      </c>
      <c r="D115" s="1599">
        <v>1.2542</v>
      </c>
      <c r="E115" s="1599">
        <v>1.2542</v>
      </c>
      <c r="F115" s="1599">
        <v>1.2542</v>
      </c>
      <c r="G115" s="1599">
        <v>1.2542</v>
      </c>
      <c r="H115" s="1599">
        <v>1.2542</v>
      </c>
      <c r="I115" s="1599">
        <v>1.2050000000000001</v>
      </c>
      <c r="J115" s="1599">
        <v>1.2050000000000001</v>
      </c>
      <c r="K115" s="1599">
        <v>1.2050000000000001</v>
      </c>
      <c r="L115" s="1599">
        <v>1.2050000000000001</v>
      </c>
      <c r="M115" s="1599">
        <v>1.2050000000000001</v>
      </c>
    </row>
    <row r="116" spans="1:13">
      <c r="A116" s="1590">
        <v>1.2</v>
      </c>
      <c r="B116" s="1599">
        <v>1.3255999999999999</v>
      </c>
      <c r="C116" s="1599">
        <v>1.3255999999999999</v>
      </c>
      <c r="D116" s="1599">
        <v>1.2305999999999999</v>
      </c>
      <c r="E116" s="1599">
        <v>1.2305999999999999</v>
      </c>
      <c r="F116" s="1599">
        <v>1.2305999999999999</v>
      </c>
      <c r="G116" s="1599">
        <v>1.2305999999999999</v>
      </c>
      <c r="H116" s="1599">
        <v>1.2305999999999999</v>
      </c>
      <c r="I116" s="1599">
        <v>1.1741999999999999</v>
      </c>
      <c r="J116" s="1599">
        <v>1.1741999999999999</v>
      </c>
      <c r="K116" s="1599">
        <v>1.1741999999999999</v>
      </c>
      <c r="L116" s="1599">
        <v>1.1741999999999999</v>
      </c>
      <c r="M116" s="1599">
        <v>1.1741999999999999</v>
      </c>
    </row>
    <row r="117" spans="1:13">
      <c r="A117" s="1590">
        <v>1.3</v>
      </c>
      <c r="B117" s="1599">
        <v>1.3032999999999999</v>
      </c>
      <c r="C117" s="1599">
        <v>1.3032999999999999</v>
      </c>
      <c r="D117" s="1599">
        <v>1.2079</v>
      </c>
      <c r="E117" s="1599">
        <v>1.2079</v>
      </c>
      <c r="F117" s="1599">
        <v>1.2079</v>
      </c>
      <c r="G117" s="1599">
        <v>1.2079</v>
      </c>
      <c r="H117" s="1599">
        <v>1.2079</v>
      </c>
      <c r="I117" s="1599">
        <v>1.1459999999999999</v>
      </c>
      <c r="J117" s="1599">
        <v>1.1459999999999999</v>
      </c>
      <c r="K117" s="1599">
        <v>1.1459999999999999</v>
      </c>
      <c r="L117" s="1599">
        <v>1.1459999999999999</v>
      </c>
      <c r="M117" s="1599">
        <v>1.1459999999999999</v>
      </c>
    </row>
    <row r="118" spans="1:13">
      <c r="A118" s="1590">
        <v>1.4</v>
      </c>
      <c r="B118" s="1599">
        <v>1.282</v>
      </c>
      <c r="C118" s="1599">
        <v>1.282</v>
      </c>
      <c r="D118" s="1599">
        <v>1.1861999999999999</v>
      </c>
      <c r="E118" s="1599">
        <v>1.1861999999999999</v>
      </c>
      <c r="F118" s="1599">
        <v>1.1861999999999999</v>
      </c>
      <c r="G118" s="1599">
        <v>1.1861999999999999</v>
      </c>
      <c r="H118" s="1599">
        <v>1.1861999999999999</v>
      </c>
      <c r="I118" s="1599">
        <v>1.1200000000000001</v>
      </c>
      <c r="J118" s="1599">
        <v>1.1200000000000001</v>
      </c>
      <c r="K118" s="1599">
        <v>1.1200000000000001</v>
      </c>
      <c r="L118" s="1599">
        <v>1.1200000000000001</v>
      </c>
      <c r="M118" s="1599">
        <v>1.1200000000000001</v>
      </c>
    </row>
    <row r="119" spans="1:13">
      <c r="A119" s="1590">
        <v>1.5</v>
      </c>
      <c r="B119" s="1599">
        <v>1.2617</v>
      </c>
      <c r="C119" s="1599">
        <v>1.2617</v>
      </c>
      <c r="D119" s="1599">
        <v>1.1653</v>
      </c>
      <c r="E119" s="1599">
        <v>1.1653</v>
      </c>
      <c r="F119" s="1599">
        <v>1.1653</v>
      </c>
      <c r="G119" s="1599">
        <v>1.1653</v>
      </c>
      <c r="H119" s="1599">
        <v>1.1653</v>
      </c>
      <c r="I119" s="1599">
        <v>1.0961000000000001</v>
      </c>
      <c r="J119" s="1599">
        <v>1.0961000000000001</v>
      </c>
      <c r="K119" s="1599">
        <v>1.0961000000000001</v>
      </c>
      <c r="L119" s="1599">
        <v>1.0961000000000001</v>
      </c>
      <c r="M119" s="1599">
        <v>1.0961000000000001</v>
      </c>
    </row>
    <row r="120" spans="1:13">
      <c r="A120" s="1590">
        <v>1.6</v>
      </c>
      <c r="B120" s="1599">
        <v>1.2423</v>
      </c>
      <c r="C120" s="1599">
        <v>1.2423</v>
      </c>
      <c r="D120" s="1599">
        <v>1.1453</v>
      </c>
      <c r="E120" s="1599">
        <v>1.1453</v>
      </c>
      <c r="F120" s="1599">
        <v>1.1453</v>
      </c>
      <c r="G120" s="1599">
        <v>1.1453</v>
      </c>
      <c r="H120" s="1599">
        <v>1.1453</v>
      </c>
      <c r="I120" s="1599">
        <v>1.0740000000000001</v>
      </c>
      <c r="J120" s="1599">
        <v>1.0740000000000001</v>
      </c>
      <c r="K120" s="1599">
        <v>1.0740000000000001</v>
      </c>
      <c r="L120" s="1599">
        <v>1.0740000000000001</v>
      </c>
      <c r="M120" s="1599">
        <v>1.0740000000000001</v>
      </c>
    </row>
    <row r="121" spans="1:13">
      <c r="A121" s="1590">
        <v>1.7</v>
      </c>
      <c r="B121" s="1599">
        <v>1.2237</v>
      </c>
      <c r="C121" s="1599">
        <v>1.2237</v>
      </c>
      <c r="D121" s="1599">
        <v>1.1261000000000001</v>
      </c>
      <c r="E121" s="1599">
        <v>1.1261000000000001</v>
      </c>
      <c r="F121" s="1599">
        <v>1.1261000000000001</v>
      </c>
      <c r="G121" s="1599">
        <v>1.1261000000000001</v>
      </c>
      <c r="H121" s="1599">
        <v>1.1261000000000001</v>
      </c>
      <c r="I121" s="1599">
        <v>1.0535000000000001</v>
      </c>
      <c r="J121" s="1599">
        <v>1.0535000000000001</v>
      </c>
      <c r="K121" s="1599">
        <v>1.0535000000000001</v>
      </c>
      <c r="L121" s="1599">
        <v>1.0535000000000001</v>
      </c>
      <c r="M121" s="1599">
        <v>1.0535000000000001</v>
      </c>
    </row>
    <row r="122" spans="1:13">
      <c r="A122" s="1590">
        <v>1.8</v>
      </c>
      <c r="B122" s="1599">
        <v>1.206</v>
      </c>
      <c r="C122" s="1599">
        <v>1.206</v>
      </c>
      <c r="D122" s="1599">
        <v>1.1076999999999999</v>
      </c>
      <c r="E122" s="1599">
        <v>1.1076999999999999</v>
      </c>
      <c r="F122" s="1599">
        <v>1.1076999999999999</v>
      </c>
      <c r="G122" s="1599">
        <v>1.1076999999999999</v>
      </c>
      <c r="H122" s="1599">
        <v>1.1076999999999999</v>
      </c>
      <c r="I122" s="1599">
        <v>1.0345</v>
      </c>
      <c r="J122" s="1599">
        <v>1.0345</v>
      </c>
      <c r="K122" s="1599">
        <v>1.0345</v>
      </c>
      <c r="L122" s="1599">
        <v>1.0345</v>
      </c>
      <c r="M122" s="1599">
        <v>1.0345</v>
      </c>
    </row>
    <row r="123" spans="1:13">
      <c r="A123" s="1590">
        <v>1.9</v>
      </c>
      <c r="B123" s="1599">
        <v>1.1891</v>
      </c>
      <c r="C123" s="1599">
        <v>1.1891</v>
      </c>
      <c r="D123" s="1599">
        <v>1.0901000000000001</v>
      </c>
      <c r="E123" s="1599">
        <v>1.0901000000000001</v>
      </c>
      <c r="F123" s="1599">
        <v>1.0901000000000001</v>
      </c>
      <c r="G123" s="1599">
        <v>1.0901000000000001</v>
      </c>
      <c r="H123" s="1599">
        <v>1.0901000000000001</v>
      </c>
      <c r="I123" s="1599">
        <v>1.0166999999999999</v>
      </c>
      <c r="J123" s="1599">
        <v>1.0166999999999999</v>
      </c>
      <c r="K123" s="1599">
        <v>1.0166999999999999</v>
      </c>
      <c r="L123" s="1599">
        <v>1.0166999999999999</v>
      </c>
      <c r="M123" s="1599">
        <v>1.0166999999999999</v>
      </c>
    </row>
    <row r="124" spans="1:13">
      <c r="A124" s="1590">
        <v>2</v>
      </c>
      <c r="B124" s="1599">
        <v>1.1729000000000001</v>
      </c>
      <c r="C124" s="1599">
        <v>1.1729000000000001</v>
      </c>
      <c r="D124" s="1599">
        <v>1.0732999999999999</v>
      </c>
      <c r="E124" s="1599">
        <v>1.0732999999999999</v>
      </c>
      <c r="F124" s="1599">
        <v>1.0732999999999999</v>
      </c>
      <c r="G124" s="1599">
        <v>1.0732999999999999</v>
      </c>
      <c r="H124" s="1599">
        <v>1.0732999999999999</v>
      </c>
      <c r="I124" s="1599">
        <v>1</v>
      </c>
      <c r="J124" s="1599">
        <v>1</v>
      </c>
      <c r="K124" s="1599">
        <v>1</v>
      </c>
      <c r="L124" s="1599">
        <v>1</v>
      </c>
      <c r="M124" s="1599">
        <v>1</v>
      </c>
    </row>
    <row r="125" spans="1:13">
      <c r="A125" s="1613">
        <v>2.1</v>
      </c>
      <c r="B125" s="1599">
        <v>1.1574</v>
      </c>
      <c r="C125" s="1599">
        <v>1.1574</v>
      </c>
      <c r="D125" s="1599">
        <v>1.0571999999999999</v>
      </c>
      <c r="E125" s="1599">
        <v>1.0571999999999999</v>
      </c>
      <c r="F125" s="1599">
        <v>1.0571999999999999</v>
      </c>
      <c r="G125" s="1599">
        <v>1.0571999999999999</v>
      </c>
      <c r="H125" s="1599">
        <v>1.0571999999999999</v>
      </c>
      <c r="I125" s="1599">
        <v>0.98409999999999997</v>
      </c>
      <c r="J125" s="1599">
        <v>0.98409999999999997</v>
      </c>
      <c r="K125" s="1599">
        <v>0.98409999999999997</v>
      </c>
      <c r="L125" s="1599">
        <v>0.98409999999999997</v>
      </c>
      <c r="M125" s="1599">
        <v>0.98409999999999997</v>
      </c>
    </row>
    <row r="126" spans="1:13">
      <c r="A126" s="1613">
        <v>2.2000000000000002</v>
      </c>
      <c r="B126" s="1599">
        <v>1.1426000000000001</v>
      </c>
      <c r="C126" s="1599">
        <v>1.1426000000000001</v>
      </c>
      <c r="D126" s="1599">
        <v>1.0419</v>
      </c>
      <c r="E126" s="1599">
        <v>1.0419</v>
      </c>
      <c r="F126" s="1599">
        <v>1.0419</v>
      </c>
      <c r="G126" s="1599">
        <v>1.0419</v>
      </c>
      <c r="H126" s="1599">
        <v>1.0419</v>
      </c>
      <c r="I126" s="1599">
        <v>0.96889999999999998</v>
      </c>
      <c r="J126" s="1599">
        <v>0.96889999999999998</v>
      </c>
      <c r="K126" s="1599">
        <v>0.96889999999999998</v>
      </c>
      <c r="L126" s="1599">
        <v>0.96889999999999998</v>
      </c>
      <c r="M126" s="1599">
        <v>0.96889999999999998</v>
      </c>
    </row>
    <row r="127" spans="1:13">
      <c r="A127" s="1613">
        <v>2.2999999999999998</v>
      </c>
      <c r="B127" s="1599">
        <v>1.1285000000000001</v>
      </c>
      <c r="C127" s="1599">
        <v>1.1285000000000001</v>
      </c>
      <c r="D127" s="1599">
        <v>1.0271999999999999</v>
      </c>
      <c r="E127" s="1599">
        <v>1.0271999999999999</v>
      </c>
      <c r="F127" s="1599">
        <v>1.0271999999999999</v>
      </c>
      <c r="G127" s="1599">
        <v>1.0271999999999999</v>
      </c>
      <c r="H127" s="1599">
        <v>1.0271999999999999</v>
      </c>
      <c r="I127" s="1599">
        <v>0.95440000000000003</v>
      </c>
      <c r="J127" s="1599">
        <v>0.95440000000000003</v>
      </c>
      <c r="K127" s="1599">
        <v>0.95440000000000003</v>
      </c>
      <c r="L127" s="1599">
        <v>0.95440000000000003</v>
      </c>
      <c r="M127" s="1599">
        <v>0.95440000000000003</v>
      </c>
    </row>
    <row r="128" spans="1:13">
      <c r="A128" s="1613">
        <v>2.4</v>
      </c>
      <c r="B128" s="1599">
        <v>1.1149</v>
      </c>
      <c r="C128" s="1599">
        <v>1.1149</v>
      </c>
      <c r="D128" s="1599">
        <v>1.0133000000000001</v>
      </c>
      <c r="E128" s="1599">
        <v>1.0133000000000001</v>
      </c>
      <c r="F128" s="1599">
        <v>1.0133000000000001</v>
      </c>
      <c r="G128" s="1599">
        <v>1.0133000000000001</v>
      </c>
      <c r="H128" s="1599">
        <v>1.0133000000000001</v>
      </c>
      <c r="I128" s="1599">
        <v>0.9405</v>
      </c>
      <c r="J128" s="1599">
        <v>0.9405</v>
      </c>
      <c r="K128" s="1599">
        <v>0.9405</v>
      </c>
      <c r="L128" s="1599">
        <v>0.9405</v>
      </c>
      <c r="M128" s="1599">
        <v>0.9405</v>
      </c>
    </row>
    <row r="129" spans="1:13">
      <c r="A129" s="1613">
        <v>2.5</v>
      </c>
      <c r="B129" s="1599">
        <v>1.1020000000000001</v>
      </c>
      <c r="C129" s="1599">
        <v>1.1020000000000001</v>
      </c>
      <c r="D129" s="1599">
        <v>1</v>
      </c>
      <c r="E129" s="1599">
        <v>1</v>
      </c>
      <c r="F129" s="1599">
        <v>1</v>
      </c>
      <c r="G129" s="1599">
        <v>1</v>
      </c>
      <c r="H129" s="1599">
        <v>1</v>
      </c>
      <c r="I129" s="1599">
        <v>0.92730000000000001</v>
      </c>
      <c r="J129" s="1599">
        <v>0.92730000000000001</v>
      </c>
      <c r="K129" s="1599">
        <v>0.92730000000000001</v>
      </c>
      <c r="L129" s="1599">
        <v>0.92730000000000001</v>
      </c>
      <c r="M129" s="1599">
        <v>0.92730000000000001</v>
      </c>
    </row>
    <row r="130" spans="1:13">
      <c r="A130" s="1613">
        <v>2.6</v>
      </c>
      <c r="B130" s="1599">
        <v>1.0895999999999999</v>
      </c>
      <c r="C130" s="1599">
        <v>1.0895999999999999</v>
      </c>
      <c r="D130" s="1599">
        <v>0.98740000000000006</v>
      </c>
      <c r="E130" s="1599">
        <v>0.98740000000000006</v>
      </c>
      <c r="F130" s="1599">
        <v>0.98740000000000006</v>
      </c>
      <c r="G130" s="1599">
        <v>0.98740000000000006</v>
      </c>
      <c r="H130" s="1599">
        <v>0.98740000000000006</v>
      </c>
      <c r="I130" s="1599">
        <v>0.91469999999999996</v>
      </c>
      <c r="J130" s="1599">
        <v>0.91469999999999996</v>
      </c>
      <c r="K130" s="1599">
        <v>0.91469999999999996</v>
      </c>
      <c r="L130" s="1599">
        <v>0.91469999999999996</v>
      </c>
      <c r="M130" s="1599">
        <v>0.91469999999999996</v>
      </c>
    </row>
    <row r="131" spans="1:13">
      <c r="A131" s="1613">
        <v>2.7</v>
      </c>
      <c r="B131" s="1599">
        <v>1.0778000000000001</v>
      </c>
      <c r="C131" s="1599">
        <v>1.0778000000000001</v>
      </c>
      <c r="D131" s="1599">
        <v>0.97540000000000004</v>
      </c>
      <c r="E131" s="1599">
        <v>0.97540000000000004</v>
      </c>
      <c r="F131" s="1599">
        <v>0.97540000000000004</v>
      </c>
      <c r="G131" s="1599">
        <v>0.97540000000000004</v>
      </c>
      <c r="H131" s="1599">
        <v>0.97540000000000004</v>
      </c>
      <c r="I131" s="1599">
        <v>0.90269999999999995</v>
      </c>
      <c r="J131" s="1599">
        <v>0.90269999999999995</v>
      </c>
      <c r="K131" s="1599">
        <v>0.90269999999999995</v>
      </c>
      <c r="L131" s="1599">
        <v>0.90269999999999995</v>
      </c>
      <c r="M131" s="1599">
        <v>0.90269999999999995</v>
      </c>
    </row>
    <row r="132" spans="1:13">
      <c r="A132" s="1613">
        <v>2.8</v>
      </c>
      <c r="B132" s="1599">
        <v>1.0665</v>
      </c>
      <c r="C132" s="1599">
        <v>1.0665</v>
      </c>
      <c r="D132" s="1599">
        <v>0.96399999999999997</v>
      </c>
      <c r="E132" s="1599">
        <v>0.96399999999999997</v>
      </c>
      <c r="F132" s="1599">
        <v>0.96399999999999997</v>
      </c>
      <c r="G132" s="1599">
        <v>0.96399999999999997</v>
      </c>
      <c r="H132" s="1599">
        <v>0.96399999999999997</v>
      </c>
      <c r="I132" s="1599">
        <v>0.89119999999999999</v>
      </c>
      <c r="J132" s="1599">
        <v>0.89119999999999999</v>
      </c>
      <c r="K132" s="1599">
        <v>0.89119999999999999</v>
      </c>
      <c r="L132" s="1599">
        <v>0.89119999999999999</v>
      </c>
      <c r="M132" s="1599">
        <v>0.89119999999999999</v>
      </c>
    </row>
    <row r="133" spans="1:13">
      <c r="A133" s="1613">
        <v>2.9</v>
      </c>
      <c r="B133" s="1599">
        <v>1.0556000000000001</v>
      </c>
      <c r="C133" s="1599">
        <v>1.0556000000000001</v>
      </c>
      <c r="D133" s="1599">
        <v>0.95330000000000004</v>
      </c>
      <c r="E133" s="1599">
        <v>0.95330000000000004</v>
      </c>
      <c r="F133" s="1599">
        <v>0.95330000000000004</v>
      </c>
      <c r="G133" s="1599">
        <v>0.95330000000000004</v>
      </c>
      <c r="H133" s="1599">
        <v>0.95330000000000004</v>
      </c>
      <c r="I133" s="1599">
        <v>0.88019999999999998</v>
      </c>
      <c r="J133" s="1599">
        <v>0.88019999999999998</v>
      </c>
      <c r="K133" s="1599">
        <v>0.88019999999999998</v>
      </c>
      <c r="L133" s="1599">
        <v>0.88019999999999998</v>
      </c>
      <c r="M133" s="1599">
        <v>0.88019999999999998</v>
      </c>
    </row>
    <row r="134" spans="1:13">
      <c r="A134" s="1613">
        <v>3</v>
      </c>
      <c r="B134" s="1599">
        <v>1.0452999999999999</v>
      </c>
      <c r="C134" s="1599">
        <v>1.0452999999999999</v>
      </c>
      <c r="D134" s="1599">
        <v>0.94299999999999995</v>
      </c>
      <c r="E134" s="1599">
        <v>0.94299999999999995</v>
      </c>
      <c r="F134" s="1599">
        <v>0.94299999999999995</v>
      </c>
      <c r="G134" s="1599">
        <v>0.94299999999999995</v>
      </c>
      <c r="H134" s="1599">
        <v>0.94299999999999995</v>
      </c>
      <c r="I134" s="1599">
        <v>0.86970000000000003</v>
      </c>
      <c r="J134" s="1599">
        <v>0.86970000000000003</v>
      </c>
      <c r="K134" s="1599">
        <v>0.86970000000000003</v>
      </c>
      <c r="L134" s="1599">
        <v>0.86970000000000003</v>
      </c>
      <c r="M134" s="1599">
        <v>0.86970000000000003</v>
      </c>
    </row>
    <row r="135" spans="1:13">
      <c r="A135" s="1613">
        <v>3.1</v>
      </c>
      <c r="B135" s="1599">
        <v>1.0354000000000001</v>
      </c>
      <c r="C135" s="1599">
        <v>1.0354000000000001</v>
      </c>
      <c r="D135" s="1599">
        <v>0.93330000000000002</v>
      </c>
      <c r="E135" s="1599">
        <v>0.93330000000000002</v>
      </c>
      <c r="F135" s="1599">
        <v>0.93330000000000002</v>
      </c>
      <c r="G135" s="1599">
        <v>0.93330000000000002</v>
      </c>
      <c r="H135" s="1599">
        <v>0.93330000000000002</v>
      </c>
      <c r="I135" s="1599">
        <v>0.85970000000000002</v>
      </c>
      <c r="J135" s="1599">
        <v>0.85970000000000002</v>
      </c>
      <c r="K135" s="1599">
        <v>0.85970000000000002</v>
      </c>
      <c r="L135" s="1599">
        <v>0.85970000000000002</v>
      </c>
      <c r="M135" s="1599">
        <v>0.85970000000000002</v>
      </c>
    </row>
    <row r="136" spans="1:13">
      <c r="A136" s="1613">
        <v>3.2</v>
      </c>
      <c r="B136" s="1599">
        <v>1.0259</v>
      </c>
      <c r="C136" s="1599">
        <v>1.0259</v>
      </c>
      <c r="D136" s="1599">
        <v>0.92410000000000003</v>
      </c>
      <c r="E136" s="1599">
        <v>0.92410000000000003</v>
      </c>
      <c r="F136" s="1599">
        <v>0.92410000000000003</v>
      </c>
      <c r="G136" s="1599">
        <v>0.92410000000000003</v>
      </c>
      <c r="H136" s="1599">
        <v>0.92410000000000003</v>
      </c>
      <c r="I136" s="1599">
        <v>0.85019999999999996</v>
      </c>
      <c r="J136" s="1599">
        <v>0.85019999999999996</v>
      </c>
      <c r="K136" s="1599">
        <v>0.85019999999999996</v>
      </c>
      <c r="L136" s="1599">
        <v>0.85019999999999996</v>
      </c>
      <c r="M136" s="1599">
        <v>0.85019999999999996</v>
      </c>
    </row>
    <row r="137" spans="1:13">
      <c r="A137" s="1613">
        <v>3.3</v>
      </c>
      <c r="B137" s="1599">
        <v>1.0168999999999999</v>
      </c>
      <c r="C137" s="1599">
        <v>1.0168999999999999</v>
      </c>
      <c r="D137" s="1599">
        <v>0.91539999999999999</v>
      </c>
      <c r="E137" s="1599">
        <v>0.91539999999999999</v>
      </c>
      <c r="F137" s="1599">
        <v>0.91539999999999999</v>
      </c>
      <c r="G137" s="1599">
        <v>0.91539999999999999</v>
      </c>
      <c r="H137" s="1599">
        <v>0.91539999999999999</v>
      </c>
      <c r="I137" s="1599">
        <v>0.84109999999999996</v>
      </c>
      <c r="J137" s="1599">
        <v>0.84109999999999996</v>
      </c>
      <c r="K137" s="1599">
        <v>0.84109999999999996</v>
      </c>
      <c r="L137" s="1599">
        <v>0.84109999999999996</v>
      </c>
      <c r="M137" s="1599">
        <v>0.84109999999999996</v>
      </c>
    </row>
    <row r="138" spans="1:13">
      <c r="A138" s="1613">
        <v>3.4</v>
      </c>
      <c r="B138" s="1599">
        <v>1.0082</v>
      </c>
      <c r="C138" s="1599">
        <v>1.0082</v>
      </c>
      <c r="D138" s="1599">
        <v>0.90710000000000002</v>
      </c>
      <c r="E138" s="1599">
        <v>0.90710000000000002</v>
      </c>
      <c r="F138" s="1599">
        <v>0.90710000000000002</v>
      </c>
      <c r="G138" s="1599">
        <v>0.90710000000000002</v>
      </c>
      <c r="H138" s="1599">
        <v>0.90710000000000002</v>
      </c>
      <c r="I138" s="1599">
        <v>0.83240000000000003</v>
      </c>
      <c r="J138" s="1599">
        <v>0.83240000000000003</v>
      </c>
      <c r="K138" s="1599">
        <v>0.83240000000000003</v>
      </c>
      <c r="L138" s="1599">
        <v>0.83240000000000003</v>
      </c>
      <c r="M138" s="1599">
        <v>0.83240000000000003</v>
      </c>
    </row>
    <row r="139" spans="1:13">
      <c r="A139" s="1613">
        <v>3.5</v>
      </c>
      <c r="B139" s="1599">
        <v>1</v>
      </c>
      <c r="C139" s="1599">
        <v>1</v>
      </c>
      <c r="D139" s="1599">
        <v>0.89929999999999999</v>
      </c>
      <c r="E139" s="1599">
        <v>0.89929999999999999</v>
      </c>
      <c r="F139" s="1599">
        <v>0.89929999999999999</v>
      </c>
      <c r="G139" s="1599">
        <v>0.89929999999999999</v>
      </c>
      <c r="H139" s="1599">
        <v>0.89929999999999999</v>
      </c>
      <c r="I139" s="1599">
        <v>0.82410000000000005</v>
      </c>
      <c r="J139" s="1599">
        <v>0.82410000000000005</v>
      </c>
      <c r="K139" s="1599">
        <v>0.82410000000000005</v>
      </c>
      <c r="L139" s="1599">
        <v>0.82410000000000005</v>
      </c>
      <c r="M139" s="1599">
        <v>0.82410000000000005</v>
      </c>
    </row>
    <row r="140" spans="1:13">
      <c r="A140" s="1613">
        <v>3.6</v>
      </c>
      <c r="B140" s="1599">
        <v>0.99219999999999997</v>
      </c>
      <c r="C140" s="1599">
        <v>0.99219999999999997</v>
      </c>
      <c r="D140" s="1599">
        <v>0.89190000000000003</v>
      </c>
      <c r="E140" s="1599">
        <v>0.89190000000000003</v>
      </c>
      <c r="F140" s="1599">
        <v>0.89190000000000003</v>
      </c>
      <c r="G140" s="1599">
        <v>0.89190000000000003</v>
      </c>
      <c r="H140" s="1599">
        <v>0.89190000000000003</v>
      </c>
      <c r="I140" s="1599">
        <v>0.81620000000000004</v>
      </c>
      <c r="J140" s="1599">
        <v>0.81620000000000004</v>
      </c>
      <c r="K140" s="1599">
        <v>0.81620000000000004</v>
      </c>
      <c r="L140" s="1599">
        <v>0.81620000000000004</v>
      </c>
      <c r="M140" s="1599">
        <v>0.81620000000000004</v>
      </c>
    </row>
    <row r="141" spans="1:13">
      <c r="A141" s="1613">
        <v>3.7</v>
      </c>
      <c r="B141" s="1599">
        <v>0.98480000000000001</v>
      </c>
      <c r="C141" s="1599">
        <v>0.98480000000000001</v>
      </c>
      <c r="D141" s="1599">
        <v>0.88480000000000003</v>
      </c>
      <c r="E141" s="1599">
        <v>0.88480000000000003</v>
      </c>
      <c r="F141" s="1599">
        <v>0.88480000000000003</v>
      </c>
      <c r="G141" s="1599">
        <v>0.88480000000000003</v>
      </c>
      <c r="H141" s="1599">
        <v>0.88480000000000003</v>
      </c>
      <c r="I141" s="1599">
        <v>0.80869999999999997</v>
      </c>
      <c r="J141" s="1599">
        <v>0.80869999999999997</v>
      </c>
      <c r="K141" s="1599">
        <v>0.80869999999999997</v>
      </c>
      <c r="L141" s="1599">
        <v>0.80869999999999997</v>
      </c>
      <c r="M141" s="1599">
        <v>0.80869999999999997</v>
      </c>
    </row>
    <row r="142" spans="1:13">
      <c r="A142" s="1613">
        <v>3.8</v>
      </c>
      <c r="B142" s="1599">
        <v>0.9778</v>
      </c>
      <c r="C142" s="1599">
        <v>0.9778</v>
      </c>
      <c r="D142" s="1599">
        <v>0.87809999999999999</v>
      </c>
      <c r="E142" s="1599">
        <v>0.87809999999999999</v>
      </c>
      <c r="F142" s="1599">
        <v>0.87809999999999999</v>
      </c>
      <c r="G142" s="1599">
        <v>0.87809999999999999</v>
      </c>
      <c r="H142" s="1599">
        <v>0.87809999999999999</v>
      </c>
      <c r="I142" s="1599">
        <v>0.80159999999999998</v>
      </c>
      <c r="J142" s="1599">
        <v>0.80159999999999998</v>
      </c>
      <c r="K142" s="1599">
        <v>0.80159999999999998</v>
      </c>
      <c r="L142" s="1599">
        <v>0.80159999999999998</v>
      </c>
      <c r="M142" s="1599">
        <v>0.80159999999999998</v>
      </c>
    </row>
    <row r="143" spans="1:13">
      <c r="A143" s="1613">
        <v>3.9</v>
      </c>
      <c r="B143" s="1599">
        <v>0.97119999999999995</v>
      </c>
      <c r="C143" s="1599">
        <v>0.97119999999999995</v>
      </c>
      <c r="D143" s="1599">
        <v>0.87180000000000002</v>
      </c>
      <c r="E143" s="1599">
        <v>0.87180000000000002</v>
      </c>
      <c r="F143" s="1599">
        <v>0.87180000000000002</v>
      </c>
      <c r="G143" s="1599">
        <v>0.87180000000000002</v>
      </c>
      <c r="H143" s="1599">
        <v>0.87180000000000002</v>
      </c>
      <c r="I143" s="1599">
        <v>0.79479999999999995</v>
      </c>
      <c r="J143" s="1599">
        <v>0.79479999999999995</v>
      </c>
      <c r="K143" s="1599">
        <v>0.79479999999999995</v>
      </c>
      <c r="L143" s="1599">
        <v>0.79479999999999995</v>
      </c>
      <c r="M143" s="1599">
        <v>0.79479999999999995</v>
      </c>
    </row>
    <row r="144" spans="1:13">
      <c r="A144" s="1613">
        <v>4</v>
      </c>
      <c r="B144" s="1599">
        <v>0.96499999999999997</v>
      </c>
      <c r="C144" s="1599">
        <v>0.96499999999999997</v>
      </c>
      <c r="D144" s="1599">
        <v>0.86580000000000001</v>
      </c>
      <c r="E144" s="1599">
        <v>0.86580000000000001</v>
      </c>
      <c r="F144" s="1599">
        <v>0.86580000000000001</v>
      </c>
      <c r="G144" s="1599">
        <v>0.86580000000000001</v>
      </c>
      <c r="H144" s="1599">
        <v>0.86580000000000001</v>
      </c>
      <c r="I144" s="1599">
        <v>0.7883</v>
      </c>
      <c r="J144" s="1599">
        <v>0.7883</v>
      </c>
      <c r="K144" s="1599">
        <v>0.7883</v>
      </c>
      <c r="L144" s="1599">
        <v>0.7883</v>
      </c>
      <c r="M144" s="1599">
        <v>0.7883</v>
      </c>
    </row>
    <row r="145" spans="1:13">
      <c r="A145" s="1613">
        <v>4.0999999999999996</v>
      </c>
      <c r="B145" s="1599">
        <v>0.95909999999999995</v>
      </c>
      <c r="C145" s="1599">
        <v>0.95909999999999995</v>
      </c>
      <c r="D145" s="1599">
        <v>0.86009999999999998</v>
      </c>
      <c r="E145" s="1599">
        <v>0.86009999999999998</v>
      </c>
      <c r="F145" s="1599">
        <v>0.86009999999999998</v>
      </c>
      <c r="G145" s="1599">
        <v>0.86009999999999998</v>
      </c>
      <c r="H145" s="1599">
        <v>0.86009999999999998</v>
      </c>
      <c r="I145" s="1599">
        <v>0.78200000000000003</v>
      </c>
      <c r="J145" s="1599">
        <v>0.78200000000000003</v>
      </c>
      <c r="K145" s="1599">
        <v>0.78200000000000003</v>
      </c>
      <c r="L145" s="1599">
        <v>0.78200000000000003</v>
      </c>
      <c r="M145" s="1599">
        <v>0.78200000000000003</v>
      </c>
    </row>
    <row r="146" spans="1:13">
      <c r="A146" s="1613">
        <v>4.2</v>
      </c>
      <c r="B146" s="1599">
        <v>0.95350000000000001</v>
      </c>
      <c r="C146" s="1599">
        <v>0.95350000000000001</v>
      </c>
      <c r="D146" s="1599">
        <v>0.85470000000000002</v>
      </c>
      <c r="E146" s="1599">
        <v>0.85470000000000002</v>
      </c>
      <c r="F146" s="1599">
        <v>0.85470000000000002</v>
      </c>
      <c r="G146" s="1599">
        <v>0.85470000000000002</v>
      </c>
      <c r="H146" s="1599">
        <v>0.85470000000000002</v>
      </c>
      <c r="I146" s="1599">
        <v>0.77600000000000002</v>
      </c>
      <c r="J146" s="1599">
        <v>0.77600000000000002</v>
      </c>
      <c r="K146" s="1599">
        <v>0.77600000000000002</v>
      </c>
      <c r="L146" s="1599">
        <v>0.77600000000000002</v>
      </c>
      <c r="M146" s="1599">
        <v>0.77600000000000002</v>
      </c>
    </row>
    <row r="147" spans="1:13">
      <c r="A147" s="1613">
        <v>4.3</v>
      </c>
      <c r="B147" s="1599">
        <v>0.94820000000000004</v>
      </c>
      <c r="C147" s="1599">
        <v>0.94820000000000004</v>
      </c>
      <c r="D147" s="1599">
        <v>0.84960000000000002</v>
      </c>
      <c r="E147" s="1599">
        <v>0.84960000000000002</v>
      </c>
      <c r="F147" s="1599">
        <v>0.84960000000000002</v>
      </c>
      <c r="G147" s="1599">
        <v>0.84960000000000002</v>
      </c>
      <c r="H147" s="1599">
        <v>0.84960000000000002</v>
      </c>
      <c r="I147" s="1599">
        <v>0.77029999999999998</v>
      </c>
      <c r="J147" s="1599">
        <v>0.77029999999999998</v>
      </c>
      <c r="K147" s="1599">
        <v>0.77029999999999998</v>
      </c>
      <c r="L147" s="1599">
        <v>0.77029999999999998</v>
      </c>
      <c r="M147" s="1599">
        <v>0.77029999999999998</v>
      </c>
    </row>
    <row r="148" spans="1:13">
      <c r="A148" s="1613">
        <v>4.4000000000000004</v>
      </c>
      <c r="B148" s="1599">
        <v>0.94320000000000004</v>
      </c>
      <c r="C148" s="1599">
        <v>0.94320000000000004</v>
      </c>
      <c r="D148" s="1599">
        <v>0.8448</v>
      </c>
      <c r="E148" s="1599">
        <v>0.8448</v>
      </c>
      <c r="F148" s="1599">
        <v>0.8448</v>
      </c>
      <c r="G148" s="1599">
        <v>0.8448</v>
      </c>
      <c r="H148" s="1599">
        <v>0.8448</v>
      </c>
      <c r="I148" s="1599">
        <v>0.76490000000000002</v>
      </c>
      <c r="J148" s="1599">
        <v>0.76490000000000002</v>
      </c>
      <c r="K148" s="1599">
        <v>0.76490000000000002</v>
      </c>
      <c r="L148" s="1599">
        <v>0.76490000000000002</v>
      </c>
      <c r="M148" s="1599">
        <v>0.76490000000000002</v>
      </c>
    </row>
    <row r="149" spans="1:13">
      <c r="A149" s="1613">
        <v>4.5</v>
      </c>
      <c r="B149" s="1599">
        <v>0.9385</v>
      </c>
      <c r="C149" s="1599">
        <v>0.9385</v>
      </c>
      <c r="D149" s="1599">
        <v>0.84019999999999995</v>
      </c>
      <c r="E149" s="1599">
        <v>0.84019999999999995</v>
      </c>
      <c r="F149" s="1599">
        <v>0.84019999999999995</v>
      </c>
      <c r="G149" s="1599">
        <v>0.84019999999999995</v>
      </c>
      <c r="H149" s="1599">
        <v>0.84019999999999995</v>
      </c>
      <c r="I149" s="1599">
        <v>0.75970000000000004</v>
      </c>
      <c r="J149" s="1599">
        <v>0.75970000000000004</v>
      </c>
      <c r="K149" s="1599">
        <v>0.75970000000000004</v>
      </c>
      <c r="L149" s="1599">
        <v>0.75970000000000004</v>
      </c>
      <c r="M149" s="1599">
        <v>0.75970000000000004</v>
      </c>
    </row>
    <row r="150" spans="1:13">
      <c r="A150" s="1613">
        <v>4.5999999999999996</v>
      </c>
      <c r="B150" s="1599">
        <v>0.93410000000000004</v>
      </c>
      <c r="C150" s="1599">
        <v>0.93410000000000004</v>
      </c>
      <c r="D150" s="1599">
        <v>0.83579999999999999</v>
      </c>
      <c r="E150" s="1599">
        <v>0.83579999999999999</v>
      </c>
      <c r="F150" s="1599">
        <v>0.83579999999999999</v>
      </c>
      <c r="G150" s="1599">
        <v>0.83579999999999999</v>
      </c>
      <c r="H150" s="1599">
        <v>0.83579999999999999</v>
      </c>
      <c r="I150" s="1599">
        <v>0.75470000000000004</v>
      </c>
      <c r="J150" s="1599">
        <v>0.75470000000000004</v>
      </c>
      <c r="K150" s="1599">
        <v>0.75470000000000004</v>
      </c>
      <c r="L150" s="1599">
        <v>0.75470000000000004</v>
      </c>
      <c r="M150" s="1599">
        <v>0.75470000000000004</v>
      </c>
    </row>
    <row r="151" spans="1:13">
      <c r="A151" s="1613">
        <v>4.7</v>
      </c>
      <c r="B151" s="1599">
        <v>0.92989999999999995</v>
      </c>
      <c r="C151" s="1599">
        <v>0.92989999999999995</v>
      </c>
      <c r="D151" s="1599">
        <v>0.83160000000000001</v>
      </c>
      <c r="E151" s="1599">
        <v>0.83160000000000001</v>
      </c>
      <c r="F151" s="1599">
        <v>0.83160000000000001</v>
      </c>
      <c r="G151" s="1599">
        <v>0.83160000000000001</v>
      </c>
      <c r="H151" s="1599">
        <v>0.83160000000000001</v>
      </c>
      <c r="I151" s="1599">
        <v>0.74990000000000001</v>
      </c>
      <c r="J151" s="1599">
        <v>0.74990000000000001</v>
      </c>
      <c r="K151" s="1599">
        <v>0.74990000000000001</v>
      </c>
      <c r="L151" s="1599">
        <v>0.74990000000000001</v>
      </c>
      <c r="M151" s="1599">
        <v>0.74990000000000001</v>
      </c>
    </row>
    <row r="152" spans="1:13">
      <c r="A152" s="1613">
        <v>4.8</v>
      </c>
      <c r="B152" s="1599">
        <v>0.92589999999999995</v>
      </c>
      <c r="C152" s="1599">
        <v>0.92589999999999995</v>
      </c>
      <c r="D152" s="1599">
        <v>0.82769999999999999</v>
      </c>
      <c r="E152" s="1599">
        <v>0.82769999999999999</v>
      </c>
      <c r="F152" s="1599">
        <v>0.82769999999999999</v>
      </c>
      <c r="G152" s="1599">
        <v>0.82769999999999999</v>
      </c>
      <c r="H152" s="1599">
        <v>0.82769999999999999</v>
      </c>
      <c r="I152" s="1599">
        <v>0.74529999999999996</v>
      </c>
      <c r="J152" s="1599">
        <v>0.74529999999999996</v>
      </c>
      <c r="K152" s="1599">
        <v>0.74529999999999996</v>
      </c>
      <c r="L152" s="1599">
        <v>0.74529999999999996</v>
      </c>
      <c r="M152" s="1599">
        <v>0.74529999999999996</v>
      </c>
    </row>
    <row r="153" spans="1:13">
      <c r="A153" s="1613">
        <v>4.9000000000000004</v>
      </c>
      <c r="B153" s="1599">
        <v>0.92210000000000003</v>
      </c>
      <c r="C153" s="1599">
        <v>0.92210000000000003</v>
      </c>
      <c r="D153" s="1599">
        <v>0.82389999999999997</v>
      </c>
      <c r="E153" s="1599">
        <v>0.82389999999999997</v>
      </c>
      <c r="F153" s="1599">
        <v>0.82389999999999997</v>
      </c>
      <c r="G153" s="1599">
        <v>0.82389999999999997</v>
      </c>
      <c r="H153" s="1599">
        <v>0.82389999999999997</v>
      </c>
      <c r="I153" s="1599">
        <v>0.7409</v>
      </c>
      <c r="J153" s="1599">
        <v>0.7409</v>
      </c>
      <c r="K153" s="1599">
        <v>0.7409</v>
      </c>
      <c r="L153" s="1599">
        <v>0.7409</v>
      </c>
      <c r="M153" s="1599">
        <v>0.7409</v>
      </c>
    </row>
    <row r="154" spans="1:13">
      <c r="A154" s="1613">
        <v>5</v>
      </c>
      <c r="B154" s="1599">
        <v>0.91849999999999998</v>
      </c>
      <c r="C154" s="1599">
        <v>0.91849999999999998</v>
      </c>
      <c r="D154" s="1599">
        <v>0.82030000000000003</v>
      </c>
      <c r="E154" s="1599">
        <v>0.82030000000000003</v>
      </c>
      <c r="F154" s="1599">
        <v>0.82030000000000003</v>
      </c>
      <c r="G154" s="1599">
        <v>0.82030000000000003</v>
      </c>
      <c r="H154" s="1599">
        <v>0.82030000000000003</v>
      </c>
      <c r="I154" s="1599">
        <v>0.73670000000000002</v>
      </c>
      <c r="J154" s="1599">
        <v>0.73670000000000002</v>
      </c>
      <c r="K154" s="1599">
        <v>0.73670000000000002</v>
      </c>
      <c r="L154" s="1599">
        <v>0.73670000000000002</v>
      </c>
      <c r="M154" s="1599">
        <v>0.73670000000000002</v>
      </c>
    </row>
    <row r="155" spans="1:13">
      <c r="A155" s="1590">
        <v>5.0999999999999996</v>
      </c>
      <c r="B155" s="1599">
        <v>0.91510000000000002</v>
      </c>
      <c r="C155" s="1599">
        <v>0.91510000000000002</v>
      </c>
      <c r="D155" s="1599">
        <v>0.81689999999999996</v>
      </c>
      <c r="E155" s="1599">
        <v>0.81689999999999996</v>
      </c>
      <c r="F155" s="1599">
        <v>0.81689999999999996</v>
      </c>
      <c r="G155" s="1599">
        <v>0.81689999999999996</v>
      </c>
      <c r="H155" s="1599">
        <v>0.81689999999999996</v>
      </c>
      <c r="I155" s="1599">
        <v>0.73270000000000002</v>
      </c>
      <c r="J155" s="1599">
        <v>0.73270000000000002</v>
      </c>
      <c r="K155" s="1599">
        <v>0.73270000000000002</v>
      </c>
      <c r="L155" s="1599">
        <v>0.73270000000000002</v>
      </c>
      <c r="M155" s="1599">
        <v>0.73270000000000002</v>
      </c>
    </row>
    <row r="156" spans="1:13">
      <c r="A156" s="1590">
        <v>5.2</v>
      </c>
      <c r="B156" s="1599">
        <v>0.91190000000000004</v>
      </c>
      <c r="C156" s="1599">
        <v>0.91190000000000004</v>
      </c>
      <c r="D156" s="1599">
        <v>0.81359999999999999</v>
      </c>
      <c r="E156" s="1599">
        <v>0.81359999999999999</v>
      </c>
      <c r="F156" s="1599">
        <v>0.81359999999999999</v>
      </c>
      <c r="G156" s="1599">
        <v>0.81359999999999999</v>
      </c>
      <c r="H156" s="1599">
        <v>0.81359999999999999</v>
      </c>
      <c r="I156" s="1599">
        <v>0.72889999999999999</v>
      </c>
      <c r="J156" s="1599">
        <v>0.72889999999999999</v>
      </c>
      <c r="K156" s="1599">
        <v>0.72889999999999999</v>
      </c>
      <c r="L156" s="1599">
        <v>0.72889999999999999</v>
      </c>
      <c r="M156" s="1599">
        <v>0.72889999999999999</v>
      </c>
    </row>
    <row r="157" spans="1:13">
      <c r="A157" s="1590">
        <v>5.3</v>
      </c>
      <c r="B157" s="1599">
        <v>0.90880000000000005</v>
      </c>
      <c r="C157" s="1599">
        <v>0.90880000000000005</v>
      </c>
      <c r="D157" s="1599">
        <v>0.8105</v>
      </c>
      <c r="E157" s="1599">
        <v>0.8105</v>
      </c>
      <c r="F157" s="1599">
        <v>0.8105</v>
      </c>
      <c r="G157" s="1599">
        <v>0.8105</v>
      </c>
      <c r="H157" s="1599">
        <v>0.8105</v>
      </c>
      <c r="I157" s="1599">
        <v>0.72529999999999994</v>
      </c>
      <c r="J157" s="1599">
        <v>0.72529999999999994</v>
      </c>
      <c r="K157" s="1599">
        <v>0.72529999999999994</v>
      </c>
      <c r="L157" s="1599">
        <v>0.72529999999999994</v>
      </c>
      <c r="M157" s="1599">
        <v>0.72529999999999994</v>
      </c>
    </row>
    <row r="158" spans="1:13">
      <c r="A158" s="1590">
        <v>5.4</v>
      </c>
      <c r="B158" s="1599">
        <v>0.90580000000000005</v>
      </c>
      <c r="C158" s="1599">
        <v>0.90580000000000005</v>
      </c>
      <c r="D158" s="1599">
        <v>0.8075</v>
      </c>
      <c r="E158" s="1599">
        <v>0.8075</v>
      </c>
      <c r="F158" s="1599">
        <v>0.8075</v>
      </c>
      <c r="G158" s="1599">
        <v>0.8075</v>
      </c>
      <c r="H158" s="1599">
        <v>0.8075</v>
      </c>
      <c r="I158" s="1599">
        <v>0.7218</v>
      </c>
      <c r="J158" s="1599">
        <v>0.7218</v>
      </c>
      <c r="K158" s="1599">
        <v>0.7218</v>
      </c>
      <c r="L158" s="1599">
        <v>0.7218</v>
      </c>
      <c r="M158" s="1599">
        <v>0.7218</v>
      </c>
    </row>
    <row r="159" spans="1:13">
      <c r="A159" s="1590">
        <v>5.5</v>
      </c>
      <c r="B159" s="1599">
        <v>0.90290000000000004</v>
      </c>
      <c r="C159" s="1599">
        <v>0.90290000000000004</v>
      </c>
      <c r="D159" s="1599">
        <v>0.80469999999999997</v>
      </c>
      <c r="E159" s="1599">
        <v>0.80469999999999997</v>
      </c>
      <c r="F159" s="1599">
        <v>0.80469999999999997</v>
      </c>
      <c r="G159" s="1599">
        <v>0.80469999999999997</v>
      </c>
      <c r="H159" s="1599">
        <v>0.80469999999999997</v>
      </c>
      <c r="I159" s="1599">
        <v>0.71840000000000004</v>
      </c>
      <c r="J159" s="1599">
        <v>0.71840000000000004</v>
      </c>
      <c r="K159" s="1599">
        <v>0.71840000000000004</v>
      </c>
      <c r="L159" s="1599">
        <v>0.71840000000000004</v>
      </c>
      <c r="M159" s="1599">
        <v>0.71840000000000004</v>
      </c>
    </row>
    <row r="160" spans="1:13">
      <c r="A160" s="1590">
        <v>5.6</v>
      </c>
      <c r="B160" s="1599">
        <v>0.90010000000000001</v>
      </c>
      <c r="C160" s="1599">
        <v>0.90010000000000001</v>
      </c>
      <c r="D160" s="1599">
        <v>0.80200000000000005</v>
      </c>
      <c r="E160" s="1599">
        <v>0.80200000000000005</v>
      </c>
      <c r="F160" s="1599">
        <v>0.80200000000000005</v>
      </c>
      <c r="G160" s="1599">
        <v>0.80200000000000005</v>
      </c>
      <c r="H160" s="1599">
        <v>0.80200000000000005</v>
      </c>
      <c r="I160" s="1599">
        <v>0.71509999999999996</v>
      </c>
      <c r="J160" s="1599">
        <v>0.71509999999999996</v>
      </c>
      <c r="K160" s="1599">
        <v>0.71509999999999996</v>
      </c>
      <c r="L160" s="1599">
        <v>0.71509999999999996</v>
      </c>
      <c r="M160" s="1599">
        <v>0.71509999999999996</v>
      </c>
    </row>
    <row r="161" spans="1:13">
      <c r="A161" s="1613">
        <v>5.7</v>
      </c>
      <c r="B161" s="1599">
        <v>0.89749999999999996</v>
      </c>
      <c r="C161" s="1599">
        <v>0.89749999999999996</v>
      </c>
      <c r="D161" s="1599">
        <v>0.79930000000000001</v>
      </c>
      <c r="E161" s="1599">
        <v>0.79930000000000001</v>
      </c>
      <c r="F161" s="1599">
        <v>0.79930000000000001</v>
      </c>
      <c r="G161" s="1599">
        <v>0.79930000000000001</v>
      </c>
      <c r="H161" s="1599">
        <v>0.79930000000000001</v>
      </c>
      <c r="I161" s="1599">
        <v>0.71189999999999998</v>
      </c>
      <c r="J161" s="1599">
        <v>0.71189999999999998</v>
      </c>
      <c r="K161" s="1599">
        <v>0.71189999999999998</v>
      </c>
      <c r="L161" s="1599">
        <v>0.71189999999999998</v>
      </c>
      <c r="M161" s="1599">
        <v>0.71189999999999998</v>
      </c>
    </row>
    <row r="162" spans="1:13">
      <c r="A162" s="1590">
        <v>5.8</v>
      </c>
      <c r="B162" s="1599">
        <v>0.89500000000000002</v>
      </c>
      <c r="C162" s="1599">
        <v>0.89500000000000002</v>
      </c>
      <c r="D162" s="1599">
        <v>0.79679999999999995</v>
      </c>
      <c r="E162" s="1599">
        <v>0.79679999999999995</v>
      </c>
      <c r="F162" s="1599">
        <v>0.79679999999999995</v>
      </c>
      <c r="G162" s="1599">
        <v>0.79679999999999995</v>
      </c>
      <c r="H162" s="1599">
        <v>0.79679999999999995</v>
      </c>
      <c r="I162" s="1599">
        <v>0.70879999999999999</v>
      </c>
      <c r="J162" s="1599">
        <v>0.70879999999999999</v>
      </c>
      <c r="K162" s="1599">
        <v>0.70879999999999999</v>
      </c>
      <c r="L162" s="1599">
        <v>0.70879999999999999</v>
      </c>
      <c r="M162" s="1599">
        <v>0.70879999999999999</v>
      </c>
    </row>
    <row r="163" spans="1:13">
      <c r="A163" s="1590">
        <v>5.9</v>
      </c>
      <c r="B163" s="1599">
        <v>0.89259999999999995</v>
      </c>
      <c r="C163" s="1599">
        <v>0.89259999999999995</v>
      </c>
      <c r="D163" s="1599">
        <v>0.7944</v>
      </c>
      <c r="E163" s="1599">
        <v>0.7944</v>
      </c>
      <c r="F163" s="1599">
        <v>0.7944</v>
      </c>
      <c r="G163" s="1599">
        <v>0.7944</v>
      </c>
      <c r="H163" s="1599">
        <v>0.7944</v>
      </c>
      <c r="I163" s="1599">
        <v>0.70579999999999998</v>
      </c>
      <c r="J163" s="1599">
        <v>0.70579999999999998</v>
      </c>
      <c r="K163" s="1599">
        <v>0.70579999999999998</v>
      </c>
      <c r="L163" s="1599">
        <v>0.70579999999999998</v>
      </c>
      <c r="M163" s="1599">
        <v>0.70579999999999998</v>
      </c>
    </row>
    <row r="164" spans="1:13">
      <c r="A164" s="1590">
        <v>6</v>
      </c>
      <c r="B164" s="1599">
        <v>0.89029999999999998</v>
      </c>
      <c r="C164" s="1599">
        <v>0.89029999999999998</v>
      </c>
      <c r="D164" s="1599">
        <v>0.79200000000000004</v>
      </c>
      <c r="E164" s="1599">
        <v>0.79200000000000004</v>
      </c>
      <c r="F164" s="1599">
        <v>0.79200000000000004</v>
      </c>
      <c r="G164" s="1599">
        <v>0.79200000000000004</v>
      </c>
      <c r="H164" s="1599">
        <v>0.79200000000000004</v>
      </c>
      <c r="I164" s="1599">
        <v>0.70289999999999997</v>
      </c>
      <c r="J164" s="1599">
        <v>0.70289999999999997</v>
      </c>
      <c r="K164" s="1599">
        <v>0.70289999999999997</v>
      </c>
      <c r="L164" s="1599">
        <v>0.70289999999999997</v>
      </c>
      <c r="M164" s="1599">
        <v>0.70289999999999997</v>
      </c>
    </row>
    <row r="165" spans="1:13">
      <c r="A165" s="1590">
        <v>6.1</v>
      </c>
      <c r="B165" s="1599">
        <v>0.8881</v>
      </c>
      <c r="C165" s="1599">
        <v>0.8881</v>
      </c>
      <c r="D165" s="1599">
        <v>0.78979999999999995</v>
      </c>
      <c r="E165" s="1599">
        <v>0.78979999999999995</v>
      </c>
      <c r="F165" s="1599">
        <v>0.78979999999999995</v>
      </c>
      <c r="G165" s="1599">
        <v>0.78979999999999995</v>
      </c>
      <c r="H165" s="1599">
        <v>0.78979999999999995</v>
      </c>
      <c r="I165" s="1599">
        <v>0.70009999999999994</v>
      </c>
      <c r="J165" s="1599">
        <v>0.70009999999999994</v>
      </c>
      <c r="K165" s="1599">
        <v>0.70009999999999994</v>
      </c>
      <c r="L165" s="1599">
        <v>0.70009999999999994</v>
      </c>
      <c r="M165" s="1599">
        <v>0.70009999999999994</v>
      </c>
    </row>
    <row r="166" spans="1:13">
      <c r="A166" s="1590">
        <v>6.2</v>
      </c>
      <c r="B166" s="1599">
        <v>0.88600000000000001</v>
      </c>
      <c r="C166" s="1599">
        <v>0.88600000000000001</v>
      </c>
      <c r="D166" s="1599">
        <v>0.78759999999999997</v>
      </c>
      <c r="E166" s="1599">
        <v>0.78759999999999997</v>
      </c>
      <c r="F166" s="1599">
        <v>0.78759999999999997</v>
      </c>
      <c r="G166" s="1599">
        <v>0.78759999999999997</v>
      </c>
      <c r="H166" s="1599">
        <v>0.78759999999999997</v>
      </c>
      <c r="I166" s="1599">
        <v>0.69740000000000002</v>
      </c>
      <c r="J166" s="1599">
        <v>0.69740000000000002</v>
      </c>
      <c r="K166" s="1599">
        <v>0.69740000000000002</v>
      </c>
      <c r="L166" s="1599">
        <v>0.69740000000000002</v>
      </c>
      <c r="M166" s="1599">
        <v>0.69740000000000002</v>
      </c>
    </row>
    <row r="167" spans="1:13">
      <c r="A167" s="1590">
        <v>6.3</v>
      </c>
      <c r="B167" s="1599">
        <v>0.88390000000000002</v>
      </c>
      <c r="C167" s="1599">
        <v>0.88390000000000002</v>
      </c>
      <c r="D167" s="1599">
        <v>0.78549999999999998</v>
      </c>
      <c r="E167" s="1599">
        <v>0.78549999999999998</v>
      </c>
      <c r="F167" s="1599">
        <v>0.78549999999999998</v>
      </c>
      <c r="G167" s="1599">
        <v>0.78549999999999998</v>
      </c>
      <c r="H167" s="1599">
        <v>0.78549999999999998</v>
      </c>
      <c r="I167" s="1599">
        <v>0.69479999999999997</v>
      </c>
      <c r="J167" s="1599">
        <v>0.69479999999999997</v>
      </c>
      <c r="K167" s="1599">
        <v>0.69479999999999997</v>
      </c>
      <c r="L167" s="1599">
        <v>0.69479999999999997</v>
      </c>
      <c r="M167" s="1599">
        <v>0.69479999999999997</v>
      </c>
    </row>
    <row r="168" spans="1:13">
      <c r="A168" s="1590">
        <v>6.4</v>
      </c>
      <c r="B168" s="1599">
        <v>0.88190000000000002</v>
      </c>
      <c r="C168" s="1599">
        <v>0.88190000000000002</v>
      </c>
      <c r="D168" s="1599">
        <v>0.78339999999999999</v>
      </c>
      <c r="E168" s="1599">
        <v>0.78339999999999999</v>
      </c>
      <c r="F168" s="1599">
        <v>0.78339999999999999</v>
      </c>
      <c r="G168" s="1599">
        <v>0.78339999999999999</v>
      </c>
      <c r="H168" s="1599">
        <v>0.78339999999999999</v>
      </c>
      <c r="I168" s="1599">
        <v>0.69230000000000003</v>
      </c>
      <c r="J168" s="1599">
        <v>0.69230000000000003</v>
      </c>
      <c r="K168" s="1599">
        <v>0.69230000000000003</v>
      </c>
      <c r="L168" s="1599">
        <v>0.69230000000000003</v>
      </c>
      <c r="M168" s="1599">
        <v>0.69230000000000003</v>
      </c>
    </row>
    <row r="169" spans="1:13">
      <c r="A169" s="1590">
        <v>6.5</v>
      </c>
      <c r="B169" s="1599">
        <v>0.88</v>
      </c>
      <c r="C169" s="1599">
        <v>0.88</v>
      </c>
      <c r="D169" s="1599">
        <v>0.78139999999999998</v>
      </c>
      <c r="E169" s="1599">
        <v>0.78139999999999998</v>
      </c>
      <c r="F169" s="1599">
        <v>0.78139999999999998</v>
      </c>
      <c r="G169" s="1599">
        <v>0.78139999999999998</v>
      </c>
      <c r="H169" s="1599">
        <v>0.78139999999999998</v>
      </c>
      <c r="I169" s="1599">
        <v>0.68989999999999996</v>
      </c>
      <c r="J169" s="1599">
        <v>0.68989999999999996</v>
      </c>
      <c r="K169" s="1599">
        <v>0.68989999999999996</v>
      </c>
      <c r="L169" s="1599">
        <v>0.68989999999999996</v>
      </c>
      <c r="M169" s="1599">
        <v>0.68989999999999996</v>
      </c>
    </row>
    <row r="170" spans="1:13">
      <c r="A170" s="1590">
        <v>6.6</v>
      </c>
      <c r="B170" s="1599">
        <v>0.87809999999999999</v>
      </c>
      <c r="C170" s="1599">
        <v>0.87809999999999999</v>
      </c>
      <c r="D170" s="1599">
        <v>0.77949999999999997</v>
      </c>
      <c r="E170" s="1599">
        <v>0.77949999999999997</v>
      </c>
      <c r="F170" s="1599">
        <v>0.77949999999999997</v>
      </c>
      <c r="G170" s="1599">
        <v>0.77949999999999997</v>
      </c>
      <c r="H170" s="1599">
        <v>0.77949999999999997</v>
      </c>
      <c r="I170" s="1599">
        <v>0.68759999999999999</v>
      </c>
      <c r="J170" s="1599">
        <v>0.68759999999999999</v>
      </c>
      <c r="K170" s="1599">
        <v>0.68759999999999999</v>
      </c>
      <c r="L170" s="1599">
        <v>0.68759999999999999</v>
      </c>
      <c r="M170" s="1599">
        <v>0.68759999999999999</v>
      </c>
    </row>
    <row r="171" spans="1:13">
      <c r="A171" s="1590">
        <v>6.7</v>
      </c>
      <c r="B171" s="1599">
        <v>0.87629999999999997</v>
      </c>
      <c r="C171" s="1599">
        <v>0.87629999999999997</v>
      </c>
      <c r="D171" s="1599">
        <v>0.77759999999999996</v>
      </c>
      <c r="E171" s="1599">
        <v>0.77759999999999996</v>
      </c>
      <c r="F171" s="1599">
        <v>0.77759999999999996</v>
      </c>
      <c r="G171" s="1599">
        <v>0.77759999999999996</v>
      </c>
      <c r="H171" s="1599">
        <v>0.77759999999999996</v>
      </c>
      <c r="I171" s="1599">
        <v>0.68530000000000002</v>
      </c>
      <c r="J171" s="1599">
        <v>0.68530000000000002</v>
      </c>
      <c r="K171" s="1599">
        <v>0.68530000000000002</v>
      </c>
      <c r="L171" s="1599">
        <v>0.68530000000000002</v>
      </c>
      <c r="M171" s="1599">
        <v>0.68530000000000002</v>
      </c>
    </row>
    <row r="172" spans="1:13">
      <c r="A172" s="1590">
        <v>6.8</v>
      </c>
      <c r="B172" s="1599">
        <v>0.87450000000000006</v>
      </c>
      <c r="C172" s="1599">
        <v>0.87450000000000006</v>
      </c>
      <c r="D172" s="1599">
        <v>0.77569999999999995</v>
      </c>
      <c r="E172" s="1599">
        <v>0.77569999999999995</v>
      </c>
      <c r="F172" s="1599">
        <v>0.77569999999999995</v>
      </c>
      <c r="G172" s="1599">
        <v>0.77569999999999995</v>
      </c>
      <c r="H172" s="1599">
        <v>0.77569999999999995</v>
      </c>
      <c r="I172" s="1599">
        <v>0.68310000000000004</v>
      </c>
      <c r="J172" s="1599">
        <v>0.68310000000000004</v>
      </c>
      <c r="K172" s="1599">
        <v>0.68310000000000004</v>
      </c>
      <c r="L172" s="1599">
        <v>0.68310000000000004</v>
      </c>
      <c r="M172" s="1599">
        <v>0.68310000000000004</v>
      </c>
    </row>
    <row r="173" spans="1:13">
      <c r="A173" s="1590">
        <v>6.9</v>
      </c>
      <c r="B173" s="1599">
        <v>0.87280000000000002</v>
      </c>
      <c r="C173" s="1599">
        <v>0.87280000000000002</v>
      </c>
      <c r="D173" s="1599">
        <v>0.77390000000000003</v>
      </c>
      <c r="E173" s="1599">
        <v>0.77390000000000003</v>
      </c>
      <c r="F173" s="1599">
        <v>0.77390000000000003</v>
      </c>
      <c r="G173" s="1599">
        <v>0.77390000000000003</v>
      </c>
      <c r="H173" s="1599">
        <v>0.77390000000000003</v>
      </c>
      <c r="I173" s="1599">
        <v>0.68089999999999995</v>
      </c>
      <c r="J173" s="1599">
        <v>0.68089999999999995</v>
      </c>
      <c r="K173" s="1599">
        <v>0.68089999999999995</v>
      </c>
      <c r="L173" s="1599">
        <v>0.68089999999999995</v>
      </c>
      <c r="M173" s="1599">
        <v>0.68089999999999995</v>
      </c>
    </row>
    <row r="174" spans="1:13">
      <c r="A174" s="1590">
        <v>7</v>
      </c>
      <c r="B174" s="1599">
        <v>0.87109999999999999</v>
      </c>
      <c r="C174" s="1599">
        <v>0.87109999999999999</v>
      </c>
      <c r="D174" s="1599">
        <v>0.77210000000000001</v>
      </c>
      <c r="E174" s="1599">
        <v>0.77210000000000001</v>
      </c>
      <c r="F174" s="1599">
        <v>0.77210000000000001</v>
      </c>
      <c r="G174" s="1599">
        <v>0.77210000000000001</v>
      </c>
      <c r="H174" s="1599">
        <v>0.77210000000000001</v>
      </c>
      <c r="I174" s="1599">
        <v>0.67879999999999996</v>
      </c>
      <c r="J174" s="1599">
        <v>0.67879999999999996</v>
      </c>
      <c r="K174" s="1599">
        <v>0.67879999999999996</v>
      </c>
      <c r="L174" s="1599">
        <v>0.67879999999999996</v>
      </c>
      <c r="M174" s="1599">
        <v>0.67879999999999996</v>
      </c>
    </row>
    <row r="175" spans="1:13">
      <c r="A175" s="1590">
        <v>7.1</v>
      </c>
      <c r="B175" s="1599">
        <v>0.86939999999999995</v>
      </c>
      <c r="C175" s="1599">
        <v>0.86939999999999995</v>
      </c>
      <c r="D175" s="1599">
        <v>0.77039999999999997</v>
      </c>
      <c r="E175" s="1599">
        <v>0.77039999999999997</v>
      </c>
      <c r="F175" s="1599">
        <v>0.77039999999999997</v>
      </c>
      <c r="G175" s="1599">
        <v>0.77039999999999997</v>
      </c>
      <c r="H175" s="1599">
        <v>0.77039999999999997</v>
      </c>
      <c r="I175" s="1599">
        <v>0.67669999999999997</v>
      </c>
      <c r="J175" s="1599">
        <v>0.67669999999999997</v>
      </c>
      <c r="K175" s="1599">
        <v>0.67669999999999997</v>
      </c>
      <c r="L175" s="1599">
        <v>0.67669999999999997</v>
      </c>
      <c r="M175" s="1599">
        <v>0.67669999999999997</v>
      </c>
    </row>
    <row r="176" spans="1:13">
      <c r="A176" s="1590">
        <v>7.2</v>
      </c>
      <c r="B176" s="1599">
        <v>0.86770000000000003</v>
      </c>
      <c r="C176" s="1599">
        <v>0.86770000000000003</v>
      </c>
      <c r="D176" s="1599">
        <v>0.76870000000000005</v>
      </c>
      <c r="E176" s="1599">
        <v>0.76870000000000005</v>
      </c>
      <c r="F176" s="1599">
        <v>0.76870000000000005</v>
      </c>
      <c r="G176" s="1599">
        <v>0.76870000000000005</v>
      </c>
      <c r="H176" s="1599">
        <v>0.76870000000000005</v>
      </c>
      <c r="I176" s="1599">
        <v>0.67469999999999997</v>
      </c>
      <c r="J176" s="1599">
        <v>0.67469999999999997</v>
      </c>
      <c r="K176" s="1599">
        <v>0.67469999999999997</v>
      </c>
      <c r="L176" s="1599">
        <v>0.67469999999999997</v>
      </c>
      <c r="M176" s="1599">
        <v>0.67469999999999997</v>
      </c>
    </row>
    <row r="177" spans="1:13">
      <c r="A177" s="1590">
        <v>7.3</v>
      </c>
      <c r="B177" s="1599">
        <v>0.86609999999999998</v>
      </c>
      <c r="C177" s="1599">
        <v>0.86609999999999998</v>
      </c>
      <c r="D177" s="1599">
        <v>0.76700000000000002</v>
      </c>
      <c r="E177" s="1599">
        <v>0.76700000000000002</v>
      </c>
      <c r="F177" s="1599">
        <v>0.76700000000000002</v>
      </c>
      <c r="G177" s="1599">
        <v>0.76700000000000002</v>
      </c>
      <c r="H177" s="1599">
        <v>0.76700000000000002</v>
      </c>
      <c r="I177" s="1599">
        <v>0.67269999999999996</v>
      </c>
      <c r="J177" s="1599">
        <v>0.67269999999999996</v>
      </c>
      <c r="K177" s="1599">
        <v>0.67269999999999996</v>
      </c>
      <c r="L177" s="1599">
        <v>0.67269999999999996</v>
      </c>
      <c r="M177" s="1599">
        <v>0.67269999999999996</v>
      </c>
    </row>
    <row r="178" spans="1:13">
      <c r="A178" s="1590">
        <v>7.4</v>
      </c>
      <c r="B178" s="1599">
        <v>0.86450000000000005</v>
      </c>
      <c r="C178" s="1599">
        <v>0.86450000000000005</v>
      </c>
      <c r="D178" s="1599">
        <v>0.76529999999999998</v>
      </c>
      <c r="E178" s="1599">
        <v>0.76529999999999998</v>
      </c>
      <c r="F178" s="1599">
        <v>0.76529999999999998</v>
      </c>
      <c r="G178" s="1599">
        <v>0.76529999999999998</v>
      </c>
      <c r="H178" s="1599">
        <v>0.76529999999999998</v>
      </c>
      <c r="I178" s="1599">
        <v>0.67079999999999995</v>
      </c>
      <c r="J178" s="1599">
        <v>0.67079999999999995</v>
      </c>
      <c r="K178" s="1599">
        <v>0.67079999999999995</v>
      </c>
      <c r="L178" s="1599">
        <v>0.67079999999999995</v>
      </c>
      <c r="M178" s="1599">
        <v>0.67079999999999995</v>
      </c>
    </row>
    <row r="179" spans="1:13">
      <c r="A179" s="1590">
        <v>7.5</v>
      </c>
      <c r="B179" s="1599">
        <v>0.86299999999999999</v>
      </c>
      <c r="C179" s="1599">
        <v>0.86299999999999999</v>
      </c>
      <c r="D179" s="1599">
        <v>0.76359999999999995</v>
      </c>
      <c r="E179" s="1599">
        <v>0.76359999999999995</v>
      </c>
      <c r="F179" s="1599">
        <v>0.76359999999999995</v>
      </c>
      <c r="G179" s="1599">
        <v>0.76359999999999995</v>
      </c>
      <c r="H179" s="1599">
        <v>0.76359999999999995</v>
      </c>
      <c r="I179" s="1599">
        <v>0.66890000000000005</v>
      </c>
      <c r="J179" s="1599">
        <v>0.66890000000000005</v>
      </c>
      <c r="K179" s="1599">
        <v>0.66890000000000005</v>
      </c>
      <c r="L179" s="1599">
        <v>0.66890000000000005</v>
      </c>
      <c r="M179" s="1599">
        <v>0.66890000000000005</v>
      </c>
    </row>
    <row r="180" spans="1:13">
      <c r="A180" s="1590">
        <v>7.6</v>
      </c>
      <c r="B180" s="1599">
        <v>0.86150000000000004</v>
      </c>
      <c r="C180" s="1599">
        <v>0.86150000000000004</v>
      </c>
      <c r="D180" s="1599">
        <v>0.76200000000000001</v>
      </c>
      <c r="E180" s="1599">
        <v>0.76200000000000001</v>
      </c>
      <c r="F180" s="1599">
        <v>0.76200000000000001</v>
      </c>
      <c r="G180" s="1599">
        <v>0.76200000000000001</v>
      </c>
      <c r="H180" s="1599">
        <v>0.76200000000000001</v>
      </c>
      <c r="I180" s="1599">
        <v>0.66700000000000004</v>
      </c>
      <c r="J180" s="1599">
        <v>0.66700000000000004</v>
      </c>
      <c r="K180" s="1599">
        <v>0.66700000000000004</v>
      </c>
      <c r="L180" s="1599">
        <v>0.66700000000000004</v>
      </c>
      <c r="M180" s="1599">
        <v>0.66700000000000004</v>
      </c>
    </row>
    <row r="181" spans="1:13">
      <c r="A181" s="1590">
        <v>7.7</v>
      </c>
      <c r="B181" s="1599">
        <v>0.86</v>
      </c>
      <c r="C181" s="1599">
        <v>0.86</v>
      </c>
      <c r="D181" s="1599">
        <v>0.76039999999999996</v>
      </c>
      <c r="E181" s="1599">
        <v>0.76039999999999996</v>
      </c>
      <c r="F181" s="1599">
        <v>0.76039999999999996</v>
      </c>
      <c r="G181" s="1599">
        <v>0.76039999999999996</v>
      </c>
      <c r="H181" s="1599">
        <v>0.76039999999999996</v>
      </c>
      <c r="I181" s="1599">
        <v>0.66510000000000002</v>
      </c>
      <c r="J181" s="1599">
        <v>0.66510000000000002</v>
      </c>
      <c r="K181" s="1599">
        <v>0.66510000000000002</v>
      </c>
      <c r="L181" s="1599">
        <v>0.66510000000000002</v>
      </c>
      <c r="M181" s="1599">
        <v>0.66510000000000002</v>
      </c>
    </row>
    <row r="182" spans="1:13">
      <c r="A182" s="1590">
        <v>7.8</v>
      </c>
      <c r="B182" s="1599">
        <v>0.85850000000000004</v>
      </c>
      <c r="C182" s="1599">
        <v>0.85850000000000004</v>
      </c>
      <c r="D182" s="1599">
        <v>0.75880000000000003</v>
      </c>
      <c r="E182" s="1599">
        <v>0.75880000000000003</v>
      </c>
      <c r="F182" s="1599">
        <v>0.75880000000000003</v>
      </c>
      <c r="G182" s="1599">
        <v>0.75880000000000003</v>
      </c>
      <c r="H182" s="1599">
        <v>0.75880000000000003</v>
      </c>
      <c r="I182" s="1599">
        <v>0.6633</v>
      </c>
      <c r="J182" s="1599">
        <v>0.6633</v>
      </c>
      <c r="K182" s="1599">
        <v>0.6633</v>
      </c>
      <c r="L182" s="1599">
        <v>0.6633</v>
      </c>
      <c r="M182" s="1599">
        <v>0.6633</v>
      </c>
    </row>
    <row r="183" spans="1:13">
      <c r="A183" s="1590">
        <v>7.9</v>
      </c>
      <c r="B183" s="1599">
        <v>0.85699999999999998</v>
      </c>
      <c r="C183" s="1599">
        <v>0.85699999999999998</v>
      </c>
      <c r="D183" s="1599">
        <v>0.75719999999999998</v>
      </c>
      <c r="E183" s="1599">
        <v>0.75719999999999998</v>
      </c>
      <c r="F183" s="1599">
        <v>0.75719999999999998</v>
      </c>
      <c r="G183" s="1599">
        <v>0.75719999999999998</v>
      </c>
      <c r="H183" s="1599">
        <v>0.75719999999999998</v>
      </c>
      <c r="I183" s="1599">
        <v>0.66149999999999998</v>
      </c>
      <c r="J183" s="1599">
        <v>0.66149999999999998</v>
      </c>
      <c r="K183" s="1599">
        <v>0.66149999999999998</v>
      </c>
      <c r="L183" s="1599">
        <v>0.66149999999999998</v>
      </c>
      <c r="M183" s="1599">
        <v>0.66149999999999998</v>
      </c>
    </row>
    <row r="184" spans="1:13">
      <c r="A184" s="1590">
        <v>8</v>
      </c>
      <c r="B184" s="1599">
        <v>0.85550000000000004</v>
      </c>
      <c r="C184" s="1599">
        <v>0.85550000000000004</v>
      </c>
      <c r="D184" s="1599">
        <v>0.75570000000000004</v>
      </c>
      <c r="E184" s="1599">
        <v>0.75570000000000004</v>
      </c>
      <c r="F184" s="1599">
        <v>0.75570000000000004</v>
      </c>
      <c r="G184" s="1599">
        <v>0.75570000000000004</v>
      </c>
      <c r="H184" s="1599">
        <v>0.75570000000000004</v>
      </c>
      <c r="I184" s="1599">
        <v>0.65969999999999995</v>
      </c>
      <c r="J184" s="1599">
        <v>0.65969999999999995</v>
      </c>
      <c r="K184" s="1599">
        <v>0.65969999999999995</v>
      </c>
      <c r="L184" s="1599">
        <v>0.65969999999999995</v>
      </c>
      <c r="M184" s="1599">
        <v>0.65969999999999995</v>
      </c>
    </row>
    <row r="185" spans="1:13">
      <c r="A185" s="1590">
        <v>8.1</v>
      </c>
      <c r="B185" s="1599">
        <v>0.85399999999999998</v>
      </c>
      <c r="C185" s="1599">
        <v>0.85399999999999998</v>
      </c>
      <c r="D185" s="1599">
        <v>0.75419999999999998</v>
      </c>
      <c r="E185" s="1599">
        <v>0.75419999999999998</v>
      </c>
      <c r="F185" s="1599">
        <v>0.75419999999999998</v>
      </c>
      <c r="G185" s="1599">
        <v>0.75419999999999998</v>
      </c>
      <c r="H185" s="1599">
        <v>0.75419999999999998</v>
      </c>
      <c r="I185" s="1599">
        <v>0.65800000000000003</v>
      </c>
      <c r="J185" s="1599">
        <v>0.65800000000000003</v>
      </c>
      <c r="K185" s="1599">
        <v>0.65800000000000003</v>
      </c>
      <c r="L185" s="1599">
        <v>0.65800000000000003</v>
      </c>
      <c r="M185" s="1599">
        <v>0.65800000000000003</v>
      </c>
    </row>
    <row r="186" spans="1:13">
      <c r="A186" s="1590">
        <v>8.1999999999999993</v>
      </c>
      <c r="B186" s="1599">
        <v>0.85250000000000004</v>
      </c>
      <c r="C186" s="1599">
        <v>0.85250000000000004</v>
      </c>
      <c r="D186" s="1599">
        <v>0.75270000000000004</v>
      </c>
      <c r="E186" s="1599">
        <v>0.75270000000000004</v>
      </c>
      <c r="F186" s="1599">
        <v>0.75270000000000004</v>
      </c>
      <c r="G186" s="1599">
        <v>0.75270000000000004</v>
      </c>
      <c r="H186" s="1599">
        <v>0.75270000000000004</v>
      </c>
      <c r="I186" s="1599">
        <v>0.65629999999999999</v>
      </c>
      <c r="J186" s="1599">
        <v>0.65629999999999999</v>
      </c>
      <c r="K186" s="1599">
        <v>0.65629999999999999</v>
      </c>
      <c r="L186" s="1599">
        <v>0.65629999999999999</v>
      </c>
      <c r="M186" s="1599">
        <v>0.65629999999999999</v>
      </c>
    </row>
    <row r="187" spans="1:13">
      <c r="A187" s="1590">
        <v>8.3000000000000007</v>
      </c>
      <c r="B187" s="1599">
        <v>0.85109999999999997</v>
      </c>
      <c r="C187" s="1599">
        <v>0.85109999999999997</v>
      </c>
      <c r="D187" s="1599">
        <v>0.75119999999999998</v>
      </c>
      <c r="E187" s="1599">
        <v>0.75119999999999998</v>
      </c>
      <c r="F187" s="1599">
        <v>0.75119999999999998</v>
      </c>
      <c r="G187" s="1599">
        <v>0.75119999999999998</v>
      </c>
      <c r="H187" s="1599">
        <v>0.75119999999999998</v>
      </c>
      <c r="I187" s="1599">
        <v>0.65459999999999996</v>
      </c>
      <c r="J187" s="1599">
        <v>0.65459999999999996</v>
      </c>
      <c r="K187" s="1599">
        <v>0.65459999999999996</v>
      </c>
      <c r="L187" s="1599">
        <v>0.65459999999999996</v>
      </c>
      <c r="M187" s="1599">
        <v>0.65459999999999996</v>
      </c>
    </row>
    <row r="188" spans="1:13">
      <c r="A188" s="1590">
        <v>8.4</v>
      </c>
      <c r="B188" s="1599">
        <v>0.84970000000000001</v>
      </c>
      <c r="C188" s="1599">
        <v>0.84970000000000001</v>
      </c>
      <c r="D188" s="1599">
        <v>0.74970000000000003</v>
      </c>
      <c r="E188" s="1599">
        <v>0.74970000000000003</v>
      </c>
      <c r="F188" s="1599">
        <v>0.74970000000000003</v>
      </c>
      <c r="G188" s="1599">
        <v>0.74970000000000003</v>
      </c>
      <c r="H188" s="1599">
        <v>0.74970000000000003</v>
      </c>
      <c r="I188" s="1599">
        <v>0.65300000000000002</v>
      </c>
      <c r="J188" s="1599">
        <v>0.65300000000000002</v>
      </c>
      <c r="K188" s="1599">
        <v>0.65300000000000002</v>
      </c>
      <c r="L188" s="1599">
        <v>0.65300000000000002</v>
      </c>
      <c r="M188" s="1599">
        <v>0.65300000000000002</v>
      </c>
    </row>
    <row r="189" spans="1:13">
      <c r="A189" s="1590">
        <v>8.5</v>
      </c>
      <c r="B189" s="1599">
        <v>0.84830000000000005</v>
      </c>
      <c r="C189" s="1599">
        <v>0.84830000000000005</v>
      </c>
      <c r="D189" s="1599">
        <v>0.74819999999999998</v>
      </c>
      <c r="E189" s="1599">
        <v>0.74819999999999998</v>
      </c>
      <c r="F189" s="1599">
        <v>0.74819999999999998</v>
      </c>
      <c r="G189" s="1599">
        <v>0.74819999999999998</v>
      </c>
      <c r="H189" s="1599">
        <v>0.74819999999999998</v>
      </c>
      <c r="I189" s="1599">
        <v>0.65139999999999998</v>
      </c>
      <c r="J189" s="1599">
        <v>0.65139999999999998</v>
      </c>
      <c r="K189" s="1599">
        <v>0.65139999999999998</v>
      </c>
      <c r="L189" s="1599">
        <v>0.65139999999999998</v>
      </c>
      <c r="M189" s="1599">
        <v>0.65139999999999998</v>
      </c>
    </row>
    <row r="190" spans="1:13">
      <c r="A190" s="1590">
        <v>8.6</v>
      </c>
      <c r="B190" s="1599">
        <v>0.84689999999999999</v>
      </c>
      <c r="C190" s="1599">
        <v>0.84689999999999999</v>
      </c>
      <c r="D190" s="1599">
        <v>0.74670000000000003</v>
      </c>
      <c r="E190" s="1599">
        <v>0.74670000000000003</v>
      </c>
      <c r="F190" s="1599">
        <v>0.74670000000000003</v>
      </c>
      <c r="G190" s="1599">
        <v>0.74670000000000003</v>
      </c>
      <c r="H190" s="1599">
        <v>0.74670000000000003</v>
      </c>
      <c r="I190" s="1599">
        <v>0.64980000000000004</v>
      </c>
      <c r="J190" s="1599">
        <v>0.64980000000000004</v>
      </c>
      <c r="K190" s="1599">
        <v>0.64980000000000004</v>
      </c>
      <c r="L190" s="1599">
        <v>0.64980000000000004</v>
      </c>
      <c r="M190" s="1599">
        <v>0.64980000000000004</v>
      </c>
    </row>
    <row r="191" spans="1:13">
      <c r="A191" s="1590">
        <v>8.6999999999999993</v>
      </c>
      <c r="B191" s="1599">
        <v>0.84550000000000003</v>
      </c>
      <c r="C191" s="1599">
        <v>0.84550000000000003</v>
      </c>
      <c r="D191" s="1599">
        <v>0.74519999999999997</v>
      </c>
      <c r="E191" s="1599">
        <v>0.74519999999999997</v>
      </c>
      <c r="F191" s="1599">
        <v>0.74519999999999997</v>
      </c>
      <c r="G191" s="1599">
        <v>0.74519999999999997</v>
      </c>
      <c r="H191" s="1599">
        <v>0.74519999999999997</v>
      </c>
      <c r="I191" s="1599">
        <v>0.6482</v>
      </c>
      <c r="J191" s="1599">
        <v>0.6482</v>
      </c>
      <c r="K191" s="1599">
        <v>0.6482</v>
      </c>
      <c r="L191" s="1599">
        <v>0.6482</v>
      </c>
      <c r="M191" s="1599">
        <v>0.6482</v>
      </c>
    </row>
    <row r="192" spans="1:13">
      <c r="A192" s="1590">
        <v>8.8000000000000007</v>
      </c>
      <c r="B192" s="1599">
        <v>0.84409999999999996</v>
      </c>
      <c r="C192" s="1599">
        <v>0.84409999999999996</v>
      </c>
      <c r="D192" s="1599">
        <v>0.74370000000000003</v>
      </c>
      <c r="E192" s="1599">
        <v>0.74370000000000003</v>
      </c>
      <c r="F192" s="1599">
        <v>0.74370000000000003</v>
      </c>
      <c r="G192" s="1599">
        <v>0.74370000000000003</v>
      </c>
      <c r="H192" s="1599">
        <v>0.74370000000000003</v>
      </c>
      <c r="I192" s="1599">
        <v>0.64659999999999995</v>
      </c>
      <c r="J192" s="1599">
        <v>0.64659999999999995</v>
      </c>
      <c r="K192" s="1599">
        <v>0.64659999999999995</v>
      </c>
      <c r="L192" s="1599">
        <v>0.64659999999999995</v>
      </c>
      <c r="M192" s="1599">
        <v>0.64659999999999995</v>
      </c>
    </row>
    <row r="193" spans="1:13">
      <c r="A193" s="1590">
        <v>8.9</v>
      </c>
      <c r="B193" s="1599">
        <v>0.84279999999999999</v>
      </c>
      <c r="C193" s="1599">
        <v>0.84279999999999999</v>
      </c>
      <c r="D193" s="1599">
        <v>0.74219999999999997</v>
      </c>
      <c r="E193" s="1599">
        <v>0.74219999999999997</v>
      </c>
      <c r="F193" s="1599">
        <v>0.74219999999999997</v>
      </c>
      <c r="G193" s="1599">
        <v>0.74219999999999997</v>
      </c>
      <c r="H193" s="1599">
        <v>0.74219999999999997</v>
      </c>
      <c r="I193" s="1599">
        <v>0.64500000000000002</v>
      </c>
      <c r="J193" s="1599">
        <v>0.64500000000000002</v>
      </c>
      <c r="K193" s="1599">
        <v>0.64500000000000002</v>
      </c>
      <c r="L193" s="1599">
        <v>0.64500000000000002</v>
      </c>
      <c r="M193" s="1599">
        <v>0.64500000000000002</v>
      </c>
    </row>
    <row r="194" spans="1:13">
      <c r="A194" s="1613">
        <v>9</v>
      </c>
      <c r="B194" s="1599">
        <v>0.84150000000000003</v>
      </c>
      <c r="C194" s="1599">
        <v>0.84150000000000003</v>
      </c>
      <c r="D194" s="1599">
        <v>0.74070000000000003</v>
      </c>
      <c r="E194" s="1599">
        <v>0.74070000000000003</v>
      </c>
      <c r="F194" s="1599">
        <v>0.74070000000000003</v>
      </c>
      <c r="G194" s="1599">
        <v>0.74070000000000003</v>
      </c>
      <c r="H194" s="1599">
        <v>0.74070000000000003</v>
      </c>
      <c r="I194" s="1599">
        <v>0.64349999999999996</v>
      </c>
      <c r="J194" s="1599">
        <v>0.64349999999999996</v>
      </c>
      <c r="K194" s="1599">
        <v>0.64349999999999996</v>
      </c>
      <c r="L194" s="1599">
        <v>0.64349999999999996</v>
      </c>
      <c r="M194" s="1599">
        <v>0.64349999999999996</v>
      </c>
    </row>
    <row r="195" spans="1:13">
      <c r="A195" s="1613">
        <v>9.1</v>
      </c>
      <c r="B195" s="1599">
        <v>0.84019999999999995</v>
      </c>
      <c r="C195" s="1599">
        <v>0.84019999999999995</v>
      </c>
      <c r="D195" s="1599">
        <v>0.73919999999999997</v>
      </c>
      <c r="E195" s="1599">
        <v>0.73919999999999997</v>
      </c>
      <c r="F195" s="1599">
        <v>0.73919999999999997</v>
      </c>
      <c r="G195" s="1599">
        <v>0.73919999999999997</v>
      </c>
      <c r="H195" s="1599">
        <v>0.73919999999999997</v>
      </c>
      <c r="I195" s="1599">
        <v>0.64200000000000002</v>
      </c>
      <c r="J195" s="1599">
        <v>0.64200000000000002</v>
      </c>
      <c r="K195" s="1599">
        <v>0.64200000000000002</v>
      </c>
      <c r="L195" s="1599">
        <v>0.64200000000000002</v>
      </c>
      <c r="M195" s="1599">
        <v>0.64200000000000002</v>
      </c>
    </row>
    <row r="196" spans="1:13">
      <c r="A196" s="1613">
        <v>9.1999999999999993</v>
      </c>
      <c r="B196" s="1599">
        <v>0.83889999999999998</v>
      </c>
      <c r="C196" s="1599">
        <v>0.83889999999999998</v>
      </c>
      <c r="D196" s="1599">
        <v>0.73770000000000002</v>
      </c>
      <c r="E196" s="1599">
        <v>0.73770000000000002</v>
      </c>
      <c r="F196" s="1599">
        <v>0.73770000000000002</v>
      </c>
      <c r="G196" s="1599">
        <v>0.73770000000000002</v>
      </c>
      <c r="H196" s="1599">
        <v>0.73770000000000002</v>
      </c>
      <c r="I196" s="1599">
        <v>0.64059999999999995</v>
      </c>
      <c r="J196" s="1599">
        <v>0.64059999999999995</v>
      </c>
      <c r="K196" s="1599">
        <v>0.64059999999999995</v>
      </c>
      <c r="L196" s="1599">
        <v>0.64059999999999995</v>
      </c>
      <c r="M196" s="1599">
        <v>0.64059999999999995</v>
      </c>
    </row>
    <row r="197" spans="1:13">
      <c r="A197" s="1613">
        <v>9.3000000000000007</v>
      </c>
      <c r="B197" s="1599">
        <v>0.83760000000000001</v>
      </c>
      <c r="C197" s="1599">
        <v>0.83760000000000001</v>
      </c>
      <c r="D197" s="1599">
        <v>0.73629999999999995</v>
      </c>
      <c r="E197" s="1599">
        <v>0.73629999999999995</v>
      </c>
      <c r="F197" s="1599">
        <v>0.73629999999999995</v>
      </c>
      <c r="G197" s="1599">
        <v>0.73629999999999995</v>
      </c>
      <c r="H197" s="1599">
        <v>0.73629999999999995</v>
      </c>
      <c r="I197" s="1599">
        <v>0.63919999999999999</v>
      </c>
      <c r="J197" s="1599">
        <v>0.63919999999999999</v>
      </c>
      <c r="K197" s="1599">
        <v>0.63919999999999999</v>
      </c>
      <c r="L197" s="1599">
        <v>0.63919999999999999</v>
      </c>
      <c r="M197" s="1599">
        <v>0.63919999999999999</v>
      </c>
    </row>
    <row r="198" spans="1:13">
      <c r="A198" s="1613">
        <v>9.4</v>
      </c>
      <c r="B198" s="1599">
        <v>0.83630000000000004</v>
      </c>
      <c r="C198" s="1599">
        <v>0.83630000000000004</v>
      </c>
      <c r="D198" s="1599">
        <v>0.7349</v>
      </c>
      <c r="E198" s="1599">
        <v>0.7349</v>
      </c>
      <c r="F198" s="1599">
        <v>0.7349</v>
      </c>
      <c r="G198" s="1599">
        <v>0.7349</v>
      </c>
      <c r="H198" s="1599">
        <v>0.7349</v>
      </c>
      <c r="I198" s="1599">
        <v>0.63780000000000003</v>
      </c>
      <c r="J198" s="1599">
        <v>0.63780000000000003</v>
      </c>
      <c r="K198" s="1599">
        <v>0.63780000000000003</v>
      </c>
      <c r="L198" s="1599">
        <v>0.63780000000000003</v>
      </c>
      <c r="M198" s="1599">
        <v>0.63780000000000003</v>
      </c>
    </row>
    <row r="199" spans="1:13">
      <c r="A199" s="1613">
        <v>9.5</v>
      </c>
      <c r="B199" s="1599">
        <v>0.83499999999999996</v>
      </c>
      <c r="C199" s="1599">
        <v>0.83499999999999996</v>
      </c>
      <c r="D199" s="1599">
        <v>0.73350000000000004</v>
      </c>
      <c r="E199" s="1599">
        <v>0.73350000000000004</v>
      </c>
      <c r="F199" s="1599">
        <v>0.73350000000000004</v>
      </c>
      <c r="G199" s="1599">
        <v>0.73350000000000004</v>
      </c>
      <c r="H199" s="1599">
        <v>0.73350000000000004</v>
      </c>
      <c r="I199" s="1599">
        <v>0.63639999999999997</v>
      </c>
      <c r="J199" s="1599">
        <v>0.63639999999999997</v>
      </c>
      <c r="K199" s="1599">
        <v>0.63639999999999997</v>
      </c>
      <c r="L199" s="1599">
        <v>0.63639999999999997</v>
      </c>
      <c r="M199" s="1599">
        <v>0.63639999999999997</v>
      </c>
    </row>
    <row r="200" spans="1:13">
      <c r="A200" s="1613">
        <v>9.6</v>
      </c>
      <c r="B200" s="1599">
        <v>0.83379999999999999</v>
      </c>
      <c r="C200" s="1599">
        <v>0.83379999999999999</v>
      </c>
      <c r="D200" s="1599">
        <v>0.73209999999999997</v>
      </c>
      <c r="E200" s="1599">
        <v>0.73209999999999997</v>
      </c>
      <c r="F200" s="1599">
        <v>0.73209999999999997</v>
      </c>
      <c r="G200" s="1599">
        <v>0.73209999999999997</v>
      </c>
      <c r="H200" s="1599">
        <v>0.73209999999999997</v>
      </c>
      <c r="I200" s="1599">
        <v>0.63500000000000001</v>
      </c>
      <c r="J200" s="1599">
        <v>0.63500000000000001</v>
      </c>
      <c r="K200" s="1599">
        <v>0.63500000000000001</v>
      </c>
      <c r="L200" s="1599">
        <v>0.63500000000000001</v>
      </c>
      <c r="M200" s="1599">
        <v>0.63500000000000001</v>
      </c>
    </row>
    <row r="201" spans="1:13">
      <c r="A201" s="1613">
        <v>9.6999999999999993</v>
      </c>
      <c r="B201" s="1599">
        <v>0.83260000000000001</v>
      </c>
      <c r="C201" s="1599">
        <v>0.83260000000000001</v>
      </c>
      <c r="D201" s="1599">
        <v>0.73070000000000002</v>
      </c>
      <c r="E201" s="1599">
        <v>0.73070000000000002</v>
      </c>
      <c r="F201" s="1599">
        <v>0.73070000000000002</v>
      </c>
      <c r="G201" s="1599">
        <v>0.73070000000000002</v>
      </c>
      <c r="H201" s="1599">
        <v>0.73070000000000002</v>
      </c>
      <c r="I201" s="1599">
        <v>0.63360000000000005</v>
      </c>
      <c r="J201" s="1599">
        <v>0.63360000000000005</v>
      </c>
      <c r="K201" s="1599">
        <v>0.63360000000000005</v>
      </c>
      <c r="L201" s="1599">
        <v>0.63360000000000005</v>
      </c>
      <c r="M201" s="1599">
        <v>0.63360000000000005</v>
      </c>
    </row>
    <row r="202" spans="1:13">
      <c r="A202" s="1613">
        <v>9.8000000000000007</v>
      </c>
      <c r="B202" s="1599">
        <v>0.83140000000000003</v>
      </c>
      <c r="C202" s="1599">
        <v>0.83140000000000003</v>
      </c>
      <c r="D202" s="1599">
        <v>0.72929999999999995</v>
      </c>
      <c r="E202" s="1599">
        <v>0.72929999999999995</v>
      </c>
      <c r="F202" s="1599">
        <v>0.72929999999999995</v>
      </c>
      <c r="G202" s="1599">
        <v>0.72929999999999995</v>
      </c>
      <c r="H202" s="1599">
        <v>0.72929999999999995</v>
      </c>
      <c r="I202" s="1599">
        <v>0.63219999999999998</v>
      </c>
      <c r="J202" s="1599">
        <v>0.63219999999999998</v>
      </c>
      <c r="K202" s="1599">
        <v>0.63219999999999998</v>
      </c>
      <c r="L202" s="1599">
        <v>0.63219999999999998</v>
      </c>
      <c r="M202" s="1599">
        <v>0.63219999999999998</v>
      </c>
    </row>
    <row r="203" spans="1:13">
      <c r="A203" s="1613">
        <v>9.9</v>
      </c>
      <c r="B203" s="1599">
        <v>0.83020000000000005</v>
      </c>
      <c r="C203" s="1599">
        <v>0.83020000000000005</v>
      </c>
      <c r="D203" s="1599">
        <v>0.72799999999999998</v>
      </c>
      <c r="E203" s="1599">
        <v>0.72799999999999998</v>
      </c>
      <c r="F203" s="1599">
        <v>0.72799999999999998</v>
      </c>
      <c r="G203" s="1599">
        <v>0.72799999999999998</v>
      </c>
      <c r="H203" s="1599">
        <v>0.72799999999999998</v>
      </c>
      <c r="I203" s="1599">
        <v>0.63080000000000003</v>
      </c>
      <c r="J203" s="1599">
        <v>0.63080000000000003</v>
      </c>
      <c r="K203" s="1599">
        <v>0.63080000000000003</v>
      </c>
      <c r="L203" s="1599">
        <v>0.63080000000000003</v>
      </c>
      <c r="M203" s="1599">
        <v>0.63080000000000003</v>
      </c>
    </row>
    <row r="204" spans="1:13">
      <c r="A204" s="1613">
        <v>10</v>
      </c>
      <c r="B204" s="1599">
        <v>0.82899999999999996</v>
      </c>
      <c r="C204" s="1599">
        <v>0.82899999999999996</v>
      </c>
      <c r="D204" s="1599">
        <v>0.72670000000000001</v>
      </c>
      <c r="E204" s="1599">
        <v>0.72670000000000001</v>
      </c>
      <c r="F204" s="1599">
        <v>0.72670000000000001</v>
      </c>
      <c r="G204" s="1599">
        <v>0.72670000000000001</v>
      </c>
      <c r="H204" s="1599">
        <v>0.72670000000000001</v>
      </c>
      <c r="I204" s="1599">
        <v>0.62939999999999996</v>
      </c>
      <c r="J204" s="1599">
        <v>0.62939999999999996</v>
      </c>
      <c r="K204" s="1599">
        <v>0.62939999999999996</v>
      </c>
      <c r="L204" s="1599">
        <v>0.62939999999999996</v>
      </c>
      <c r="M204" s="1599">
        <v>0.62939999999999996</v>
      </c>
    </row>
    <row r="205" spans="1:13" ht="14.25">
      <c r="A205" s="1587" t="s">
        <v>1778</v>
      </c>
      <c r="B205" s="1588"/>
      <c r="C205" s="1588"/>
      <c r="D205" s="1588"/>
      <c r="E205" s="1588"/>
      <c r="F205" s="1588"/>
      <c r="G205" s="1588"/>
      <c r="H205" s="1588"/>
      <c r="I205" s="1588"/>
      <c r="J205" s="1588"/>
      <c r="K205" s="1588"/>
      <c r="L205" s="1588"/>
      <c r="M205" s="1588"/>
    </row>
    <row r="206" spans="1:13">
      <c r="A206" s="1590" t="s">
        <v>1768</v>
      </c>
      <c r="B206" s="1591" t="s">
        <v>1173</v>
      </c>
      <c r="C206" s="1591" t="s">
        <v>1174</v>
      </c>
      <c r="D206" s="1591" t="s">
        <v>1175</v>
      </c>
      <c r="E206" s="1591" t="s">
        <v>1176</v>
      </c>
      <c r="F206" s="1591" t="s">
        <v>1177</v>
      </c>
      <c r="G206" s="1591" t="s">
        <v>1178</v>
      </c>
      <c r="H206" s="1592" t="s">
        <v>1179</v>
      </c>
      <c r="I206" s="1592" t="s">
        <v>1180</v>
      </c>
      <c r="J206" s="1593" t="s">
        <v>1181</v>
      </c>
      <c r="K206" s="1593" t="s">
        <v>1182</v>
      </c>
      <c r="L206" s="1593" t="s">
        <v>1183</v>
      </c>
      <c r="M206" s="1593" t="s">
        <v>1184</v>
      </c>
    </row>
    <row r="207" spans="1:13">
      <c r="A207" s="1590">
        <v>0.1</v>
      </c>
      <c r="B207" s="1599">
        <v>12.172000000000001</v>
      </c>
      <c r="C207" s="1599">
        <v>12.172000000000001</v>
      </c>
      <c r="D207" s="1599">
        <v>12.375999999999999</v>
      </c>
      <c r="E207" s="1599">
        <v>12.375999999999999</v>
      </c>
      <c r="F207" s="1599">
        <v>12.375999999999999</v>
      </c>
      <c r="G207" s="1599">
        <v>12.375999999999999</v>
      </c>
      <c r="H207" s="1599">
        <v>12.375999999999999</v>
      </c>
      <c r="I207" s="1599">
        <v>11.071999999999999</v>
      </c>
      <c r="J207" s="1599">
        <v>11.071999999999999</v>
      </c>
      <c r="K207" s="1599">
        <v>11.071999999999999</v>
      </c>
      <c r="L207" s="1599">
        <v>11.071999999999999</v>
      </c>
      <c r="M207" s="1599">
        <v>11.071999999999999</v>
      </c>
    </row>
    <row r="208" spans="1:13">
      <c r="A208" s="1590">
        <v>0.2</v>
      </c>
      <c r="B208" s="1599">
        <v>6.0860000000000003</v>
      </c>
      <c r="C208" s="1599">
        <v>6.0860000000000003</v>
      </c>
      <c r="D208" s="1599">
        <v>6.1879999999999997</v>
      </c>
      <c r="E208" s="1599">
        <v>6.1879999999999997</v>
      </c>
      <c r="F208" s="1599">
        <v>6.1879999999999997</v>
      </c>
      <c r="G208" s="1599">
        <v>6.1879999999999997</v>
      </c>
      <c r="H208" s="1599">
        <v>6.1879999999999997</v>
      </c>
      <c r="I208" s="1599">
        <v>5.5359999999999996</v>
      </c>
      <c r="J208" s="1599">
        <v>5.5359999999999996</v>
      </c>
      <c r="K208" s="1599">
        <v>5.5359999999999996</v>
      </c>
      <c r="L208" s="1599">
        <v>5.5359999999999996</v>
      </c>
      <c r="M208" s="1599">
        <v>5.5359999999999996</v>
      </c>
    </row>
    <row r="209" spans="1:13">
      <c r="A209" s="1590">
        <v>0.3</v>
      </c>
      <c r="B209" s="1599">
        <v>4.0572999999999997</v>
      </c>
      <c r="C209" s="1599">
        <v>4.0572999999999997</v>
      </c>
      <c r="D209" s="1599">
        <v>4.1253000000000002</v>
      </c>
      <c r="E209" s="1599">
        <v>4.1253000000000002</v>
      </c>
      <c r="F209" s="1599">
        <v>4.1253000000000002</v>
      </c>
      <c r="G209" s="1599">
        <v>4.1253000000000002</v>
      </c>
      <c r="H209" s="1599">
        <v>4.1253000000000002</v>
      </c>
      <c r="I209" s="1599">
        <v>3.6907000000000001</v>
      </c>
      <c r="J209" s="1599">
        <v>3.6907000000000001</v>
      </c>
      <c r="K209" s="1599">
        <v>3.6907000000000001</v>
      </c>
      <c r="L209" s="1599">
        <v>3.6907000000000001</v>
      </c>
      <c r="M209" s="1599">
        <v>3.6907000000000001</v>
      </c>
    </row>
    <row r="210" spans="1:13">
      <c r="A210" s="1590">
        <v>0.4</v>
      </c>
      <c r="B210" s="1599">
        <v>3.0430000000000001</v>
      </c>
      <c r="C210" s="1599">
        <v>3.0430000000000001</v>
      </c>
      <c r="D210" s="1599">
        <v>3.0939999999999999</v>
      </c>
      <c r="E210" s="1599">
        <v>3.0939999999999999</v>
      </c>
      <c r="F210" s="1599">
        <v>3.0939999999999999</v>
      </c>
      <c r="G210" s="1599">
        <v>3.0939999999999999</v>
      </c>
      <c r="H210" s="1599">
        <v>3.0939999999999999</v>
      </c>
      <c r="I210" s="1599">
        <v>2.7679999999999998</v>
      </c>
      <c r="J210" s="1599">
        <v>2.7679999999999998</v>
      </c>
      <c r="K210" s="1599">
        <v>2.7679999999999998</v>
      </c>
      <c r="L210" s="1599">
        <v>2.7679999999999998</v>
      </c>
      <c r="M210" s="1599">
        <v>2.7679999999999998</v>
      </c>
    </row>
    <row r="211" spans="1:13">
      <c r="A211" s="1590">
        <v>0.5</v>
      </c>
      <c r="B211" s="1599">
        <v>2.4344000000000001</v>
      </c>
      <c r="C211" s="1599">
        <v>2.4344000000000001</v>
      </c>
      <c r="D211" s="1599">
        <v>2.4752000000000001</v>
      </c>
      <c r="E211" s="1599">
        <v>2.4752000000000001</v>
      </c>
      <c r="F211" s="1599">
        <v>2.4752000000000001</v>
      </c>
      <c r="G211" s="1599">
        <v>2.4752000000000001</v>
      </c>
      <c r="H211" s="1599">
        <v>2.4752000000000001</v>
      </c>
      <c r="I211" s="1599">
        <v>2.2143999999999999</v>
      </c>
      <c r="J211" s="1599">
        <v>2.2143999999999999</v>
      </c>
      <c r="K211" s="1599">
        <v>2.2143999999999999</v>
      </c>
      <c r="L211" s="1599">
        <v>2.2143999999999999</v>
      </c>
      <c r="M211" s="1599">
        <v>2.2143999999999999</v>
      </c>
    </row>
    <row r="212" spans="1:13">
      <c r="A212" s="1590">
        <v>0.6</v>
      </c>
      <c r="B212" s="1599">
        <v>2.0287000000000002</v>
      </c>
      <c r="C212" s="1599">
        <v>2.0287000000000002</v>
      </c>
      <c r="D212" s="1599">
        <v>2.0627</v>
      </c>
      <c r="E212" s="1599">
        <v>2.0627</v>
      </c>
      <c r="F212" s="1599">
        <v>2.0627</v>
      </c>
      <c r="G212" s="1599">
        <v>2.0627</v>
      </c>
      <c r="H212" s="1599">
        <v>2.0627</v>
      </c>
      <c r="I212" s="1599">
        <v>1.8452999999999999</v>
      </c>
      <c r="J212" s="1599">
        <v>1.8452999999999999</v>
      </c>
      <c r="K212" s="1599">
        <v>1.8452999999999999</v>
      </c>
      <c r="L212" s="1599">
        <v>1.8452999999999999</v>
      </c>
      <c r="M212" s="1599">
        <v>1.8452999999999999</v>
      </c>
    </row>
    <row r="213" spans="1:13">
      <c r="A213" s="1590">
        <v>0.7</v>
      </c>
      <c r="B213" s="1599">
        <v>1.7388999999999999</v>
      </c>
      <c r="C213" s="1599">
        <v>1.7388999999999999</v>
      </c>
      <c r="D213" s="1599">
        <v>1.768</v>
      </c>
      <c r="E213" s="1599">
        <v>1.768</v>
      </c>
      <c r="F213" s="1599">
        <v>1.768</v>
      </c>
      <c r="G213" s="1599">
        <v>1.768</v>
      </c>
      <c r="H213" s="1599">
        <v>1.768</v>
      </c>
      <c r="I213" s="1599">
        <v>1.5817000000000001</v>
      </c>
      <c r="J213" s="1599">
        <v>1.5817000000000001</v>
      </c>
      <c r="K213" s="1599">
        <v>1.5817000000000001</v>
      </c>
      <c r="L213" s="1599">
        <v>1.5817000000000001</v>
      </c>
      <c r="M213" s="1599">
        <v>1.5817000000000001</v>
      </c>
    </row>
    <row r="214" spans="1:13">
      <c r="A214" s="1590">
        <v>0.8</v>
      </c>
      <c r="B214" s="1599">
        <v>1.5215000000000001</v>
      </c>
      <c r="C214" s="1599">
        <v>1.5215000000000001</v>
      </c>
      <c r="D214" s="1599">
        <v>1.5469999999999999</v>
      </c>
      <c r="E214" s="1599">
        <v>1.5469999999999999</v>
      </c>
      <c r="F214" s="1599">
        <v>1.5469999999999999</v>
      </c>
      <c r="G214" s="1599">
        <v>1.5469999999999999</v>
      </c>
      <c r="H214" s="1599">
        <v>1.5469999999999999</v>
      </c>
      <c r="I214" s="1599">
        <v>1.3839999999999999</v>
      </c>
      <c r="J214" s="1599">
        <v>1.3839999999999999</v>
      </c>
      <c r="K214" s="1599">
        <v>1.3839999999999999</v>
      </c>
      <c r="L214" s="1599">
        <v>1.3839999999999999</v>
      </c>
      <c r="M214" s="1599">
        <v>1.3839999999999999</v>
      </c>
    </row>
    <row r="215" spans="1:13">
      <c r="A215" s="1590">
        <v>0.9</v>
      </c>
      <c r="B215" s="1599">
        <v>1.3524</v>
      </c>
      <c r="C215" s="1599">
        <v>1.3524</v>
      </c>
      <c r="D215" s="1599">
        <v>1.3751</v>
      </c>
      <c r="E215" s="1599">
        <v>1.3751</v>
      </c>
      <c r="F215" s="1599">
        <v>1.3751</v>
      </c>
      <c r="G215" s="1599">
        <v>1.3751</v>
      </c>
      <c r="H215" s="1599">
        <v>1.3751</v>
      </c>
      <c r="I215" s="1599">
        <v>1.2302</v>
      </c>
      <c r="J215" s="1599">
        <v>1.2302</v>
      </c>
      <c r="K215" s="1599">
        <v>1.2302</v>
      </c>
      <c r="L215" s="1599">
        <v>1.2302</v>
      </c>
      <c r="M215" s="1599">
        <v>1.2302</v>
      </c>
    </row>
    <row r="216" spans="1:13">
      <c r="A216" s="1590">
        <v>1</v>
      </c>
      <c r="B216" s="1599">
        <v>1.2172000000000001</v>
      </c>
      <c r="C216" s="1599">
        <v>1.2172000000000001</v>
      </c>
      <c r="D216" s="1599">
        <v>1.2376</v>
      </c>
      <c r="E216" s="1599">
        <v>1.2376</v>
      </c>
      <c r="F216" s="1599">
        <v>1.2376</v>
      </c>
      <c r="G216" s="1599">
        <v>1.2376</v>
      </c>
      <c r="H216" s="1599">
        <v>1.2376</v>
      </c>
      <c r="I216" s="1599">
        <v>1.1072</v>
      </c>
      <c r="J216" s="1599">
        <v>1.1072</v>
      </c>
      <c r="K216" s="1599">
        <v>1.1072</v>
      </c>
      <c r="L216" s="1599">
        <v>1.1072</v>
      </c>
      <c r="M216" s="1599">
        <v>1.1072</v>
      </c>
    </row>
    <row r="217" spans="1:13">
      <c r="A217" s="1590">
        <v>1.1000000000000001</v>
      </c>
      <c r="B217" s="1599">
        <v>1.198</v>
      </c>
      <c r="C217" s="1599">
        <v>1.198</v>
      </c>
      <c r="D217" s="1599">
        <v>1.2156</v>
      </c>
      <c r="E217" s="1599">
        <v>1.2156</v>
      </c>
      <c r="F217" s="1599">
        <v>1.2156</v>
      </c>
      <c r="G217" s="1599">
        <v>1.2156</v>
      </c>
      <c r="H217" s="1599">
        <v>1.2156</v>
      </c>
      <c r="I217" s="1599">
        <v>1.0829</v>
      </c>
      <c r="J217" s="1599">
        <v>1.0829</v>
      </c>
      <c r="K217" s="1599">
        <v>1.0829</v>
      </c>
      <c r="L217" s="1599">
        <v>1.0829</v>
      </c>
      <c r="M217" s="1599">
        <v>1.0829</v>
      </c>
    </row>
    <row r="218" spans="1:13">
      <c r="A218" s="1590">
        <v>1.2</v>
      </c>
      <c r="B218" s="1599">
        <v>1.1795</v>
      </c>
      <c r="C218" s="1599">
        <v>1.1795</v>
      </c>
      <c r="D218" s="1599">
        <v>1.1947000000000001</v>
      </c>
      <c r="E218" s="1599">
        <v>1.1947000000000001</v>
      </c>
      <c r="F218" s="1599">
        <v>1.1947000000000001</v>
      </c>
      <c r="G218" s="1599">
        <v>1.1947000000000001</v>
      </c>
      <c r="H218" s="1599">
        <v>1.1947000000000001</v>
      </c>
      <c r="I218" s="1599">
        <v>1.0601</v>
      </c>
      <c r="J218" s="1599">
        <v>1.0601</v>
      </c>
      <c r="K218" s="1599">
        <v>1.0601</v>
      </c>
      <c r="L218" s="1599">
        <v>1.0601</v>
      </c>
      <c r="M218" s="1599">
        <v>1.0601</v>
      </c>
    </row>
    <row r="219" spans="1:13">
      <c r="A219" s="1590">
        <v>1.3</v>
      </c>
      <c r="B219" s="1599">
        <v>1.1617999999999999</v>
      </c>
      <c r="C219" s="1599">
        <v>1.1617999999999999</v>
      </c>
      <c r="D219" s="1599">
        <v>1.1748000000000001</v>
      </c>
      <c r="E219" s="1599">
        <v>1.1748000000000001</v>
      </c>
      <c r="F219" s="1599">
        <v>1.1748000000000001</v>
      </c>
      <c r="G219" s="1599">
        <v>1.1748000000000001</v>
      </c>
      <c r="H219" s="1599">
        <v>1.1748000000000001</v>
      </c>
      <c r="I219" s="1599">
        <v>1.0387999999999999</v>
      </c>
      <c r="J219" s="1599">
        <v>1.0387999999999999</v>
      </c>
      <c r="K219" s="1599">
        <v>1.0387999999999999</v>
      </c>
      <c r="L219" s="1599">
        <v>1.0387999999999999</v>
      </c>
      <c r="M219" s="1599">
        <v>1.0387999999999999</v>
      </c>
    </row>
    <row r="220" spans="1:13">
      <c r="A220" s="1590">
        <v>1.4</v>
      </c>
      <c r="B220" s="1599">
        <v>1.1448</v>
      </c>
      <c r="C220" s="1599">
        <v>1.1448</v>
      </c>
      <c r="D220" s="1599">
        <v>1.1557999999999999</v>
      </c>
      <c r="E220" s="1599">
        <v>1.1557999999999999</v>
      </c>
      <c r="F220" s="1599">
        <v>1.1557999999999999</v>
      </c>
      <c r="G220" s="1599">
        <v>1.1557999999999999</v>
      </c>
      <c r="H220" s="1599">
        <v>1.1557999999999999</v>
      </c>
      <c r="I220" s="1599">
        <v>1.0187999999999999</v>
      </c>
      <c r="J220" s="1599">
        <v>1.0187999999999999</v>
      </c>
      <c r="K220" s="1599">
        <v>1.0187999999999999</v>
      </c>
      <c r="L220" s="1599">
        <v>1.0187999999999999</v>
      </c>
      <c r="M220" s="1599">
        <v>1.0187999999999999</v>
      </c>
    </row>
    <row r="221" spans="1:13">
      <c r="A221" s="1590">
        <v>1.5</v>
      </c>
      <c r="B221" s="1599">
        <v>1.1285000000000001</v>
      </c>
      <c r="C221" s="1599">
        <v>1.1285000000000001</v>
      </c>
      <c r="D221" s="1599">
        <v>1.1377999999999999</v>
      </c>
      <c r="E221" s="1599">
        <v>1.1377999999999999</v>
      </c>
      <c r="F221" s="1599">
        <v>1.1377999999999999</v>
      </c>
      <c r="G221" s="1599">
        <v>1.1377999999999999</v>
      </c>
      <c r="H221" s="1599">
        <v>1.1377999999999999</v>
      </c>
      <c r="I221" s="1599">
        <v>1</v>
      </c>
      <c r="J221" s="1599">
        <v>1</v>
      </c>
      <c r="K221" s="1599">
        <v>1</v>
      </c>
      <c r="L221" s="1599">
        <v>1</v>
      </c>
      <c r="M221" s="1599">
        <v>1</v>
      </c>
    </row>
    <row r="222" spans="1:13">
      <c r="A222" s="1590">
        <v>1.6</v>
      </c>
      <c r="B222" s="1599">
        <v>1.1129</v>
      </c>
      <c r="C222" s="1599">
        <v>1.1129</v>
      </c>
      <c r="D222" s="1599">
        <v>1.1206</v>
      </c>
      <c r="E222" s="1599">
        <v>1.1206</v>
      </c>
      <c r="F222" s="1599">
        <v>1.1206</v>
      </c>
      <c r="G222" s="1599">
        <v>1.1206</v>
      </c>
      <c r="H222" s="1599">
        <v>1.1206</v>
      </c>
      <c r="I222" s="1599">
        <v>0.98240000000000005</v>
      </c>
      <c r="J222" s="1599">
        <v>0.98240000000000005</v>
      </c>
      <c r="K222" s="1599">
        <v>0.98240000000000005</v>
      </c>
      <c r="L222" s="1599">
        <v>0.98240000000000005</v>
      </c>
      <c r="M222" s="1599">
        <v>0.98240000000000005</v>
      </c>
    </row>
    <row r="223" spans="1:13">
      <c r="A223" s="1590">
        <v>1.7</v>
      </c>
      <c r="B223" s="1599">
        <v>1.0980000000000001</v>
      </c>
      <c r="C223" s="1599">
        <v>1.0980000000000001</v>
      </c>
      <c r="D223" s="1599">
        <v>1.1043000000000001</v>
      </c>
      <c r="E223" s="1599">
        <v>1.1043000000000001</v>
      </c>
      <c r="F223" s="1599">
        <v>1.1043000000000001</v>
      </c>
      <c r="G223" s="1599">
        <v>1.1043000000000001</v>
      </c>
      <c r="H223" s="1599">
        <v>1.1043000000000001</v>
      </c>
      <c r="I223" s="1599">
        <v>0.96579999999999999</v>
      </c>
      <c r="J223" s="1599">
        <v>0.96579999999999999</v>
      </c>
      <c r="K223" s="1599">
        <v>0.96579999999999999</v>
      </c>
      <c r="L223" s="1599">
        <v>0.96579999999999999</v>
      </c>
      <c r="M223" s="1599">
        <v>0.96579999999999999</v>
      </c>
    </row>
    <row r="224" spans="1:13">
      <c r="A224" s="1590">
        <v>1.8</v>
      </c>
      <c r="B224" s="1599">
        <v>1.0835999999999999</v>
      </c>
      <c r="C224" s="1599">
        <v>1.0835999999999999</v>
      </c>
      <c r="D224" s="1599">
        <v>1.0888</v>
      </c>
      <c r="E224" s="1599">
        <v>1.0888</v>
      </c>
      <c r="F224" s="1599">
        <v>1.0888</v>
      </c>
      <c r="G224" s="1599">
        <v>1.0888</v>
      </c>
      <c r="H224" s="1599">
        <v>1.0888</v>
      </c>
      <c r="I224" s="1599">
        <v>0.95030000000000003</v>
      </c>
      <c r="J224" s="1599">
        <v>0.95030000000000003</v>
      </c>
      <c r="K224" s="1599">
        <v>0.95030000000000003</v>
      </c>
      <c r="L224" s="1599">
        <v>0.95030000000000003</v>
      </c>
      <c r="M224" s="1599">
        <v>0.95030000000000003</v>
      </c>
    </row>
    <row r="225" spans="1:13">
      <c r="A225" s="1590">
        <v>1.9</v>
      </c>
      <c r="B225" s="1599">
        <v>1.0698000000000001</v>
      </c>
      <c r="C225" s="1599">
        <v>1.0698000000000001</v>
      </c>
      <c r="D225" s="1599">
        <v>1.0741000000000001</v>
      </c>
      <c r="E225" s="1599">
        <v>1.0741000000000001</v>
      </c>
      <c r="F225" s="1599">
        <v>1.0741000000000001</v>
      </c>
      <c r="G225" s="1599">
        <v>1.0741000000000001</v>
      </c>
      <c r="H225" s="1599">
        <v>1.0741000000000001</v>
      </c>
      <c r="I225" s="1599">
        <v>0.93610000000000004</v>
      </c>
      <c r="J225" s="1599">
        <v>0.93610000000000004</v>
      </c>
      <c r="K225" s="1599">
        <v>0.93610000000000004</v>
      </c>
      <c r="L225" s="1599">
        <v>0.93610000000000004</v>
      </c>
      <c r="M225" s="1599">
        <v>0.93610000000000004</v>
      </c>
    </row>
    <row r="226" spans="1:13">
      <c r="A226" s="1590">
        <v>2</v>
      </c>
      <c r="B226" s="1599">
        <v>1.0568</v>
      </c>
      <c r="C226" s="1599">
        <v>1.0568</v>
      </c>
      <c r="D226" s="1599">
        <v>1.0601</v>
      </c>
      <c r="E226" s="1599">
        <v>1.0601</v>
      </c>
      <c r="F226" s="1599">
        <v>1.0601</v>
      </c>
      <c r="G226" s="1599">
        <v>1.0601</v>
      </c>
      <c r="H226" s="1599">
        <v>1.0601</v>
      </c>
      <c r="I226" s="1599">
        <v>0.9224</v>
      </c>
      <c r="J226" s="1599">
        <v>0.9224</v>
      </c>
      <c r="K226" s="1599">
        <v>0.9224</v>
      </c>
      <c r="L226" s="1599">
        <v>0.9224</v>
      </c>
      <c r="M226" s="1599">
        <v>0.9224</v>
      </c>
    </row>
    <row r="227" spans="1:13">
      <c r="A227" s="1613">
        <v>2.1</v>
      </c>
      <c r="B227" s="1599">
        <v>1.0443</v>
      </c>
      <c r="C227" s="1599">
        <v>1.0443</v>
      </c>
      <c r="D227" s="1599">
        <v>1.0468</v>
      </c>
      <c r="E227" s="1599">
        <v>1.0468</v>
      </c>
      <c r="F227" s="1599">
        <v>1.0468</v>
      </c>
      <c r="G227" s="1599">
        <v>1.0468</v>
      </c>
      <c r="H227" s="1599">
        <v>1.0468</v>
      </c>
      <c r="I227" s="1599">
        <v>0.90959999999999996</v>
      </c>
      <c r="J227" s="1599">
        <v>0.90959999999999996</v>
      </c>
      <c r="K227" s="1599">
        <v>0.90959999999999996</v>
      </c>
      <c r="L227" s="1599">
        <v>0.90959999999999996</v>
      </c>
      <c r="M227" s="1599">
        <v>0.90959999999999996</v>
      </c>
    </row>
    <row r="228" spans="1:13">
      <c r="A228" s="1613">
        <v>2.2000000000000002</v>
      </c>
      <c r="B228" s="1599">
        <v>1.0325</v>
      </c>
      <c r="C228" s="1599">
        <v>1.0325</v>
      </c>
      <c r="D228" s="1599">
        <v>1.0342</v>
      </c>
      <c r="E228" s="1599">
        <v>1.0342</v>
      </c>
      <c r="F228" s="1599">
        <v>1.0342</v>
      </c>
      <c r="G228" s="1599">
        <v>1.0342</v>
      </c>
      <c r="H228" s="1599">
        <v>1.0342</v>
      </c>
      <c r="I228" s="1599">
        <v>0.89749999999999996</v>
      </c>
      <c r="J228" s="1599">
        <v>0.89749999999999996</v>
      </c>
      <c r="K228" s="1599">
        <v>0.89749999999999996</v>
      </c>
      <c r="L228" s="1599">
        <v>0.89749999999999996</v>
      </c>
      <c r="M228" s="1599">
        <v>0.89749999999999996</v>
      </c>
    </row>
    <row r="229" spans="1:13">
      <c r="A229" s="1613">
        <v>2.2999999999999998</v>
      </c>
      <c r="B229" s="1599">
        <v>1.0209999999999999</v>
      </c>
      <c r="C229" s="1599">
        <v>1.0209999999999999</v>
      </c>
      <c r="D229" s="1599">
        <v>1.0222</v>
      </c>
      <c r="E229" s="1599">
        <v>1.0222</v>
      </c>
      <c r="F229" s="1599">
        <v>1.0222</v>
      </c>
      <c r="G229" s="1599">
        <v>1.0222</v>
      </c>
      <c r="H229" s="1599">
        <v>1.0222</v>
      </c>
      <c r="I229" s="1599">
        <v>0.88619999999999999</v>
      </c>
      <c r="J229" s="1599">
        <v>0.88619999999999999</v>
      </c>
      <c r="K229" s="1599">
        <v>0.88619999999999999</v>
      </c>
      <c r="L229" s="1599">
        <v>0.88619999999999999</v>
      </c>
      <c r="M229" s="1599">
        <v>0.88619999999999999</v>
      </c>
    </row>
    <row r="230" spans="1:13">
      <c r="A230" s="1613">
        <v>2.4</v>
      </c>
      <c r="B230" s="1599">
        <v>1.0102</v>
      </c>
      <c r="C230" s="1599">
        <v>1.0102</v>
      </c>
      <c r="D230" s="1599">
        <v>1.0107999999999999</v>
      </c>
      <c r="E230" s="1599">
        <v>1.0107999999999999</v>
      </c>
      <c r="F230" s="1599">
        <v>1.0107999999999999</v>
      </c>
      <c r="G230" s="1599">
        <v>1.0107999999999999</v>
      </c>
      <c r="H230" s="1599">
        <v>1.0107999999999999</v>
      </c>
      <c r="I230" s="1599">
        <v>0.87529999999999997</v>
      </c>
      <c r="J230" s="1599">
        <v>0.87529999999999997</v>
      </c>
      <c r="K230" s="1599">
        <v>0.87529999999999997</v>
      </c>
      <c r="L230" s="1599">
        <v>0.87529999999999997</v>
      </c>
      <c r="M230" s="1599">
        <v>0.87529999999999997</v>
      </c>
    </row>
    <row r="231" spans="1:13">
      <c r="A231" s="1613">
        <v>2.5</v>
      </c>
      <c r="B231" s="1599">
        <v>1</v>
      </c>
      <c r="C231" s="1599">
        <v>1</v>
      </c>
      <c r="D231" s="1599">
        <v>1</v>
      </c>
      <c r="E231" s="1599">
        <v>1</v>
      </c>
      <c r="F231" s="1599">
        <v>1</v>
      </c>
      <c r="G231" s="1599">
        <v>1</v>
      </c>
      <c r="H231" s="1599">
        <v>1</v>
      </c>
      <c r="I231" s="1599">
        <v>0.86509999999999998</v>
      </c>
      <c r="J231" s="1599">
        <v>0.86509999999999998</v>
      </c>
      <c r="K231" s="1599">
        <v>0.86509999999999998</v>
      </c>
      <c r="L231" s="1599">
        <v>0.86509999999999998</v>
      </c>
      <c r="M231" s="1599">
        <v>0.86509999999999998</v>
      </c>
    </row>
    <row r="232" spans="1:13">
      <c r="A232" s="1613">
        <v>2.6</v>
      </c>
      <c r="B232" s="1599">
        <v>0.99029999999999996</v>
      </c>
      <c r="C232" s="1599">
        <v>0.99029999999999996</v>
      </c>
      <c r="D232" s="1599">
        <v>0.98970000000000002</v>
      </c>
      <c r="E232" s="1599">
        <v>0.98970000000000002</v>
      </c>
      <c r="F232" s="1599">
        <v>0.98970000000000002</v>
      </c>
      <c r="G232" s="1599">
        <v>0.98970000000000002</v>
      </c>
      <c r="H232" s="1599">
        <v>0.98970000000000002</v>
      </c>
      <c r="I232" s="1599">
        <v>0.85529999999999995</v>
      </c>
      <c r="J232" s="1599">
        <v>0.85529999999999995</v>
      </c>
      <c r="K232" s="1599">
        <v>0.85529999999999995</v>
      </c>
      <c r="L232" s="1599">
        <v>0.85529999999999995</v>
      </c>
      <c r="M232" s="1599">
        <v>0.85529999999999995</v>
      </c>
    </row>
    <row r="233" spans="1:13">
      <c r="A233" s="1613">
        <v>2.7</v>
      </c>
      <c r="B233" s="1599">
        <v>0.98109999999999997</v>
      </c>
      <c r="C233" s="1599">
        <v>0.98109999999999997</v>
      </c>
      <c r="D233" s="1599">
        <v>0.97989999999999999</v>
      </c>
      <c r="E233" s="1599">
        <v>0.97989999999999999</v>
      </c>
      <c r="F233" s="1599">
        <v>0.97989999999999999</v>
      </c>
      <c r="G233" s="1599">
        <v>0.97989999999999999</v>
      </c>
      <c r="H233" s="1599">
        <v>0.97989999999999999</v>
      </c>
      <c r="I233" s="1599">
        <v>0.84599999999999997</v>
      </c>
      <c r="J233" s="1599">
        <v>0.84599999999999997</v>
      </c>
      <c r="K233" s="1599">
        <v>0.84599999999999997</v>
      </c>
      <c r="L233" s="1599">
        <v>0.84599999999999997</v>
      </c>
      <c r="M233" s="1599">
        <v>0.84599999999999997</v>
      </c>
    </row>
    <row r="234" spans="1:13">
      <c r="A234" s="1613">
        <v>2.8</v>
      </c>
      <c r="B234" s="1599">
        <v>0.97240000000000004</v>
      </c>
      <c r="C234" s="1599">
        <v>0.97240000000000004</v>
      </c>
      <c r="D234" s="1599">
        <v>0.97060000000000002</v>
      </c>
      <c r="E234" s="1599">
        <v>0.97060000000000002</v>
      </c>
      <c r="F234" s="1599">
        <v>0.97060000000000002</v>
      </c>
      <c r="G234" s="1599">
        <v>0.97060000000000002</v>
      </c>
      <c r="H234" s="1599">
        <v>0.97060000000000002</v>
      </c>
      <c r="I234" s="1599">
        <v>0.83709999999999996</v>
      </c>
      <c r="J234" s="1599">
        <v>0.83709999999999996</v>
      </c>
      <c r="K234" s="1599">
        <v>0.83709999999999996</v>
      </c>
      <c r="L234" s="1599">
        <v>0.83709999999999996</v>
      </c>
      <c r="M234" s="1599">
        <v>0.83709999999999996</v>
      </c>
    </row>
    <row r="235" spans="1:13">
      <c r="A235" s="1613">
        <v>2.9</v>
      </c>
      <c r="B235" s="1599">
        <v>0.96419999999999995</v>
      </c>
      <c r="C235" s="1599">
        <v>0.96419999999999995</v>
      </c>
      <c r="D235" s="1599">
        <v>0.96179999999999999</v>
      </c>
      <c r="E235" s="1599">
        <v>0.96179999999999999</v>
      </c>
      <c r="F235" s="1599">
        <v>0.96179999999999999</v>
      </c>
      <c r="G235" s="1599">
        <v>0.96179999999999999</v>
      </c>
      <c r="H235" s="1599">
        <v>0.96179999999999999</v>
      </c>
      <c r="I235" s="1599">
        <v>0.82850000000000001</v>
      </c>
      <c r="J235" s="1599">
        <v>0.82850000000000001</v>
      </c>
      <c r="K235" s="1599">
        <v>0.82850000000000001</v>
      </c>
      <c r="L235" s="1599">
        <v>0.82850000000000001</v>
      </c>
      <c r="M235" s="1599">
        <v>0.82850000000000001</v>
      </c>
    </row>
    <row r="236" spans="1:13">
      <c r="A236" s="1613">
        <v>3</v>
      </c>
      <c r="B236" s="1599">
        <v>0.95640000000000003</v>
      </c>
      <c r="C236" s="1599">
        <v>0.95640000000000003</v>
      </c>
      <c r="D236" s="1599">
        <v>0.95340000000000003</v>
      </c>
      <c r="E236" s="1599">
        <v>0.95340000000000003</v>
      </c>
      <c r="F236" s="1599">
        <v>0.95340000000000003</v>
      </c>
      <c r="G236" s="1599">
        <v>0.95340000000000003</v>
      </c>
      <c r="H236" s="1599">
        <v>0.95340000000000003</v>
      </c>
      <c r="I236" s="1599">
        <v>0.82040000000000002</v>
      </c>
      <c r="J236" s="1599">
        <v>0.82040000000000002</v>
      </c>
      <c r="K236" s="1599">
        <v>0.82040000000000002</v>
      </c>
      <c r="L236" s="1599">
        <v>0.82040000000000002</v>
      </c>
      <c r="M236" s="1599">
        <v>0.82040000000000002</v>
      </c>
    </row>
    <row r="237" spans="1:13">
      <c r="A237" s="1613">
        <v>3.1</v>
      </c>
      <c r="B237" s="1599">
        <v>0.94899999999999995</v>
      </c>
      <c r="C237" s="1599">
        <v>0.94899999999999995</v>
      </c>
      <c r="D237" s="1599">
        <v>0.94550000000000001</v>
      </c>
      <c r="E237" s="1599">
        <v>0.94550000000000001</v>
      </c>
      <c r="F237" s="1599">
        <v>0.94550000000000001</v>
      </c>
      <c r="G237" s="1599">
        <v>0.94550000000000001</v>
      </c>
      <c r="H237" s="1599">
        <v>0.94550000000000001</v>
      </c>
      <c r="I237" s="1599">
        <v>0.81259999999999999</v>
      </c>
      <c r="J237" s="1599">
        <v>0.81259999999999999</v>
      </c>
      <c r="K237" s="1599">
        <v>0.81259999999999999</v>
      </c>
      <c r="L237" s="1599">
        <v>0.81259999999999999</v>
      </c>
      <c r="M237" s="1599">
        <v>0.81259999999999999</v>
      </c>
    </row>
    <row r="238" spans="1:13">
      <c r="A238" s="1613">
        <v>3.2</v>
      </c>
      <c r="B238" s="1599">
        <v>0.94199999999999995</v>
      </c>
      <c r="C238" s="1599">
        <v>0.94199999999999995</v>
      </c>
      <c r="D238" s="1599">
        <v>0.93789999999999996</v>
      </c>
      <c r="E238" s="1599">
        <v>0.93789999999999996</v>
      </c>
      <c r="F238" s="1599">
        <v>0.93789999999999996</v>
      </c>
      <c r="G238" s="1599">
        <v>0.93789999999999996</v>
      </c>
      <c r="H238" s="1599">
        <v>0.93789999999999996</v>
      </c>
      <c r="I238" s="1599">
        <v>0.80530000000000002</v>
      </c>
      <c r="J238" s="1599">
        <v>0.80530000000000002</v>
      </c>
      <c r="K238" s="1599">
        <v>0.80530000000000002</v>
      </c>
      <c r="L238" s="1599">
        <v>0.80530000000000002</v>
      </c>
      <c r="M238" s="1599">
        <v>0.80530000000000002</v>
      </c>
    </row>
    <row r="239" spans="1:13">
      <c r="A239" s="1613">
        <v>3.3</v>
      </c>
      <c r="B239" s="1599">
        <v>0.93540000000000001</v>
      </c>
      <c r="C239" s="1599">
        <v>0.93540000000000001</v>
      </c>
      <c r="D239" s="1599">
        <v>0.93069999999999997</v>
      </c>
      <c r="E239" s="1599">
        <v>0.93069999999999997</v>
      </c>
      <c r="F239" s="1599">
        <v>0.93069999999999997</v>
      </c>
      <c r="G239" s="1599">
        <v>0.93069999999999997</v>
      </c>
      <c r="H239" s="1599">
        <v>0.93069999999999997</v>
      </c>
      <c r="I239" s="1599">
        <v>0.79820000000000002</v>
      </c>
      <c r="J239" s="1599">
        <v>0.79820000000000002</v>
      </c>
      <c r="K239" s="1599">
        <v>0.79820000000000002</v>
      </c>
      <c r="L239" s="1599">
        <v>0.79820000000000002</v>
      </c>
      <c r="M239" s="1599">
        <v>0.79820000000000002</v>
      </c>
    </row>
    <row r="240" spans="1:13">
      <c r="A240" s="1613">
        <v>3.4</v>
      </c>
      <c r="B240" s="1599">
        <v>0.92920000000000003</v>
      </c>
      <c r="C240" s="1599">
        <v>0.92920000000000003</v>
      </c>
      <c r="D240" s="1599">
        <v>0.92390000000000005</v>
      </c>
      <c r="E240" s="1599">
        <v>0.92390000000000005</v>
      </c>
      <c r="F240" s="1599">
        <v>0.92390000000000005</v>
      </c>
      <c r="G240" s="1599">
        <v>0.92390000000000005</v>
      </c>
      <c r="H240" s="1599">
        <v>0.92390000000000005</v>
      </c>
      <c r="I240" s="1599">
        <v>0.79139999999999999</v>
      </c>
      <c r="J240" s="1599">
        <v>0.79139999999999999</v>
      </c>
      <c r="K240" s="1599">
        <v>0.79139999999999999</v>
      </c>
      <c r="L240" s="1599">
        <v>0.79139999999999999</v>
      </c>
      <c r="M240" s="1599">
        <v>0.79139999999999999</v>
      </c>
    </row>
    <row r="241" spans="1:13">
      <c r="A241" s="1613">
        <v>3.5</v>
      </c>
      <c r="B241" s="1599">
        <v>0.9234</v>
      </c>
      <c r="C241" s="1599">
        <v>0.9234</v>
      </c>
      <c r="D241" s="1599">
        <v>0.91749999999999998</v>
      </c>
      <c r="E241" s="1599">
        <v>0.91749999999999998</v>
      </c>
      <c r="F241" s="1599">
        <v>0.91749999999999998</v>
      </c>
      <c r="G241" s="1599">
        <v>0.91749999999999998</v>
      </c>
      <c r="H241" s="1599">
        <v>0.91749999999999998</v>
      </c>
      <c r="I241" s="1599">
        <v>0.78490000000000004</v>
      </c>
      <c r="J241" s="1599">
        <v>0.78490000000000004</v>
      </c>
      <c r="K241" s="1599">
        <v>0.78490000000000004</v>
      </c>
      <c r="L241" s="1599">
        <v>0.78490000000000004</v>
      </c>
      <c r="M241" s="1599">
        <v>0.78490000000000004</v>
      </c>
    </row>
    <row r="242" spans="1:13">
      <c r="A242" s="1613">
        <v>3.6</v>
      </c>
      <c r="B242" s="1599">
        <v>0.91790000000000005</v>
      </c>
      <c r="C242" s="1599">
        <v>0.91790000000000005</v>
      </c>
      <c r="D242" s="1599">
        <v>0.91139999999999999</v>
      </c>
      <c r="E242" s="1599">
        <v>0.91139999999999999</v>
      </c>
      <c r="F242" s="1599">
        <v>0.91139999999999999</v>
      </c>
      <c r="G242" s="1599">
        <v>0.91139999999999999</v>
      </c>
      <c r="H242" s="1599">
        <v>0.91139999999999999</v>
      </c>
      <c r="I242" s="1599">
        <v>0.77880000000000005</v>
      </c>
      <c r="J242" s="1599">
        <v>0.77880000000000005</v>
      </c>
      <c r="K242" s="1599">
        <v>0.77880000000000005</v>
      </c>
      <c r="L242" s="1599">
        <v>0.77880000000000005</v>
      </c>
      <c r="M242" s="1599">
        <v>0.77880000000000005</v>
      </c>
    </row>
    <row r="243" spans="1:13">
      <c r="A243" s="1613">
        <v>3.7</v>
      </c>
      <c r="B243" s="1599">
        <v>0.91269999999999996</v>
      </c>
      <c r="C243" s="1599">
        <v>0.91269999999999996</v>
      </c>
      <c r="D243" s="1599">
        <v>0.90559999999999996</v>
      </c>
      <c r="E243" s="1599">
        <v>0.90559999999999996</v>
      </c>
      <c r="F243" s="1599">
        <v>0.90559999999999996</v>
      </c>
      <c r="G243" s="1599">
        <v>0.90559999999999996</v>
      </c>
      <c r="H243" s="1599">
        <v>0.90559999999999996</v>
      </c>
      <c r="I243" s="1599">
        <v>0.77300000000000002</v>
      </c>
      <c r="J243" s="1599">
        <v>0.77300000000000002</v>
      </c>
      <c r="K243" s="1599">
        <v>0.77300000000000002</v>
      </c>
      <c r="L243" s="1599">
        <v>0.77300000000000002</v>
      </c>
      <c r="M243" s="1599">
        <v>0.77300000000000002</v>
      </c>
    </row>
    <row r="244" spans="1:13">
      <c r="A244" s="1613">
        <v>3.8</v>
      </c>
      <c r="B244" s="1599">
        <v>0.90780000000000005</v>
      </c>
      <c r="C244" s="1599">
        <v>0.90780000000000005</v>
      </c>
      <c r="D244" s="1599">
        <v>0.90010000000000001</v>
      </c>
      <c r="E244" s="1599">
        <v>0.90010000000000001</v>
      </c>
      <c r="F244" s="1599">
        <v>0.90010000000000001</v>
      </c>
      <c r="G244" s="1599">
        <v>0.90010000000000001</v>
      </c>
      <c r="H244" s="1599">
        <v>0.90010000000000001</v>
      </c>
      <c r="I244" s="1599">
        <v>0.76739999999999997</v>
      </c>
      <c r="J244" s="1599">
        <v>0.76739999999999997</v>
      </c>
      <c r="K244" s="1599">
        <v>0.76739999999999997</v>
      </c>
      <c r="L244" s="1599">
        <v>0.76739999999999997</v>
      </c>
      <c r="M244" s="1599">
        <v>0.76739999999999997</v>
      </c>
    </row>
    <row r="245" spans="1:13">
      <c r="A245" s="1613">
        <v>3.9</v>
      </c>
      <c r="B245" s="1599">
        <v>0.9032</v>
      </c>
      <c r="C245" s="1599">
        <v>0.9032</v>
      </c>
      <c r="D245" s="1599">
        <v>0.89490000000000003</v>
      </c>
      <c r="E245" s="1599">
        <v>0.89490000000000003</v>
      </c>
      <c r="F245" s="1599">
        <v>0.89490000000000003</v>
      </c>
      <c r="G245" s="1599">
        <v>0.89490000000000003</v>
      </c>
      <c r="H245" s="1599">
        <v>0.89490000000000003</v>
      </c>
      <c r="I245" s="1599">
        <v>0.7621</v>
      </c>
      <c r="J245" s="1599">
        <v>0.7621</v>
      </c>
      <c r="K245" s="1599">
        <v>0.7621</v>
      </c>
      <c r="L245" s="1599">
        <v>0.7621</v>
      </c>
      <c r="M245" s="1599">
        <v>0.7621</v>
      </c>
    </row>
    <row r="246" spans="1:13">
      <c r="A246" s="1613">
        <v>4</v>
      </c>
      <c r="B246" s="1599">
        <v>0.89890000000000003</v>
      </c>
      <c r="C246" s="1599">
        <v>0.89890000000000003</v>
      </c>
      <c r="D246" s="1599">
        <v>0.89</v>
      </c>
      <c r="E246" s="1599">
        <v>0.89</v>
      </c>
      <c r="F246" s="1599">
        <v>0.89</v>
      </c>
      <c r="G246" s="1599">
        <v>0.89</v>
      </c>
      <c r="H246" s="1599">
        <v>0.89</v>
      </c>
      <c r="I246" s="1599">
        <v>0.7571</v>
      </c>
      <c r="J246" s="1599">
        <v>0.7571</v>
      </c>
      <c r="K246" s="1599">
        <v>0.7571</v>
      </c>
      <c r="L246" s="1599">
        <v>0.7571</v>
      </c>
      <c r="M246" s="1599">
        <v>0.7571</v>
      </c>
    </row>
    <row r="247" spans="1:13">
      <c r="A247" s="1613">
        <v>4.0999999999999996</v>
      </c>
      <c r="B247" s="1599">
        <v>0.89480000000000004</v>
      </c>
      <c r="C247" s="1599">
        <v>0.89480000000000004</v>
      </c>
      <c r="D247" s="1599">
        <v>0.88539999999999996</v>
      </c>
      <c r="E247" s="1599">
        <v>0.88539999999999996</v>
      </c>
      <c r="F247" s="1599">
        <v>0.88539999999999996</v>
      </c>
      <c r="G247" s="1599">
        <v>0.88539999999999996</v>
      </c>
      <c r="H247" s="1599">
        <v>0.88539999999999996</v>
      </c>
      <c r="I247" s="1599">
        <v>0.75229999999999997</v>
      </c>
      <c r="J247" s="1599">
        <v>0.75229999999999997</v>
      </c>
      <c r="K247" s="1599">
        <v>0.75229999999999997</v>
      </c>
      <c r="L247" s="1599">
        <v>0.75229999999999997</v>
      </c>
      <c r="M247" s="1599">
        <v>0.75229999999999997</v>
      </c>
    </row>
    <row r="248" spans="1:13">
      <c r="A248" s="1613">
        <v>4.2</v>
      </c>
      <c r="B248" s="1599">
        <v>0.89100000000000001</v>
      </c>
      <c r="C248" s="1599">
        <v>0.89100000000000001</v>
      </c>
      <c r="D248" s="1599">
        <v>0.88109999999999999</v>
      </c>
      <c r="E248" s="1599">
        <v>0.88109999999999999</v>
      </c>
      <c r="F248" s="1599">
        <v>0.88109999999999999</v>
      </c>
      <c r="G248" s="1599">
        <v>0.88109999999999999</v>
      </c>
      <c r="H248" s="1599">
        <v>0.88109999999999999</v>
      </c>
      <c r="I248" s="1599">
        <v>0.74780000000000002</v>
      </c>
      <c r="J248" s="1599">
        <v>0.74780000000000002</v>
      </c>
      <c r="K248" s="1599">
        <v>0.74780000000000002</v>
      </c>
      <c r="L248" s="1599">
        <v>0.74780000000000002</v>
      </c>
      <c r="M248" s="1599">
        <v>0.74780000000000002</v>
      </c>
    </row>
    <row r="249" spans="1:13">
      <c r="A249" s="1613">
        <v>4.3</v>
      </c>
      <c r="B249" s="1599">
        <v>0.88739999999999997</v>
      </c>
      <c r="C249" s="1599">
        <v>0.88739999999999997</v>
      </c>
      <c r="D249" s="1599">
        <v>0.877</v>
      </c>
      <c r="E249" s="1599">
        <v>0.877</v>
      </c>
      <c r="F249" s="1599">
        <v>0.877</v>
      </c>
      <c r="G249" s="1599">
        <v>0.877</v>
      </c>
      <c r="H249" s="1599">
        <v>0.877</v>
      </c>
      <c r="I249" s="1599">
        <v>0.74329999999999996</v>
      </c>
      <c r="J249" s="1599">
        <v>0.74329999999999996</v>
      </c>
      <c r="K249" s="1599">
        <v>0.74329999999999996</v>
      </c>
      <c r="L249" s="1599">
        <v>0.74329999999999996</v>
      </c>
      <c r="M249" s="1599">
        <v>0.74329999999999996</v>
      </c>
    </row>
    <row r="250" spans="1:13">
      <c r="A250" s="1613">
        <v>4.4000000000000004</v>
      </c>
      <c r="B250" s="1599">
        <v>0.88400000000000001</v>
      </c>
      <c r="C250" s="1599">
        <v>0.88400000000000001</v>
      </c>
      <c r="D250" s="1599">
        <v>0.87309999999999999</v>
      </c>
      <c r="E250" s="1599">
        <v>0.87309999999999999</v>
      </c>
      <c r="F250" s="1599">
        <v>0.87309999999999999</v>
      </c>
      <c r="G250" s="1599">
        <v>0.87309999999999999</v>
      </c>
      <c r="H250" s="1599">
        <v>0.87309999999999999</v>
      </c>
      <c r="I250" s="1599">
        <v>0.73909999999999998</v>
      </c>
      <c r="J250" s="1599">
        <v>0.73909999999999998</v>
      </c>
      <c r="K250" s="1599">
        <v>0.73909999999999998</v>
      </c>
      <c r="L250" s="1599">
        <v>0.73909999999999998</v>
      </c>
      <c r="M250" s="1599">
        <v>0.73909999999999998</v>
      </c>
    </row>
    <row r="251" spans="1:13">
      <c r="A251" s="1613">
        <v>4.5</v>
      </c>
      <c r="B251" s="1599">
        <v>0.88080000000000003</v>
      </c>
      <c r="C251" s="1599">
        <v>0.88080000000000003</v>
      </c>
      <c r="D251" s="1599">
        <v>0.86939999999999995</v>
      </c>
      <c r="E251" s="1599">
        <v>0.86939999999999995</v>
      </c>
      <c r="F251" s="1599">
        <v>0.86939999999999995</v>
      </c>
      <c r="G251" s="1599">
        <v>0.86939999999999995</v>
      </c>
      <c r="H251" s="1599">
        <v>0.86939999999999995</v>
      </c>
      <c r="I251" s="1599">
        <v>0.73499999999999999</v>
      </c>
      <c r="J251" s="1599">
        <v>0.73499999999999999</v>
      </c>
      <c r="K251" s="1599">
        <v>0.73499999999999999</v>
      </c>
      <c r="L251" s="1599">
        <v>0.73499999999999999</v>
      </c>
      <c r="M251" s="1599">
        <v>0.73499999999999999</v>
      </c>
    </row>
    <row r="252" spans="1:13">
      <c r="A252" s="1613">
        <v>4.5999999999999996</v>
      </c>
      <c r="B252" s="1599">
        <v>0.87780000000000002</v>
      </c>
      <c r="C252" s="1599">
        <v>0.87780000000000002</v>
      </c>
      <c r="D252" s="1599">
        <v>0.8659</v>
      </c>
      <c r="E252" s="1599">
        <v>0.8659</v>
      </c>
      <c r="F252" s="1599">
        <v>0.8659</v>
      </c>
      <c r="G252" s="1599">
        <v>0.8659</v>
      </c>
      <c r="H252" s="1599">
        <v>0.8659</v>
      </c>
      <c r="I252" s="1599">
        <v>0.73109999999999997</v>
      </c>
      <c r="J252" s="1599">
        <v>0.73109999999999997</v>
      </c>
      <c r="K252" s="1599">
        <v>0.73109999999999997</v>
      </c>
      <c r="L252" s="1599">
        <v>0.73109999999999997</v>
      </c>
      <c r="M252" s="1599">
        <v>0.73109999999999997</v>
      </c>
    </row>
    <row r="253" spans="1:13">
      <c r="A253" s="1613">
        <v>4.7</v>
      </c>
      <c r="B253" s="1599">
        <v>0.875</v>
      </c>
      <c r="C253" s="1599">
        <v>0.875</v>
      </c>
      <c r="D253" s="1599">
        <v>0.86260000000000003</v>
      </c>
      <c r="E253" s="1599">
        <v>0.86260000000000003</v>
      </c>
      <c r="F253" s="1599">
        <v>0.86260000000000003</v>
      </c>
      <c r="G253" s="1599">
        <v>0.86260000000000003</v>
      </c>
      <c r="H253" s="1599">
        <v>0.86260000000000003</v>
      </c>
      <c r="I253" s="1599">
        <v>0.72750000000000004</v>
      </c>
      <c r="J253" s="1599">
        <v>0.72750000000000004</v>
      </c>
      <c r="K253" s="1599">
        <v>0.72750000000000004</v>
      </c>
      <c r="L253" s="1599">
        <v>0.72750000000000004</v>
      </c>
      <c r="M253" s="1599">
        <v>0.72750000000000004</v>
      </c>
    </row>
    <row r="254" spans="1:13">
      <c r="A254" s="1613">
        <v>4.8</v>
      </c>
      <c r="B254" s="1599">
        <v>0.87229999999999996</v>
      </c>
      <c r="C254" s="1599">
        <v>0.87229999999999996</v>
      </c>
      <c r="D254" s="1599">
        <v>0.85950000000000004</v>
      </c>
      <c r="E254" s="1599">
        <v>0.85950000000000004</v>
      </c>
      <c r="F254" s="1599">
        <v>0.85950000000000004</v>
      </c>
      <c r="G254" s="1599">
        <v>0.85950000000000004</v>
      </c>
      <c r="H254" s="1599">
        <v>0.85950000000000004</v>
      </c>
      <c r="I254" s="1599">
        <v>0.72399999999999998</v>
      </c>
      <c r="J254" s="1599">
        <v>0.72399999999999998</v>
      </c>
      <c r="K254" s="1599">
        <v>0.72399999999999998</v>
      </c>
      <c r="L254" s="1599">
        <v>0.72399999999999998</v>
      </c>
      <c r="M254" s="1599">
        <v>0.72399999999999998</v>
      </c>
    </row>
    <row r="255" spans="1:13">
      <c r="A255" s="1613">
        <v>4.9000000000000004</v>
      </c>
      <c r="B255" s="1599">
        <v>0.86980000000000002</v>
      </c>
      <c r="C255" s="1599">
        <v>0.86980000000000002</v>
      </c>
      <c r="D255" s="1599">
        <v>0.85660000000000003</v>
      </c>
      <c r="E255" s="1599">
        <v>0.85660000000000003</v>
      </c>
      <c r="F255" s="1599">
        <v>0.85660000000000003</v>
      </c>
      <c r="G255" s="1599">
        <v>0.85660000000000003</v>
      </c>
      <c r="H255" s="1599">
        <v>0.85660000000000003</v>
      </c>
      <c r="I255" s="1599">
        <v>0.7208</v>
      </c>
      <c r="J255" s="1599">
        <v>0.7208</v>
      </c>
      <c r="K255" s="1599">
        <v>0.7208</v>
      </c>
      <c r="L255" s="1599">
        <v>0.7208</v>
      </c>
      <c r="M255" s="1599">
        <v>0.7208</v>
      </c>
    </row>
    <row r="256" spans="1:13">
      <c r="A256" s="1613">
        <v>5</v>
      </c>
      <c r="B256" s="1599">
        <v>0.86739999999999995</v>
      </c>
      <c r="C256" s="1599">
        <v>0.86739999999999995</v>
      </c>
      <c r="D256" s="1599">
        <v>0.8538</v>
      </c>
      <c r="E256" s="1599">
        <v>0.8538</v>
      </c>
      <c r="F256" s="1599">
        <v>0.8538</v>
      </c>
      <c r="G256" s="1599">
        <v>0.8538</v>
      </c>
      <c r="H256" s="1599">
        <v>0.8538</v>
      </c>
      <c r="I256" s="1599">
        <v>0.71760000000000002</v>
      </c>
      <c r="J256" s="1599">
        <v>0.71760000000000002</v>
      </c>
      <c r="K256" s="1599">
        <v>0.71760000000000002</v>
      </c>
      <c r="L256" s="1599">
        <v>0.71760000000000002</v>
      </c>
      <c r="M256" s="1599">
        <v>0.71760000000000002</v>
      </c>
    </row>
    <row r="257" spans="1:13">
      <c r="A257" s="1590">
        <v>5.0999999999999996</v>
      </c>
      <c r="B257" s="1599">
        <v>0.86519999999999997</v>
      </c>
      <c r="C257" s="1599">
        <v>0.86519999999999997</v>
      </c>
      <c r="D257" s="1599">
        <v>0.85109999999999997</v>
      </c>
      <c r="E257" s="1599">
        <v>0.85109999999999997</v>
      </c>
      <c r="F257" s="1599">
        <v>0.85109999999999997</v>
      </c>
      <c r="G257" s="1599">
        <v>0.85109999999999997</v>
      </c>
      <c r="H257" s="1599">
        <v>0.85109999999999997</v>
      </c>
      <c r="I257" s="1599">
        <v>0.7147</v>
      </c>
      <c r="J257" s="1599">
        <v>0.7147</v>
      </c>
      <c r="K257" s="1599">
        <v>0.7147</v>
      </c>
      <c r="L257" s="1599">
        <v>0.7147</v>
      </c>
      <c r="M257" s="1599">
        <v>0.7147</v>
      </c>
    </row>
    <row r="258" spans="1:13">
      <c r="A258" s="1590">
        <v>5.2</v>
      </c>
      <c r="B258" s="1599">
        <v>0.86309999999999998</v>
      </c>
      <c r="C258" s="1599">
        <v>0.86309999999999998</v>
      </c>
      <c r="D258" s="1599">
        <v>0.84860000000000002</v>
      </c>
      <c r="E258" s="1599">
        <v>0.84860000000000002</v>
      </c>
      <c r="F258" s="1599">
        <v>0.84860000000000002</v>
      </c>
      <c r="G258" s="1599">
        <v>0.84860000000000002</v>
      </c>
      <c r="H258" s="1599">
        <v>0.84860000000000002</v>
      </c>
      <c r="I258" s="1599">
        <v>0.71189999999999998</v>
      </c>
      <c r="J258" s="1599">
        <v>0.71189999999999998</v>
      </c>
      <c r="K258" s="1599">
        <v>0.71189999999999998</v>
      </c>
      <c r="L258" s="1599">
        <v>0.71189999999999998</v>
      </c>
      <c r="M258" s="1599">
        <v>0.71189999999999998</v>
      </c>
    </row>
    <row r="259" spans="1:13">
      <c r="A259" s="1590">
        <v>5.3</v>
      </c>
      <c r="B259" s="1599">
        <v>0.86119999999999997</v>
      </c>
      <c r="C259" s="1599">
        <v>0.86119999999999997</v>
      </c>
      <c r="D259" s="1599">
        <v>0.84619999999999995</v>
      </c>
      <c r="E259" s="1599">
        <v>0.84619999999999995</v>
      </c>
      <c r="F259" s="1599">
        <v>0.84619999999999995</v>
      </c>
      <c r="G259" s="1599">
        <v>0.84619999999999995</v>
      </c>
      <c r="H259" s="1599">
        <v>0.84619999999999995</v>
      </c>
      <c r="I259" s="1599">
        <v>0.70909999999999995</v>
      </c>
      <c r="J259" s="1599">
        <v>0.70909999999999995</v>
      </c>
      <c r="K259" s="1599">
        <v>0.70909999999999995</v>
      </c>
      <c r="L259" s="1599">
        <v>0.70909999999999995</v>
      </c>
      <c r="M259" s="1599">
        <v>0.70909999999999995</v>
      </c>
    </row>
    <row r="260" spans="1:13">
      <c r="A260" s="1590">
        <v>5.4</v>
      </c>
      <c r="B260" s="1599">
        <v>0.85940000000000005</v>
      </c>
      <c r="C260" s="1599">
        <v>0.85940000000000005</v>
      </c>
      <c r="D260" s="1599">
        <v>0.84389999999999998</v>
      </c>
      <c r="E260" s="1599">
        <v>0.84389999999999998</v>
      </c>
      <c r="F260" s="1599">
        <v>0.84389999999999998</v>
      </c>
      <c r="G260" s="1599">
        <v>0.84389999999999998</v>
      </c>
      <c r="H260" s="1599">
        <v>0.84389999999999998</v>
      </c>
      <c r="I260" s="1599">
        <v>0.70650000000000002</v>
      </c>
      <c r="J260" s="1599">
        <v>0.70650000000000002</v>
      </c>
      <c r="K260" s="1599">
        <v>0.70650000000000002</v>
      </c>
      <c r="L260" s="1599">
        <v>0.70650000000000002</v>
      </c>
      <c r="M260" s="1599">
        <v>0.70650000000000002</v>
      </c>
    </row>
    <row r="261" spans="1:13">
      <c r="A261" s="1590">
        <v>5.5</v>
      </c>
      <c r="B261" s="1599">
        <v>0.85770000000000002</v>
      </c>
      <c r="C261" s="1599">
        <v>0.85770000000000002</v>
      </c>
      <c r="D261" s="1599">
        <v>0.84179999999999999</v>
      </c>
      <c r="E261" s="1599">
        <v>0.84179999999999999</v>
      </c>
      <c r="F261" s="1599">
        <v>0.84179999999999999</v>
      </c>
      <c r="G261" s="1599">
        <v>0.84179999999999999</v>
      </c>
      <c r="H261" s="1599">
        <v>0.84179999999999999</v>
      </c>
      <c r="I261" s="1599">
        <v>0.70399999999999996</v>
      </c>
      <c r="J261" s="1599">
        <v>0.70399999999999996</v>
      </c>
      <c r="K261" s="1599">
        <v>0.70399999999999996</v>
      </c>
      <c r="L261" s="1599">
        <v>0.70399999999999996</v>
      </c>
      <c r="M261" s="1599">
        <v>0.70399999999999996</v>
      </c>
    </row>
    <row r="262" spans="1:13">
      <c r="A262" s="1590">
        <v>5.6</v>
      </c>
      <c r="B262" s="1599">
        <v>0.85599999999999998</v>
      </c>
      <c r="C262" s="1599">
        <v>0.85599999999999998</v>
      </c>
      <c r="D262" s="1599">
        <v>0.83979999999999999</v>
      </c>
      <c r="E262" s="1599">
        <v>0.83979999999999999</v>
      </c>
      <c r="F262" s="1599">
        <v>0.83979999999999999</v>
      </c>
      <c r="G262" s="1599">
        <v>0.83979999999999999</v>
      </c>
      <c r="H262" s="1599">
        <v>0.83979999999999999</v>
      </c>
      <c r="I262" s="1599">
        <v>0.7016</v>
      </c>
      <c r="J262" s="1599">
        <v>0.7016</v>
      </c>
      <c r="K262" s="1599">
        <v>0.7016</v>
      </c>
      <c r="L262" s="1599">
        <v>0.7016</v>
      </c>
      <c r="M262" s="1599">
        <v>0.7016</v>
      </c>
    </row>
    <row r="263" spans="1:13">
      <c r="A263" s="1613">
        <v>5.7</v>
      </c>
      <c r="B263" s="1599">
        <v>0.85440000000000005</v>
      </c>
      <c r="C263" s="1599">
        <v>0.85440000000000005</v>
      </c>
      <c r="D263" s="1599">
        <v>0.83789999999999998</v>
      </c>
      <c r="E263" s="1599">
        <v>0.83789999999999998</v>
      </c>
      <c r="F263" s="1599">
        <v>0.83789999999999998</v>
      </c>
      <c r="G263" s="1599">
        <v>0.83789999999999998</v>
      </c>
      <c r="H263" s="1599">
        <v>0.83789999999999998</v>
      </c>
      <c r="I263" s="1599">
        <v>0.69940000000000002</v>
      </c>
      <c r="J263" s="1599">
        <v>0.69940000000000002</v>
      </c>
      <c r="K263" s="1599">
        <v>0.69940000000000002</v>
      </c>
      <c r="L263" s="1599">
        <v>0.69940000000000002</v>
      </c>
      <c r="M263" s="1599">
        <v>0.69940000000000002</v>
      </c>
    </row>
    <row r="264" spans="1:13">
      <c r="A264" s="1590">
        <v>5.8</v>
      </c>
      <c r="B264" s="1599">
        <v>0.85289999999999999</v>
      </c>
      <c r="C264" s="1599">
        <v>0.85289999999999999</v>
      </c>
      <c r="D264" s="1599">
        <v>0.83599999999999997</v>
      </c>
      <c r="E264" s="1599">
        <v>0.83599999999999997</v>
      </c>
      <c r="F264" s="1599">
        <v>0.83599999999999997</v>
      </c>
      <c r="G264" s="1599">
        <v>0.83599999999999997</v>
      </c>
      <c r="H264" s="1599">
        <v>0.83599999999999997</v>
      </c>
      <c r="I264" s="1599">
        <v>0.69720000000000004</v>
      </c>
      <c r="J264" s="1599">
        <v>0.69720000000000004</v>
      </c>
      <c r="K264" s="1599">
        <v>0.69720000000000004</v>
      </c>
      <c r="L264" s="1599">
        <v>0.69720000000000004</v>
      </c>
      <c r="M264" s="1599">
        <v>0.69720000000000004</v>
      </c>
    </row>
    <row r="265" spans="1:13">
      <c r="A265" s="1590">
        <v>5.9</v>
      </c>
      <c r="B265" s="1599">
        <v>0.85150000000000003</v>
      </c>
      <c r="C265" s="1599">
        <v>0.85150000000000003</v>
      </c>
      <c r="D265" s="1599">
        <v>0.83430000000000004</v>
      </c>
      <c r="E265" s="1599">
        <v>0.83430000000000004</v>
      </c>
      <c r="F265" s="1599">
        <v>0.83430000000000004</v>
      </c>
      <c r="G265" s="1599">
        <v>0.83430000000000004</v>
      </c>
      <c r="H265" s="1599">
        <v>0.83430000000000004</v>
      </c>
      <c r="I265" s="1599">
        <v>0.69520000000000004</v>
      </c>
      <c r="J265" s="1599">
        <v>0.69520000000000004</v>
      </c>
      <c r="K265" s="1599">
        <v>0.69520000000000004</v>
      </c>
      <c r="L265" s="1599">
        <v>0.69520000000000004</v>
      </c>
      <c r="M265" s="1599">
        <v>0.69520000000000004</v>
      </c>
    </row>
    <row r="266" spans="1:13">
      <c r="A266" s="1590">
        <v>6</v>
      </c>
      <c r="B266" s="1599">
        <v>0.85019999999999996</v>
      </c>
      <c r="C266" s="1599">
        <v>0.85019999999999996</v>
      </c>
      <c r="D266" s="1599">
        <v>0.8327</v>
      </c>
      <c r="E266" s="1599">
        <v>0.8327</v>
      </c>
      <c r="F266" s="1599">
        <v>0.8327</v>
      </c>
      <c r="G266" s="1599">
        <v>0.8327</v>
      </c>
      <c r="H266" s="1599">
        <v>0.8327</v>
      </c>
      <c r="I266" s="1599">
        <v>0.69320000000000004</v>
      </c>
      <c r="J266" s="1599">
        <v>0.69320000000000004</v>
      </c>
      <c r="K266" s="1599">
        <v>0.69320000000000004</v>
      </c>
      <c r="L266" s="1599">
        <v>0.69320000000000004</v>
      </c>
      <c r="M266" s="1599">
        <v>0.69320000000000004</v>
      </c>
    </row>
    <row r="267" spans="1:13">
      <c r="A267" s="1590">
        <v>6.1</v>
      </c>
      <c r="B267" s="1599">
        <v>0.84899999999999998</v>
      </c>
      <c r="C267" s="1599">
        <v>0.84899999999999998</v>
      </c>
      <c r="D267" s="1599">
        <v>0.83109999999999995</v>
      </c>
      <c r="E267" s="1599">
        <v>0.83109999999999995</v>
      </c>
      <c r="F267" s="1599">
        <v>0.83109999999999995</v>
      </c>
      <c r="G267" s="1599">
        <v>0.83109999999999995</v>
      </c>
      <c r="H267" s="1599">
        <v>0.83109999999999995</v>
      </c>
      <c r="I267" s="1599">
        <v>0.69130000000000003</v>
      </c>
      <c r="J267" s="1599">
        <v>0.69130000000000003</v>
      </c>
      <c r="K267" s="1599">
        <v>0.69130000000000003</v>
      </c>
      <c r="L267" s="1599">
        <v>0.69130000000000003</v>
      </c>
      <c r="M267" s="1599">
        <v>0.69130000000000003</v>
      </c>
    </row>
    <row r="268" spans="1:13">
      <c r="A268" s="1590">
        <v>6.2</v>
      </c>
      <c r="B268" s="1599">
        <v>0.8478</v>
      </c>
      <c r="C268" s="1599">
        <v>0.8478</v>
      </c>
      <c r="D268" s="1599">
        <v>0.8296</v>
      </c>
      <c r="E268" s="1599">
        <v>0.8296</v>
      </c>
      <c r="F268" s="1599">
        <v>0.8296</v>
      </c>
      <c r="G268" s="1599">
        <v>0.8296</v>
      </c>
      <c r="H268" s="1599">
        <v>0.8296</v>
      </c>
      <c r="I268" s="1599">
        <v>0.68940000000000001</v>
      </c>
      <c r="J268" s="1599">
        <v>0.68940000000000001</v>
      </c>
      <c r="K268" s="1599">
        <v>0.68940000000000001</v>
      </c>
      <c r="L268" s="1599">
        <v>0.68940000000000001</v>
      </c>
      <c r="M268" s="1599">
        <v>0.68940000000000001</v>
      </c>
    </row>
    <row r="269" spans="1:13">
      <c r="A269" s="1590">
        <v>6.3</v>
      </c>
      <c r="B269" s="1599">
        <v>0.84670000000000001</v>
      </c>
      <c r="C269" s="1599">
        <v>0.84670000000000001</v>
      </c>
      <c r="D269" s="1599">
        <v>0.82820000000000005</v>
      </c>
      <c r="E269" s="1599">
        <v>0.82820000000000005</v>
      </c>
      <c r="F269" s="1599">
        <v>0.82820000000000005</v>
      </c>
      <c r="G269" s="1599">
        <v>0.82820000000000005</v>
      </c>
      <c r="H269" s="1599">
        <v>0.82820000000000005</v>
      </c>
      <c r="I269" s="1599">
        <v>0.68769999999999998</v>
      </c>
      <c r="J269" s="1599">
        <v>0.68769999999999998</v>
      </c>
      <c r="K269" s="1599">
        <v>0.68769999999999998</v>
      </c>
      <c r="L269" s="1599">
        <v>0.68769999999999998</v>
      </c>
      <c r="M269" s="1599">
        <v>0.68769999999999998</v>
      </c>
    </row>
    <row r="270" spans="1:13">
      <c r="A270" s="1590">
        <v>6.4</v>
      </c>
      <c r="B270" s="1599">
        <v>0.84570000000000001</v>
      </c>
      <c r="C270" s="1599">
        <v>0.84570000000000001</v>
      </c>
      <c r="D270" s="1599">
        <v>0.82689999999999997</v>
      </c>
      <c r="E270" s="1599">
        <v>0.82689999999999997</v>
      </c>
      <c r="F270" s="1599">
        <v>0.82689999999999997</v>
      </c>
      <c r="G270" s="1599">
        <v>0.82689999999999997</v>
      </c>
      <c r="H270" s="1599">
        <v>0.82689999999999997</v>
      </c>
      <c r="I270" s="1599">
        <v>0.68610000000000004</v>
      </c>
      <c r="J270" s="1599">
        <v>0.68610000000000004</v>
      </c>
      <c r="K270" s="1599">
        <v>0.68610000000000004</v>
      </c>
      <c r="L270" s="1599">
        <v>0.68610000000000004</v>
      </c>
      <c r="M270" s="1599">
        <v>0.68610000000000004</v>
      </c>
    </row>
    <row r="271" spans="1:13">
      <c r="A271" s="1590">
        <v>6.5</v>
      </c>
      <c r="B271" s="1599">
        <v>0.84470000000000001</v>
      </c>
      <c r="C271" s="1599">
        <v>0.84470000000000001</v>
      </c>
      <c r="D271" s="1599">
        <v>0.82569999999999999</v>
      </c>
      <c r="E271" s="1599">
        <v>0.82569999999999999</v>
      </c>
      <c r="F271" s="1599">
        <v>0.82569999999999999</v>
      </c>
      <c r="G271" s="1599">
        <v>0.82569999999999999</v>
      </c>
      <c r="H271" s="1599">
        <v>0.82569999999999999</v>
      </c>
      <c r="I271" s="1599">
        <v>0.68440000000000001</v>
      </c>
      <c r="J271" s="1599">
        <v>0.68440000000000001</v>
      </c>
      <c r="K271" s="1599">
        <v>0.68440000000000001</v>
      </c>
      <c r="L271" s="1599">
        <v>0.68440000000000001</v>
      </c>
      <c r="M271" s="1599">
        <v>0.68440000000000001</v>
      </c>
    </row>
    <row r="272" spans="1:13">
      <c r="A272" s="1590">
        <v>6.6</v>
      </c>
      <c r="B272" s="1599">
        <v>0.84370000000000001</v>
      </c>
      <c r="C272" s="1599">
        <v>0.84370000000000001</v>
      </c>
      <c r="D272" s="1599">
        <v>0.82450000000000001</v>
      </c>
      <c r="E272" s="1599">
        <v>0.82450000000000001</v>
      </c>
      <c r="F272" s="1599">
        <v>0.82450000000000001</v>
      </c>
      <c r="G272" s="1599">
        <v>0.82450000000000001</v>
      </c>
      <c r="H272" s="1599">
        <v>0.82450000000000001</v>
      </c>
      <c r="I272" s="1599">
        <v>0.68289999999999995</v>
      </c>
      <c r="J272" s="1599">
        <v>0.68289999999999995</v>
      </c>
      <c r="K272" s="1599">
        <v>0.68289999999999995</v>
      </c>
      <c r="L272" s="1599">
        <v>0.68289999999999995</v>
      </c>
      <c r="M272" s="1599">
        <v>0.68289999999999995</v>
      </c>
    </row>
    <row r="273" spans="1:13">
      <c r="A273" s="1590">
        <v>6.7</v>
      </c>
      <c r="B273" s="1599">
        <v>0.8427</v>
      </c>
      <c r="C273" s="1599">
        <v>0.8427</v>
      </c>
      <c r="D273" s="1599">
        <v>0.82330000000000003</v>
      </c>
      <c r="E273" s="1599">
        <v>0.82330000000000003</v>
      </c>
      <c r="F273" s="1599">
        <v>0.82330000000000003</v>
      </c>
      <c r="G273" s="1599">
        <v>0.82330000000000003</v>
      </c>
      <c r="H273" s="1599">
        <v>0.82330000000000003</v>
      </c>
      <c r="I273" s="1599">
        <v>0.68130000000000002</v>
      </c>
      <c r="J273" s="1599">
        <v>0.68130000000000002</v>
      </c>
      <c r="K273" s="1599">
        <v>0.68130000000000002</v>
      </c>
      <c r="L273" s="1599">
        <v>0.68130000000000002</v>
      </c>
      <c r="M273" s="1599">
        <v>0.68130000000000002</v>
      </c>
    </row>
    <row r="274" spans="1:13">
      <c r="A274" s="1590">
        <v>6.8</v>
      </c>
      <c r="B274" s="1599">
        <v>0.84179999999999999</v>
      </c>
      <c r="C274" s="1599">
        <v>0.84179999999999999</v>
      </c>
      <c r="D274" s="1599">
        <v>0.82210000000000005</v>
      </c>
      <c r="E274" s="1599">
        <v>0.82210000000000005</v>
      </c>
      <c r="F274" s="1599">
        <v>0.82210000000000005</v>
      </c>
      <c r="G274" s="1599">
        <v>0.82210000000000005</v>
      </c>
      <c r="H274" s="1599">
        <v>0.82210000000000005</v>
      </c>
      <c r="I274" s="1599">
        <v>0.67979999999999996</v>
      </c>
      <c r="J274" s="1599">
        <v>0.67979999999999996</v>
      </c>
      <c r="K274" s="1599">
        <v>0.67979999999999996</v>
      </c>
      <c r="L274" s="1599">
        <v>0.67979999999999996</v>
      </c>
      <c r="M274" s="1599">
        <v>0.67979999999999996</v>
      </c>
    </row>
    <row r="275" spans="1:13">
      <c r="A275" s="1590">
        <v>6.9</v>
      </c>
      <c r="B275" s="1599">
        <v>0.84089999999999998</v>
      </c>
      <c r="C275" s="1599">
        <v>0.84089999999999998</v>
      </c>
      <c r="D275" s="1599">
        <v>0.82099999999999995</v>
      </c>
      <c r="E275" s="1599">
        <v>0.82099999999999995</v>
      </c>
      <c r="F275" s="1599">
        <v>0.82099999999999995</v>
      </c>
      <c r="G275" s="1599">
        <v>0.82099999999999995</v>
      </c>
      <c r="H275" s="1599">
        <v>0.82099999999999995</v>
      </c>
      <c r="I275" s="1599">
        <v>0.67849999999999999</v>
      </c>
      <c r="J275" s="1599">
        <v>0.67849999999999999</v>
      </c>
      <c r="K275" s="1599">
        <v>0.67849999999999999</v>
      </c>
      <c r="L275" s="1599">
        <v>0.67849999999999999</v>
      </c>
      <c r="M275" s="1599">
        <v>0.67849999999999999</v>
      </c>
    </row>
    <row r="276" spans="1:13">
      <c r="A276" s="1590">
        <v>7</v>
      </c>
      <c r="B276" s="1599">
        <v>0.84009999999999996</v>
      </c>
      <c r="C276" s="1599">
        <v>0.84009999999999996</v>
      </c>
      <c r="D276" s="1599">
        <v>0.81989999999999996</v>
      </c>
      <c r="E276" s="1599">
        <v>0.81989999999999996</v>
      </c>
      <c r="F276" s="1599">
        <v>0.81989999999999996</v>
      </c>
      <c r="G276" s="1599">
        <v>0.81989999999999996</v>
      </c>
      <c r="H276" s="1599">
        <v>0.81989999999999996</v>
      </c>
      <c r="I276" s="1599">
        <v>0.67720000000000002</v>
      </c>
      <c r="J276" s="1599">
        <v>0.67720000000000002</v>
      </c>
      <c r="K276" s="1599">
        <v>0.67720000000000002</v>
      </c>
      <c r="L276" s="1599">
        <v>0.67720000000000002</v>
      </c>
      <c r="M276" s="1599">
        <v>0.67720000000000002</v>
      </c>
    </row>
    <row r="277" spans="1:13">
      <c r="A277" s="1590">
        <v>7.1</v>
      </c>
      <c r="B277" s="1599">
        <v>0.83930000000000005</v>
      </c>
      <c r="C277" s="1599">
        <v>0.83930000000000005</v>
      </c>
      <c r="D277" s="1599">
        <v>0.81889999999999996</v>
      </c>
      <c r="E277" s="1599">
        <v>0.81889999999999996</v>
      </c>
      <c r="F277" s="1599">
        <v>0.81889999999999996</v>
      </c>
      <c r="G277" s="1599">
        <v>0.81889999999999996</v>
      </c>
      <c r="H277" s="1599">
        <v>0.81889999999999996</v>
      </c>
      <c r="I277" s="1599">
        <v>0.67589999999999995</v>
      </c>
      <c r="J277" s="1599">
        <v>0.67589999999999995</v>
      </c>
      <c r="K277" s="1599">
        <v>0.67589999999999995</v>
      </c>
      <c r="L277" s="1599">
        <v>0.67589999999999995</v>
      </c>
      <c r="M277" s="1599">
        <v>0.67589999999999995</v>
      </c>
    </row>
    <row r="278" spans="1:13">
      <c r="A278" s="1590">
        <v>7.2</v>
      </c>
      <c r="B278" s="1599">
        <v>0.83850000000000002</v>
      </c>
      <c r="C278" s="1599">
        <v>0.83850000000000002</v>
      </c>
      <c r="D278" s="1599">
        <v>0.81789999999999996</v>
      </c>
      <c r="E278" s="1599">
        <v>0.81789999999999996</v>
      </c>
      <c r="F278" s="1599">
        <v>0.81789999999999996</v>
      </c>
      <c r="G278" s="1599">
        <v>0.81789999999999996</v>
      </c>
      <c r="H278" s="1599">
        <v>0.81789999999999996</v>
      </c>
      <c r="I278" s="1599">
        <v>0.67459999999999998</v>
      </c>
      <c r="J278" s="1599">
        <v>0.67459999999999998</v>
      </c>
      <c r="K278" s="1599">
        <v>0.67459999999999998</v>
      </c>
      <c r="L278" s="1599">
        <v>0.67459999999999998</v>
      </c>
      <c r="M278" s="1599">
        <v>0.67459999999999998</v>
      </c>
    </row>
    <row r="279" spans="1:13">
      <c r="A279" s="1590">
        <v>7.3</v>
      </c>
      <c r="B279" s="1599">
        <v>0.8377</v>
      </c>
      <c r="C279" s="1599">
        <v>0.8377</v>
      </c>
      <c r="D279" s="1599">
        <v>0.81689999999999996</v>
      </c>
      <c r="E279" s="1599">
        <v>0.81689999999999996</v>
      </c>
      <c r="F279" s="1599">
        <v>0.81689999999999996</v>
      </c>
      <c r="G279" s="1599">
        <v>0.81689999999999996</v>
      </c>
      <c r="H279" s="1599">
        <v>0.81689999999999996</v>
      </c>
      <c r="I279" s="1599">
        <v>0.6734</v>
      </c>
      <c r="J279" s="1599">
        <v>0.6734</v>
      </c>
      <c r="K279" s="1599">
        <v>0.6734</v>
      </c>
      <c r="L279" s="1599">
        <v>0.6734</v>
      </c>
      <c r="M279" s="1599">
        <v>0.6734</v>
      </c>
    </row>
    <row r="280" spans="1:13">
      <c r="A280" s="1590">
        <v>7.4</v>
      </c>
      <c r="B280" s="1599">
        <v>0.83699999999999997</v>
      </c>
      <c r="C280" s="1599">
        <v>0.83699999999999997</v>
      </c>
      <c r="D280" s="1599">
        <v>0.81599999999999995</v>
      </c>
      <c r="E280" s="1599">
        <v>0.81599999999999995</v>
      </c>
      <c r="F280" s="1599">
        <v>0.81599999999999995</v>
      </c>
      <c r="G280" s="1599">
        <v>0.81599999999999995</v>
      </c>
      <c r="H280" s="1599">
        <v>0.81599999999999995</v>
      </c>
      <c r="I280" s="1599">
        <v>0.67210000000000003</v>
      </c>
      <c r="J280" s="1599">
        <v>0.67210000000000003</v>
      </c>
      <c r="K280" s="1599">
        <v>0.67210000000000003</v>
      </c>
      <c r="L280" s="1599">
        <v>0.67210000000000003</v>
      </c>
      <c r="M280" s="1599">
        <v>0.67210000000000003</v>
      </c>
    </row>
    <row r="281" spans="1:13">
      <c r="A281" s="1590">
        <v>7.5</v>
      </c>
      <c r="B281" s="1599">
        <v>0.83630000000000004</v>
      </c>
      <c r="C281" s="1599">
        <v>0.83630000000000004</v>
      </c>
      <c r="D281" s="1599">
        <v>0.81510000000000005</v>
      </c>
      <c r="E281" s="1599">
        <v>0.81510000000000005</v>
      </c>
      <c r="F281" s="1599">
        <v>0.81510000000000005</v>
      </c>
      <c r="G281" s="1599">
        <v>0.81510000000000005</v>
      </c>
      <c r="H281" s="1599">
        <v>0.81510000000000005</v>
      </c>
      <c r="I281" s="1599">
        <v>0.67090000000000005</v>
      </c>
      <c r="J281" s="1599">
        <v>0.67090000000000005</v>
      </c>
      <c r="K281" s="1599">
        <v>0.67090000000000005</v>
      </c>
      <c r="L281" s="1599">
        <v>0.67090000000000005</v>
      </c>
      <c r="M281" s="1599">
        <v>0.67090000000000005</v>
      </c>
    </row>
    <row r="282" spans="1:13">
      <c r="A282" s="1590">
        <v>7.6</v>
      </c>
      <c r="B282" s="1599">
        <v>0.83560000000000001</v>
      </c>
      <c r="C282" s="1599">
        <v>0.83560000000000001</v>
      </c>
      <c r="D282" s="1599">
        <v>0.81420000000000003</v>
      </c>
      <c r="E282" s="1599">
        <v>0.81420000000000003</v>
      </c>
      <c r="F282" s="1599">
        <v>0.81420000000000003</v>
      </c>
      <c r="G282" s="1599">
        <v>0.81420000000000003</v>
      </c>
      <c r="H282" s="1599">
        <v>0.81420000000000003</v>
      </c>
      <c r="I282" s="1599">
        <v>0.66979999999999995</v>
      </c>
      <c r="J282" s="1599">
        <v>0.66979999999999995</v>
      </c>
      <c r="K282" s="1599">
        <v>0.66979999999999995</v>
      </c>
      <c r="L282" s="1599">
        <v>0.66979999999999995</v>
      </c>
      <c r="M282" s="1599">
        <v>0.66979999999999995</v>
      </c>
    </row>
    <row r="283" spans="1:13">
      <c r="A283" s="1590">
        <v>7.7</v>
      </c>
      <c r="B283" s="1599">
        <v>0.83489999999999998</v>
      </c>
      <c r="C283" s="1599">
        <v>0.83489999999999998</v>
      </c>
      <c r="D283" s="1599">
        <v>0.81330000000000002</v>
      </c>
      <c r="E283" s="1599">
        <v>0.81330000000000002</v>
      </c>
      <c r="F283" s="1599">
        <v>0.81330000000000002</v>
      </c>
      <c r="G283" s="1599">
        <v>0.81330000000000002</v>
      </c>
      <c r="H283" s="1599">
        <v>0.81330000000000002</v>
      </c>
      <c r="I283" s="1599">
        <v>0.66869999999999996</v>
      </c>
      <c r="J283" s="1599">
        <v>0.66869999999999996</v>
      </c>
      <c r="K283" s="1599">
        <v>0.66869999999999996</v>
      </c>
      <c r="L283" s="1599">
        <v>0.66869999999999996</v>
      </c>
      <c r="M283" s="1599">
        <v>0.66869999999999996</v>
      </c>
    </row>
    <row r="284" spans="1:13">
      <c r="A284" s="1590">
        <v>7.8</v>
      </c>
      <c r="B284" s="1599">
        <v>0.83420000000000005</v>
      </c>
      <c r="C284" s="1599">
        <v>0.83420000000000005</v>
      </c>
      <c r="D284" s="1599">
        <v>0.81240000000000001</v>
      </c>
      <c r="E284" s="1599">
        <v>0.81240000000000001</v>
      </c>
      <c r="F284" s="1599">
        <v>0.81240000000000001</v>
      </c>
      <c r="G284" s="1599">
        <v>0.81240000000000001</v>
      </c>
      <c r="H284" s="1599">
        <v>0.81240000000000001</v>
      </c>
      <c r="I284" s="1599">
        <v>0.66759999999999997</v>
      </c>
      <c r="J284" s="1599">
        <v>0.66759999999999997</v>
      </c>
      <c r="K284" s="1599">
        <v>0.66759999999999997</v>
      </c>
      <c r="L284" s="1599">
        <v>0.66759999999999997</v>
      </c>
      <c r="M284" s="1599">
        <v>0.66759999999999997</v>
      </c>
    </row>
    <row r="285" spans="1:13">
      <c r="A285" s="1590">
        <v>7.9</v>
      </c>
      <c r="B285" s="1599">
        <v>0.83350000000000002</v>
      </c>
      <c r="C285" s="1599">
        <v>0.83350000000000002</v>
      </c>
      <c r="D285" s="1599">
        <v>0.81159999999999999</v>
      </c>
      <c r="E285" s="1599">
        <v>0.81159999999999999</v>
      </c>
      <c r="F285" s="1599">
        <v>0.81159999999999999</v>
      </c>
      <c r="G285" s="1599">
        <v>0.81159999999999999</v>
      </c>
      <c r="H285" s="1599">
        <v>0.81159999999999999</v>
      </c>
      <c r="I285" s="1599">
        <v>0.66649999999999998</v>
      </c>
      <c r="J285" s="1599">
        <v>0.66649999999999998</v>
      </c>
      <c r="K285" s="1599">
        <v>0.66649999999999998</v>
      </c>
      <c r="L285" s="1599">
        <v>0.66649999999999998</v>
      </c>
      <c r="M285" s="1599">
        <v>0.66649999999999998</v>
      </c>
    </row>
    <row r="286" spans="1:13">
      <c r="A286" s="1590">
        <v>8</v>
      </c>
      <c r="B286" s="1599">
        <v>0.83279999999999998</v>
      </c>
      <c r="C286" s="1599">
        <v>0.83279999999999998</v>
      </c>
      <c r="D286" s="1599">
        <v>0.81079999999999997</v>
      </c>
      <c r="E286" s="1599">
        <v>0.81079999999999997</v>
      </c>
      <c r="F286" s="1599">
        <v>0.81079999999999997</v>
      </c>
      <c r="G286" s="1599">
        <v>0.81079999999999997</v>
      </c>
      <c r="H286" s="1599">
        <v>0.81079999999999997</v>
      </c>
      <c r="I286" s="1599">
        <v>0.66549999999999998</v>
      </c>
      <c r="J286" s="1599">
        <v>0.66549999999999998</v>
      </c>
      <c r="K286" s="1599">
        <v>0.66549999999999998</v>
      </c>
      <c r="L286" s="1599">
        <v>0.66549999999999998</v>
      </c>
      <c r="M286" s="1599">
        <v>0.66549999999999998</v>
      </c>
    </row>
    <row r="287" spans="1:13">
      <c r="A287" s="1590">
        <v>8.1</v>
      </c>
      <c r="B287" s="1599">
        <v>0.83220000000000005</v>
      </c>
      <c r="C287" s="1599">
        <v>0.83220000000000005</v>
      </c>
      <c r="D287" s="1599">
        <v>0.81</v>
      </c>
      <c r="E287" s="1599">
        <v>0.81</v>
      </c>
      <c r="F287" s="1599">
        <v>0.81</v>
      </c>
      <c r="G287" s="1599">
        <v>0.81</v>
      </c>
      <c r="H287" s="1599">
        <v>0.81</v>
      </c>
      <c r="I287" s="1599">
        <v>0.66439999999999999</v>
      </c>
      <c r="J287" s="1599">
        <v>0.66439999999999999</v>
      </c>
      <c r="K287" s="1599">
        <v>0.66439999999999999</v>
      </c>
      <c r="L287" s="1599">
        <v>0.66439999999999999</v>
      </c>
      <c r="M287" s="1599">
        <v>0.66439999999999999</v>
      </c>
    </row>
    <row r="288" spans="1:13">
      <c r="A288" s="1590">
        <v>8.1999999999999993</v>
      </c>
      <c r="B288" s="1599">
        <v>0.83160000000000001</v>
      </c>
      <c r="C288" s="1599">
        <v>0.83160000000000001</v>
      </c>
      <c r="D288" s="1599">
        <v>0.80920000000000003</v>
      </c>
      <c r="E288" s="1599">
        <v>0.80920000000000003</v>
      </c>
      <c r="F288" s="1599">
        <v>0.80920000000000003</v>
      </c>
      <c r="G288" s="1599">
        <v>0.80920000000000003</v>
      </c>
      <c r="H288" s="1599">
        <v>0.80920000000000003</v>
      </c>
      <c r="I288" s="1599">
        <v>0.66339999999999999</v>
      </c>
      <c r="J288" s="1599">
        <v>0.66339999999999999</v>
      </c>
      <c r="K288" s="1599">
        <v>0.66339999999999999</v>
      </c>
      <c r="L288" s="1599">
        <v>0.66339999999999999</v>
      </c>
      <c r="M288" s="1599">
        <v>0.66339999999999999</v>
      </c>
    </row>
    <row r="289" spans="1:13">
      <c r="A289" s="1590">
        <v>8.3000000000000007</v>
      </c>
      <c r="B289" s="1599">
        <v>0.83099999999999996</v>
      </c>
      <c r="C289" s="1599">
        <v>0.83099999999999996</v>
      </c>
      <c r="D289" s="1599">
        <v>0.80840000000000001</v>
      </c>
      <c r="E289" s="1599">
        <v>0.80840000000000001</v>
      </c>
      <c r="F289" s="1599">
        <v>0.80840000000000001</v>
      </c>
      <c r="G289" s="1599">
        <v>0.80840000000000001</v>
      </c>
      <c r="H289" s="1599">
        <v>0.80840000000000001</v>
      </c>
      <c r="I289" s="1599">
        <v>0.66239999999999999</v>
      </c>
      <c r="J289" s="1599">
        <v>0.66239999999999999</v>
      </c>
      <c r="K289" s="1599">
        <v>0.66239999999999999</v>
      </c>
      <c r="L289" s="1599">
        <v>0.66239999999999999</v>
      </c>
      <c r="M289" s="1599">
        <v>0.66239999999999999</v>
      </c>
    </row>
    <row r="290" spans="1:13">
      <c r="A290" s="1590">
        <v>8.4</v>
      </c>
      <c r="B290" s="1599">
        <v>0.83040000000000003</v>
      </c>
      <c r="C290" s="1599">
        <v>0.83040000000000003</v>
      </c>
      <c r="D290" s="1599">
        <v>0.80759999999999998</v>
      </c>
      <c r="E290" s="1599">
        <v>0.80759999999999998</v>
      </c>
      <c r="F290" s="1599">
        <v>0.80759999999999998</v>
      </c>
      <c r="G290" s="1599">
        <v>0.80759999999999998</v>
      </c>
      <c r="H290" s="1599">
        <v>0.80759999999999998</v>
      </c>
      <c r="I290" s="1599">
        <v>0.66139999999999999</v>
      </c>
      <c r="J290" s="1599">
        <v>0.66139999999999999</v>
      </c>
      <c r="K290" s="1599">
        <v>0.66139999999999999</v>
      </c>
      <c r="L290" s="1599">
        <v>0.66139999999999999</v>
      </c>
      <c r="M290" s="1599">
        <v>0.66139999999999999</v>
      </c>
    </row>
    <row r="291" spans="1:13">
      <c r="A291" s="1590">
        <v>8.5</v>
      </c>
      <c r="B291" s="1599">
        <v>0.82979999999999998</v>
      </c>
      <c r="C291" s="1599">
        <v>0.82979999999999998</v>
      </c>
      <c r="D291" s="1599">
        <v>0.80679999999999996</v>
      </c>
      <c r="E291" s="1599">
        <v>0.80679999999999996</v>
      </c>
      <c r="F291" s="1599">
        <v>0.80679999999999996</v>
      </c>
      <c r="G291" s="1599">
        <v>0.80679999999999996</v>
      </c>
      <c r="H291" s="1599">
        <v>0.80679999999999996</v>
      </c>
      <c r="I291" s="1599">
        <v>0.66049999999999998</v>
      </c>
      <c r="J291" s="1599">
        <v>0.66049999999999998</v>
      </c>
      <c r="K291" s="1599">
        <v>0.66049999999999998</v>
      </c>
      <c r="L291" s="1599">
        <v>0.66049999999999998</v>
      </c>
      <c r="M291" s="1599">
        <v>0.66049999999999998</v>
      </c>
    </row>
    <row r="292" spans="1:13">
      <c r="A292" s="1590">
        <v>8.6</v>
      </c>
      <c r="B292" s="1599">
        <v>0.82920000000000005</v>
      </c>
      <c r="C292" s="1599">
        <v>0.82920000000000005</v>
      </c>
      <c r="D292" s="1599">
        <v>0.80600000000000005</v>
      </c>
      <c r="E292" s="1599">
        <v>0.80600000000000005</v>
      </c>
      <c r="F292" s="1599">
        <v>0.80600000000000005</v>
      </c>
      <c r="G292" s="1599">
        <v>0.80600000000000005</v>
      </c>
      <c r="H292" s="1599">
        <v>0.80600000000000005</v>
      </c>
      <c r="I292" s="1599">
        <v>0.65949999999999998</v>
      </c>
      <c r="J292" s="1599">
        <v>0.65949999999999998</v>
      </c>
      <c r="K292" s="1599">
        <v>0.65949999999999998</v>
      </c>
      <c r="L292" s="1599">
        <v>0.65949999999999998</v>
      </c>
      <c r="M292" s="1599">
        <v>0.65949999999999998</v>
      </c>
    </row>
    <row r="293" spans="1:13">
      <c r="A293" s="1590">
        <v>8.6999999999999993</v>
      </c>
      <c r="B293" s="1599">
        <v>0.8286</v>
      </c>
      <c r="C293" s="1599">
        <v>0.8286</v>
      </c>
      <c r="D293" s="1599">
        <v>0.80520000000000003</v>
      </c>
      <c r="E293" s="1599">
        <v>0.80520000000000003</v>
      </c>
      <c r="F293" s="1599">
        <v>0.80520000000000003</v>
      </c>
      <c r="G293" s="1599">
        <v>0.80520000000000003</v>
      </c>
      <c r="H293" s="1599">
        <v>0.80520000000000003</v>
      </c>
      <c r="I293" s="1599">
        <v>0.65859999999999996</v>
      </c>
      <c r="J293" s="1599">
        <v>0.65859999999999996</v>
      </c>
      <c r="K293" s="1599">
        <v>0.65859999999999996</v>
      </c>
      <c r="L293" s="1599">
        <v>0.65859999999999996</v>
      </c>
      <c r="M293" s="1599">
        <v>0.65859999999999996</v>
      </c>
    </row>
    <row r="294" spans="1:13">
      <c r="A294" s="1590">
        <v>8.8000000000000007</v>
      </c>
      <c r="B294" s="1599">
        <v>0.82799999999999996</v>
      </c>
      <c r="C294" s="1599">
        <v>0.82799999999999996</v>
      </c>
      <c r="D294" s="1599">
        <v>0.8044</v>
      </c>
      <c r="E294" s="1599">
        <v>0.8044</v>
      </c>
      <c r="F294" s="1599">
        <v>0.8044</v>
      </c>
      <c r="G294" s="1599">
        <v>0.8044</v>
      </c>
      <c r="H294" s="1599">
        <v>0.8044</v>
      </c>
      <c r="I294" s="1599">
        <v>0.65759999999999996</v>
      </c>
      <c r="J294" s="1599">
        <v>0.65759999999999996</v>
      </c>
      <c r="K294" s="1599">
        <v>0.65759999999999996</v>
      </c>
      <c r="L294" s="1599">
        <v>0.65759999999999996</v>
      </c>
      <c r="M294" s="1599">
        <v>0.65759999999999996</v>
      </c>
    </row>
    <row r="295" spans="1:13">
      <c r="A295" s="1590">
        <v>8.9</v>
      </c>
      <c r="B295" s="1599">
        <v>0.82740000000000002</v>
      </c>
      <c r="C295" s="1599">
        <v>0.82740000000000002</v>
      </c>
      <c r="D295" s="1599">
        <v>0.80359999999999998</v>
      </c>
      <c r="E295" s="1599">
        <v>0.80359999999999998</v>
      </c>
      <c r="F295" s="1599">
        <v>0.80359999999999998</v>
      </c>
      <c r="G295" s="1599">
        <v>0.80359999999999998</v>
      </c>
      <c r="H295" s="1599">
        <v>0.80359999999999998</v>
      </c>
      <c r="I295" s="1599">
        <v>0.65669999999999995</v>
      </c>
      <c r="J295" s="1599">
        <v>0.65669999999999995</v>
      </c>
      <c r="K295" s="1599">
        <v>0.65669999999999995</v>
      </c>
      <c r="L295" s="1599">
        <v>0.65669999999999995</v>
      </c>
      <c r="M295" s="1599">
        <v>0.65669999999999995</v>
      </c>
    </row>
    <row r="296" spans="1:13">
      <c r="A296" s="1613">
        <v>9</v>
      </c>
      <c r="B296" s="1599">
        <v>0.82679999999999998</v>
      </c>
      <c r="C296" s="1599">
        <v>0.82679999999999998</v>
      </c>
      <c r="D296" s="1599">
        <v>0.80279999999999996</v>
      </c>
      <c r="E296" s="1599">
        <v>0.80279999999999996</v>
      </c>
      <c r="F296" s="1599">
        <v>0.80279999999999996</v>
      </c>
      <c r="G296" s="1599">
        <v>0.80279999999999996</v>
      </c>
      <c r="H296" s="1599">
        <v>0.80279999999999996</v>
      </c>
      <c r="I296" s="1599">
        <v>0.65569999999999995</v>
      </c>
      <c r="J296" s="1599">
        <v>0.65569999999999995</v>
      </c>
      <c r="K296" s="1599">
        <v>0.65569999999999995</v>
      </c>
      <c r="L296" s="1599">
        <v>0.65569999999999995</v>
      </c>
      <c r="M296" s="1599">
        <v>0.65569999999999995</v>
      </c>
    </row>
    <row r="297" spans="1:13">
      <c r="A297" s="1613">
        <v>9.1</v>
      </c>
      <c r="B297" s="1599">
        <v>0.82620000000000005</v>
      </c>
      <c r="C297" s="1599">
        <v>0.82620000000000005</v>
      </c>
      <c r="D297" s="1599">
        <v>0.80200000000000005</v>
      </c>
      <c r="E297" s="1599">
        <v>0.80200000000000005</v>
      </c>
      <c r="F297" s="1599">
        <v>0.80200000000000005</v>
      </c>
      <c r="G297" s="1599">
        <v>0.80200000000000005</v>
      </c>
      <c r="H297" s="1599">
        <v>0.80200000000000005</v>
      </c>
      <c r="I297" s="1599">
        <v>0.65480000000000005</v>
      </c>
      <c r="J297" s="1599">
        <v>0.65480000000000005</v>
      </c>
      <c r="K297" s="1599">
        <v>0.65480000000000005</v>
      </c>
      <c r="L297" s="1599">
        <v>0.65480000000000005</v>
      </c>
      <c r="M297" s="1599">
        <v>0.65480000000000005</v>
      </c>
    </row>
    <row r="298" spans="1:13">
      <c r="A298" s="1613">
        <v>9.1999999999999993</v>
      </c>
      <c r="B298" s="1599">
        <v>0.8256</v>
      </c>
      <c r="C298" s="1599">
        <v>0.8256</v>
      </c>
      <c r="D298" s="1599">
        <v>0.80120000000000002</v>
      </c>
      <c r="E298" s="1599">
        <v>0.80120000000000002</v>
      </c>
      <c r="F298" s="1599">
        <v>0.80120000000000002</v>
      </c>
      <c r="G298" s="1599">
        <v>0.80120000000000002</v>
      </c>
      <c r="H298" s="1599">
        <v>0.80120000000000002</v>
      </c>
      <c r="I298" s="1599">
        <v>0.65380000000000005</v>
      </c>
      <c r="J298" s="1599">
        <v>0.65380000000000005</v>
      </c>
      <c r="K298" s="1599">
        <v>0.65380000000000005</v>
      </c>
      <c r="L298" s="1599">
        <v>0.65380000000000005</v>
      </c>
      <c r="M298" s="1599">
        <v>0.65380000000000005</v>
      </c>
    </row>
    <row r="299" spans="1:13">
      <c r="A299" s="1613">
        <v>9.3000000000000007</v>
      </c>
      <c r="B299" s="1599">
        <v>0.82499999999999996</v>
      </c>
      <c r="C299" s="1599">
        <v>0.82499999999999996</v>
      </c>
      <c r="D299" s="1599">
        <v>0.8004</v>
      </c>
      <c r="E299" s="1599">
        <v>0.8004</v>
      </c>
      <c r="F299" s="1599">
        <v>0.8004</v>
      </c>
      <c r="G299" s="1599">
        <v>0.8004</v>
      </c>
      <c r="H299" s="1599">
        <v>0.8004</v>
      </c>
      <c r="I299" s="1599">
        <v>0.65290000000000004</v>
      </c>
      <c r="J299" s="1599">
        <v>0.65290000000000004</v>
      </c>
      <c r="K299" s="1599">
        <v>0.65290000000000004</v>
      </c>
      <c r="L299" s="1599">
        <v>0.65290000000000004</v>
      </c>
      <c r="M299" s="1599">
        <v>0.65290000000000004</v>
      </c>
    </row>
    <row r="300" spans="1:13">
      <c r="A300" s="1613">
        <v>9.4</v>
      </c>
      <c r="B300" s="1599">
        <v>0.82440000000000002</v>
      </c>
      <c r="C300" s="1599">
        <v>0.82440000000000002</v>
      </c>
      <c r="D300" s="1599">
        <v>0.79959999999999998</v>
      </c>
      <c r="E300" s="1599">
        <v>0.79959999999999998</v>
      </c>
      <c r="F300" s="1599">
        <v>0.79959999999999998</v>
      </c>
      <c r="G300" s="1599">
        <v>0.79959999999999998</v>
      </c>
      <c r="H300" s="1599">
        <v>0.79959999999999998</v>
      </c>
      <c r="I300" s="1599">
        <v>0.65190000000000003</v>
      </c>
      <c r="J300" s="1599">
        <v>0.65190000000000003</v>
      </c>
      <c r="K300" s="1599">
        <v>0.65190000000000003</v>
      </c>
      <c r="L300" s="1599">
        <v>0.65190000000000003</v>
      </c>
      <c r="M300" s="1599">
        <v>0.65190000000000003</v>
      </c>
    </row>
    <row r="301" spans="1:13">
      <c r="A301" s="1613">
        <v>9.5</v>
      </c>
      <c r="B301" s="1599">
        <v>0.82379999999999998</v>
      </c>
      <c r="C301" s="1599">
        <v>0.82379999999999998</v>
      </c>
      <c r="D301" s="1599">
        <v>0.79879999999999995</v>
      </c>
      <c r="E301" s="1599">
        <v>0.79879999999999995</v>
      </c>
      <c r="F301" s="1599">
        <v>0.79879999999999995</v>
      </c>
      <c r="G301" s="1599">
        <v>0.79879999999999995</v>
      </c>
      <c r="H301" s="1599">
        <v>0.79879999999999995</v>
      </c>
      <c r="I301" s="1599">
        <v>0.65100000000000002</v>
      </c>
      <c r="J301" s="1599">
        <v>0.65100000000000002</v>
      </c>
      <c r="K301" s="1599">
        <v>0.65100000000000002</v>
      </c>
      <c r="L301" s="1599">
        <v>0.65100000000000002</v>
      </c>
      <c r="M301" s="1599">
        <v>0.65100000000000002</v>
      </c>
    </row>
    <row r="302" spans="1:13">
      <c r="A302" s="1613">
        <v>9.6</v>
      </c>
      <c r="B302" s="1599">
        <v>0.82320000000000004</v>
      </c>
      <c r="C302" s="1599">
        <v>0.82320000000000004</v>
      </c>
      <c r="D302" s="1599">
        <v>0.79800000000000004</v>
      </c>
      <c r="E302" s="1599">
        <v>0.79800000000000004</v>
      </c>
      <c r="F302" s="1599">
        <v>0.79800000000000004</v>
      </c>
      <c r="G302" s="1599">
        <v>0.79800000000000004</v>
      </c>
      <c r="H302" s="1599">
        <v>0.79800000000000004</v>
      </c>
      <c r="I302" s="1599">
        <v>0.65</v>
      </c>
      <c r="J302" s="1599">
        <v>0.65</v>
      </c>
      <c r="K302" s="1599">
        <v>0.65</v>
      </c>
      <c r="L302" s="1599">
        <v>0.65</v>
      </c>
      <c r="M302" s="1599">
        <v>0.65</v>
      </c>
    </row>
    <row r="303" spans="1:13">
      <c r="A303" s="1613">
        <v>9.6999999999999993</v>
      </c>
      <c r="B303" s="1599">
        <v>0.8226</v>
      </c>
      <c r="C303" s="1599">
        <v>0.8226</v>
      </c>
      <c r="D303" s="1599">
        <v>0.79720000000000002</v>
      </c>
      <c r="E303" s="1599">
        <v>0.79720000000000002</v>
      </c>
      <c r="F303" s="1599">
        <v>0.79720000000000002</v>
      </c>
      <c r="G303" s="1599">
        <v>0.79720000000000002</v>
      </c>
      <c r="H303" s="1599">
        <v>0.79720000000000002</v>
      </c>
      <c r="I303" s="1599">
        <v>0.64900000000000002</v>
      </c>
      <c r="J303" s="1599">
        <v>0.64900000000000002</v>
      </c>
      <c r="K303" s="1599">
        <v>0.64900000000000002</v>
      </c>
      <c r="L303" s="1599">
        <v>0.64900000000000002</v>
      </c>
      <c r="M303" s="1599">
        <v>0.64900000000000002</v>
      </c>
    </row>
    <row r="304" spans="1:13">
      <c r="A304" s="1613">
        <v>9.8000000000000007</v>
      </c>
      <c r="B304" s="1599">
        <v>0.82199999999999995</v>
      </c>
      <c r="C304" s="1599">
        <v>0.82199999999999995</v>
      </c>
      <c r="D304" s="1599">
        <v>0.7964</v>
      </c>
      <c r="E304" s="1599">
        <v>0.7964</v>
      </c>
      <c r="F304" s="1599">
        <v>0.7964</v>
      </c>
      <c r="G304" s="1599">
        <v>0.7964</v>
      </c>
      <c r="H304" s="1599">
        <v>0.7964</v>
      </c>
      <c r="I304" s="1599">
        <v>0.64810000000000001</v>
      </c>
      <c r="J304" s="1599">
        <v>0.64810000000000001</v>
      </c>
      <c r="K304" s="1599">
        <v>0.64810000000000001</v>
      </c>
      <c r="L304" s="1599">
        <v>0.64810000000000001</v>
      </c>
      <c r="M304" s="1599">
        <v>0.64810000000000001</v>
      </c>
    </row>
    <row r="305" spans="1:13">
      <c r="A305" s="1613">
        <v>9.9</v>
      </c>
      <c r="B305" s="1599">
        <v>0.82140000000000002</v>
      </c>
      <c r="C305" s="1599">
        <v>0.82140000000000002</v>
      </c>
      <c r="D305" s="1599">
        <v>0.79559999999999997</v>
      </c>
      <c r="E305" s="1599">
        <v>0.79559999999999997</v>
      </c>
      <c r="F305" s="1599">
        <v>0.79559999999999997</v>
      </c>
      <c r="G305" s="1599">
        <v>0.79559999999999997</v>
      </c>
      <c r="H305" s="1599">
        <v>0.79559999999999997</v>
      </c>
      <c r="I305" s="1599">
        <v>0.64710000000000001</v>
      </c>
      <c r="J305" s="1599">
        <v>0.64710000000000001</v>
      </c>
      <c r="K305" s="1599">
        <v>0.64710000000000001</v>
      </c>
      <c r="L305" s="1599">
        <v>0.64710000000000001</v>
      </c>
      <c r="M305" s="1599">
        <v>0.64710000000000001</v>
      </c>
    </row>
    <row r="306" spans="1:13">
      <c r="A306" s="1613">
        <v>10</v>
      </c>
      <c r="B306" s="1599">
        <v>0.82079999999999997</v>
      </c>
      <c r="C306" s="1599">
        <v>0.82079999999999997</v>
      </c>
      <c r="D306" s="1599">
        <v>0.79479999999999995</v>
      </c>
      <c r="E306" s="1599">
        <v>0.79479999999999995</v>
      </c>
      <c r="F306" s="1599">
        <v>0.79479999999999995</v>
      </c>
      <c r="G306" s="1599">
        <v>0.79479999999999995</v>
      </c>
      <c r="H306" s="1599">
        <v>0.79479999999999995</v>
      </c>
      <c r="I306" s="1599">
        <v>0.6462</v>
      </c>
      <c r="J306" s="1599">
        <v>0.6462</v>
      </c>
      <c r="K306" s="1599">
        <v>0.6462</v>
      </c>
      <c r="L306" s="1599">
        <v>0.6462</v>
      </c>
      <c r="M306" s="1599">
        <v>0.6462</v>
      </c>
    </row>
    <row r="307" spans="1:13" ht="14.25">
      <c r="A307" s="1587" t="s">
        <v>1779</v>
      </c>
      <c r="B307" s="1588"/>
      <c r="C307" s="1588"/>
      <c r="D307" s="1588"/>
      <c r="E307" s="1588"/>
      <c r="F307" s="1588"/>
      <c r="G307" s="1588"/>
      <c r="H307" s="1588"/>
      <c r="I307" s="1588"/>
      <c r="J307" s="1588"/>
      <c r="K307" s="1588"/>
      <c r="L307" s="1588"/>
      <c r="M307" s="1588"/>
    </row>
    <row r="308" spans="1:13">
      <c r="A308" s="1590" t="s">
        <v>1768</v>
      </c>
      <c r="B308" s="1591" t="s">
        <v>1173</v>
      </c>
      <c r="C308" s="1591" t="s">
        <v>1174</v>
      </c>
      <c r="D308" s="1591" t="s">
        <v>1175</v>
      </c>
      <c r="E308" s="1591" t="s">
        <v>1176</v>
      </c>
      <c r="F308" s="1591" t="s">
        <v>1177</v>
      </c>
      <c r="G308" s="1591" t="s">
        <v>1178</v>
      </c>
      <c r="H308" s="1592" t="s">
        <v>1179</v>
      </c>
      <c r="I308" s="1592" t="s">
        <v>1180</v>
      </c>
      <c r="J308" s="1593" t="s">
        <v>1181</v>
      </c>
      <c r="K308" s="1593" t="s">
        <v>1182</v>
      </c>
      <c r="L308" s="1593" t="s">
        <v>1183</v>
      </c>
      <c r="M308" s="1593" t="s">
        <v>1184</v>
      </c>
    </row>
    <row r="309" spans="1:13">
      <c r="A309" s="1590">
        <v>0.1</v>
      </c>
      <c r="B309" s="1599">
        <v>11.506</v>
      </c>
      <c r="C309" s="1599">
        <v>11.506</v>
      </c>
      <c r="D309" s="1599">
        <v>12.015000000000001</v>
      </c>
      <c r="E309" s="1599">
        <v>12.015000000000001</v>
      </c>
      <c r="F309" s="1599">
        <v>12.015000000000001</v>
      </c>
      <c r="G309" s="1599">
        <v>11.118</v>
      </c>
      <c r="H309" s="1599">
        <v>11.118</v>
      </c>
      <c r="I309" s="1599">
        <v>10</v>
      </c>
      <c r="J309" s="1599">
        <v>10</v>
      </c>
      <c r="K309" s="1599">
        <v>10</v>
      </c>
      <c r="L309" s="1599">
        <v>10</v>
      </c>
      <c r="M309" s="1599">
        <v>10</v>
      </c>
    </row>
    <row r="310" spans="1:13">
      <c r="A310" s="1590">
        <v>0.2</v>
      </c>
      <c r="B310" s="1599">
        <v>5.7530000000000001</v>
      </c>
      <c r="C310" s="1599">
        <v>5.7530000000000001</v>
      </c>
      <c r="D310" s="1599">
        <v>6.0075000000000003</v>
      </c>
      <c r="E310" s="1599">
        <v>6.0075000000000003</v>
      </c>
      <c r="F310" s="1599">
        <v>6.0075000000000003</v>
      </c>
      <c r="G310" s="1599">
        <v>5.5590000000000002</v>
      </c>
      <c r="H310" s="1599">
        <v>5.5590000000000002</v>
      </c>
      <c r="I310" s="1599">
        <v>5</v>
      </c>
      <c r="J310" s="1599">
        <v>5</v>
      </c>
      <c r="K310" s="1599">
        <v>5</v>
      </c>
      <c r="L310" s="1599">
        <v>5</v>
      </c>
      <c r="M310" s="1599">
        <v>5</v>
      </c>
    </row>
    <row r="311" spans="1:13">
      <c r="A311" s="1590">
        <v>0.3</v>
      </c>
      <c r="B311" s="1599">
        <v>3.8353000000000002</v>
      </c>
      <c r="C311" s="1599">
        <v>3.8353000000000002</v>
      </c>
      <c r="D311" s="1599">
        <v>4.0049999999999999</v>
      </c>
      <c r="E311" s="1599">
        <v>4.0049999999999999</v>
      </c>
      <c r="F311" s="1599">
        <v>4.0049999999999999</v>
      </c>
      <c r="G311" s="1599">
        <v>3.706</v>
      </c>
      <c r="H311" s="1599">
        <v>3.706</v>
      </c>
      <c r="I311" s="1599">
        <v>3.3332999999999999</v>
      </c>
      <c r="J311" s="1599">
        <v>3.3332999999999999</v>
      </c>
      <c r="K311" s="1599">
        <v>3.3332999999999999</v>
      </c>
      <c r="L311" s="1599">
        <v>3.3332999999999999</v>
      </c>
      <c r="M311" s="1599">
        <v>3.3332999999999999</v>
      </c>
    </row>
    <row r="312" spans="1:13">
      <c r="A312" s="1590">
        <v>0.4</v>
      </c>
      <c r="B312" s="1599">
        <v>2.8765000000000001</v>
      </c>
      <c r="C312" s="1599">
        <v>2.8765000000000001</v>
      </c>
      <c r="D312" s="1599">
        <v>3.0038</v>
      </c>
      <c r="E312" s="1599">
        <v>3.0038</v>
      </c>
      <c r="F312" s="1599">
        <v>3.0038</v>
      </c>
      <c r="G312" s="1599">
        <v>2.7795000000000001</v>
      </c>
      <c r="H312" s="1599">
        <v>2.7795000000000001</v>
      </c>
      <c r="I312" s="1599">
        <v>2.5</v>
      </c>
      <c r="J312" s="1599">
        <v>2.5</v>
      </c>
      <c r="K312" s="1599">
        <v>2.5</v>
      </c>
      <c r="L312" s="1599">
        <v>2.5</v>
      </c>
      <c r="M312" s="1599">
        <v>2.5</v>
      </c>
    </row>
    <row r="313" spans="1:13">
      <c r="A313" s="1590">
        <v>0.5</v>
      </c>
      <c r="B313" s="1599">
        <v>2.3012000000000001</v>
      </c>
      <c r="C313" s="1599">
        <v>2.3012000000000001</v>
      </c>
      <c r="D313" s="1599">
        <v>2.403</v>
      </c>
      <c r="E313" s="1599">
        <v>2.403</v>
      </c>
      <c r="F313" s="1599">
        <v>2.403</v>
      </c>
      <c r="G313" s="1599">
        <v>2.2235999999999998</v>
      </c>
      <c r="H313" s="1599">
        <v>2.2235999999999998</v>
      </c>
      <c r="I313" s="1599">
        <v>2</v>
      </c>
      <c r="J313" s="1599">
        <v>2</v>
      </c>
      <c r="K313" s="1599">
        <v>2</v>
      </c>
      <c r="L313" s="1599">
        <v>2</v>
      </c>
      <c r="M313" s="1599">
        <v>2</v>
      </c>
    </row>
    <row r="314" spans="1:13">
      <c r="A314" s="1590">
        <v>0.6</v>
      </c>
      <c r="B314" s="1599">
        <v>1.9177</v>
      </c>
      <c r="C314" s="1599">
        <v>1.9177</v>
      </c>
      <c r="D314" s="1599">
        <v>2.0024999999999999</v>
      </c>
      <c r="E314" s="1599">
        <v>2.0024999999999999</v>
      </c>
      <c r="F314" s="1599">
        <v>2.0024999999999999</v>
      </c>
      <c r="G314" s="1599">
        <v>1.853</v>
      </c>
      <c r="H314" s="1599">
        <v>1.853</v>
      </c>
      <c r="I314" s="1599">
        <v>1.6667000000000001</v>
      </c>
      <c r="J314" s="1599">
        <v>1.6667000000000001</v>
      </c>
      <c r="K314" s="1599">
        <v>1.6667000000000001</v>
      </c>
      <c r="L314" s="1599">
        <v>1.6667000000000001</v>
      </c>
      <c r="M314" s="1599">
        <v>1.6667000000000001</v>
      </c>
    </row>
    <row r="315" spans="1:13">
      <c r="A315" s="1590">
        <v>0.7</v>
      </c>
      <c r="B315" s="1599">
        <v>1.6436999999999999</v>
      </c>
      <c r="C315" s="1599">
        <v>1.6436999999999999</v>
      </c>
      <c r="D315" s="1599">
        <v>1.7163999999999999</v>
      </c>
      <c r="E315" s="1599">
        <v>1.7163999999999999</v>
      </c>
      <c r="F315" s="1599">
        <v>1.7163999999999999</v>
      </c>
      <c r="G315" s="1599">
        <v>1.5883</v>
      </c>
      <c r="H315" s="1599">
        <v>1.5883</v>
      </c>
      <c r="I315" s="1599">
        <v>1.4286000000000001</v>
      </c>
      <c r="J315" s="1599">
        <v>1.4286000000000001</v>
      </c>
      <c r="K315" s="1599">
        <v>1.4286000000000001</v>
      </c>
      <c r="L315" s="1599">
        <v>1.4286000000000001</v>
      </c>
      <c r="M315" s="1599">
        <v>1.4286000000000001</v>
      </c>
    </row>
    <row r="316" spans="1:13">
      <c r="A316" s="1590">
        <v>0.8</v>
      </c>
      <c r="B316" s="1599">
        <v>1.4382999999999999</v>
      </c>
      <c r="C316" s="1599">
        <v>1.4382999999999999</v>
      </c>
      <c r="D316" s="1599">
        <v>1.5019</v>
      </c>
      <c r="E316" s="1599">
        <v>1.5019</v>
      </c>
      <c r="F316" s="1599">
        <v>1.5019</v>
      </c>
      <c r="G316" s="1599">
        <v>1.3897999999999999</v>
      </c>
      <c r="H316" s="1599">
        <v>1.3897999999999999</v>
      </c>
      <c r="I316" s="1599">
        <v>1.25</v>
      </c>
      <c r="J316" s="1599">
        <v>1.25</v>
      </c>
      <c r="K316" s="1599">
        <v>1.25</v>
      </c>
      <c r="L316" s="1599">
        <v>1.25</v>
      </c>
      <c r="M316" s="1599">
        <v>1.25</v>
      </c>
    </row>
    <row r="317" spans="1:13">
      <c r="A317" s="1590">
        <v>0.9</v>
      </c>
      <c r="B317" s="1599">
        <v>1.2784</v>
      </c>
      <c r="C317" s="1599">
        <v>1.2784</v>
      </c>
      <c r="D317" s="1599">
        <v>1.335</v>
      </c>
      <c r="E317" s="1599">
        <v>1.335</v>
      </c>
      <c r="F317" s="1599">
        <v>1.335</v>
      </c>
      <c r="G317" s="1599">
        <v>1.2353000000000001</v>
      </c>
      <c r="H317" s="1599">
        <v>1.2353000000000001</v>
      </c>
      <c r="I317" s="1599">
        <v>1.1111</v>
      </c>
      <c r="J317" s="1599">
        <v>1.1111</v>
      </c>
      <c r="K317" s="1599">
        <v>1.1111</v>
      </c>
      <c r="L317" s="1599">
        <v>1.1111</v>
      </c>
      <c r="M317" s="1599">
        <v>1.1111</v>
      </c>
    </row>
    <row r="318" spans="1:13">
      <c r="A318" s="1590">
        <v>1</v>
      </c>
      <c r="B318" s="1599">
        <v>1.1506000000000001</v>
      </c>
      <c r="C318" s="1599">
        <v>1.1506000000000001</v>
      </c>
      <c r="D318" s="1599">
        <v>1.2015</v>
      </c>
      <c r="E318" s="1599">
        <v>1.2015</v>
      </c>
      <c r="F318" s="1599">
        <v>1.2015</v>
      </c>
      <c r="G318" s="1599">
        <v>1.1117999999999999</v>
      </c>
      <c r="H318" s="1599">
        <v>1.1117999999999999</v>
      </c>
      <c r="I318" s="1599">
        <v>1</v>
      </c>
      <c r="J318" s="1599">
        <v>1</v>
      </c>
      <c r="K318" s="1599">
        <v>1</v>
      </c>
      <c r="L318" s="1599">
        <v>1</v>
      </c>
      <c r="M318" s="1599">
        <v>1</v>
      </c>
    </row>
    <row r="319" spans="1:13">
      <c r="A319" s="1590">
        <v>1.1000000000000001</v>
      </c>
      <c r="B319" s="1599">
        <v>1.1158999999999999</v>
      </c>
      <c r="C319" s="1599">
        <v>1.1158999999999999</v>
      </c>
      <c r="D319" s="1599">
        <v>1.1440999999999999</v>
      </c>
      <c r="E319" s="1599">
        <v>1.1440999999999999</v>
      </c>
      <c r="F319" s="1599">
        <v>1.1440999999999999</v>
      </c>
      <c r="G319" s="1599">
        <v>1.0492999999999999</v>
      </c>
      <c r="H319" s="1599">
        <v>1.0492999999999999</v>
      </c>
      <c r="I319" s="1599">
        <v>0.93730000000000002</v>
      </c>
      <c r="J319" s="1599">
        <v>0.93730000000000002</v>
      </c>
      <c r="K319" s="1599">
        <v>0.93730000000000002</v>
      </c>
      <c r="L319" s="1599">
        <v>0.93730000000000002</v>
      </c>
      <c r="M319" s="1599">
        <v>0.93730000000000002</v>
      </c>
    </row>
    <row r="320" spans="1:13">
      <c r="A320" s="1590">
        <v>1.2</v>
      </c>
      <c r="B320" s="1599">
        <v>1.0837000000000001</v>
      </c>
      <c r="C320" s="1599">
        <v>1.0837000000000001</v>
      </c>
      <c r="D320" s="1599">
        <v>1.0972999999999999</v>
      </c>
      <c r="E320" s="1599">
        <v>1.0972999999999999</v>
      </c>
      <c r="F320" s="1599">
        <v>1.0972999999999999</v>
      </c>
      <c r="G320" s="1599">
        <v>1</v>
      </c>
      <c r="H320" s="1599">
        <v>1</v>
      </c>
      <c r="I320" s="1599">
        <v>0.88890000000000002</v>
      </c>
      <c r="J320" s="1599">
        <v>0.88890000000000002</v>
      </c>
      <c r="K320" s="1599">
        <v>0.88890000000000002</v>
      </c>
      <c r="L320" s="1599">
        <v>0.88890000000000002</v>
      </c>
      <c r="M320" s="1599">
        <v>0.88890000000000002</v>
      </c>
    </row>
    <row r="321" spans="1:13">
      <c r="A321" s="1590">
        <v>1.3</v>
      </c>
      <c r="B321" s="1599">
        <v>1.0538000000000001</v>
      </c>
      <c r="C321" s="1599">
        <v>1.0538000000000001</v>
      </c>
      <c r="D321" s="1599">
        <v>1.0589999999999999</v>
      </c>
      <c r="E321" s="1599">
        <v>1.0589999999999999</v>
      </c>
      <c r="F321" s="1599">
        <v>1.0589999999999999</v>
      </c>
      <c r="G321" s="1599">
        <v>0.96140000000000003</v>
      </c>
      <c r="H321" s="1599">
        <v>0.96140000000000003</v>
      </c>
      <c r="I321" s="1599">
        <v>0.85209999999999997</v>
      </c>
      <c r="J321" s="1599">
        <v>0.85209999999999997</v>
      </c>
      <c r="K321" s="1599">
        <v>0.85209999999999997</v>
      </c>
      <c r="L321" s="1599">
        <v>0.85209999999999997</v>
      </c>
      <c r="M321" s="1599">
        <v>0.85209999999999997</v>
      </c>
    </row>
    <row r="322" spans="1:13">
      <c r="A322" s="1590">
        <v>1.4</v>
      </c>
      <c r="B322" s="1599">
        <v>1.026</v>
      </c>
      <c r="C322" s="1599">
        <v>1.026</v>
      </c>
      <c r="D322" s="1599">
        <v>1.0271999999999999</v>
      </c>
      <c r="E322" s="1599">
        <v>1.0271999999999999</v>
      </c>
      <c r="F322" s="1599">
        <v>1.0271999999999999</v>
      </c>
      <c r="G322" s="1599">
        <v>0.93079999999999996</v>
      </c>
      <c r="H322" s="1599">
        <v>0.93079999999999996</v>
      </c>
      <c r="I322" s="1599">
        <v>0.82379999999999998</v>
      </c>
      <c r="J322" s="1599">
        <v>0.82379999999999998</v>
      </c>
      <c r="K322" s="1599">
        <v>0.82379999999999998</v>
      </c>
      <c r="L322" s="1599">
        <v>0.82379999999999998</v>
      </c>
      <c r="M322" s="1599">
        <v>0.82379999999999998</v>
      </c>
    </row>
    <row r="323" spans="1:13">
      <c r="A323" s="1590">
        <v>1.5</v>
      </c>
      <c r="B323" s="1599">
        <v>1</v>
      </c>
      <c r="C323" s="1599">
        <v>1</v>
      </c>
      <c r="D323" s="1599">
        <v>1</v>
      </c>
      <c r="E323" s="1599">
        <v>1</v>
      </c>
      <c r="F323" s="1599">
        <v>1</v>
      </c>
      <c r="G323" s="1599">
        <v>0.90559999999999996</v>
      </c>
      <c r="H323" s="1599">
        <v>0.90559999999999996</v>
      </c>
      <c r="I323" s="1599">
        <v>0.80110000000000003</v>
      </c>
      <c r="J323" s="1599">
        <v>0.80110000000000003</v>
      </c>
      <c r="K323" s="1599">
        <v>0.80110000000000003</v>
      </c>
      <c r="L323" s="1599">
        <v>0.80110000000000003</v>
      </c>
      <c r="M323" s="1599">
        <v>0.80110000000000003</v>
      </c>
    </row>
    <row r="324" spans="1:13">
      <c r="A324" s="1590">
        <v>1.6</v>
      </c>
      <c r="B324" s="1599">
        <v>0.97570000000000001</v>
      </c>
      <c r="C324" s="1599">
        <v>0.97570000000000001</v>
      </c>
      <c r="D324" s="1599">
        <v>0.97519999999999996</v>
      </c>
      <c r="E324" s="1599">
        <v>0.97519999999999996</v>
      </c>
      <c r="F324" s="1599">
        <v>0.97519999999999996</v>
      </c>
      <c r="G324" s="1599">
        <v>0.8831</v>
      </c>
      <c r="H324" s="1599">
        <v>0.8831</v>
      </c>
      <c r="I324" s="1599">
        <v>0.78100000000000003</v>
      </c>
      <c r="J324" s="1599">
        <v>0.78100000000000003</v>
      </c>
      <c r="K324" s="1599">
        <v>0.78100000000000003</v>
      </c>
      <c r="L324" s="1599">
        <v>0.78100000000000003</v>
      </c>
      <c r="M324" s="1599">
        <v>0.78100000000000003</v>
      </c>
    </row>
    <row r="325" spans="1:13">
      <c r="A325" s="1590">
        <v>1.7</v>
      </c>
      <c r="B325" s="1599">
        <v>0.95289999999999997</v>
      </c>
      <c r="C325" s="1599">
        <v>0.95289999999999997</v>
      </c>
      <c r="D325" s="1599">
        <v>0.95189999999999997</v>
      </c>
      <c r="E325" s="1599">
        <v>0.95189999999999997</v>
      </c>
      <c r="F325" s="1599">
        <v>0.95189999999999997</v>
      </c>
      <c r="G325" s="1599">
        <v>0.86180000000000001</v>
      </c>
      <c r="H325" s="1599">
        <v>0.86180000000000001</v>
      </c>
      <c r="I325" s="1599">
        <v>0.7621</v>
      </c>
      <c r="J325" s="1599">
        <v>0.7621</v>
      </c>
      <c r="K325" s="1599">
        <v>0.7621</v>
      </c>
      <c r="L325" s="1599">
        <v>0.7621</v>
      </c>
      <c r="M325" s="1599">
        <v>0.7621</v>
      </c>
    </row>
    <row r="326" spans="1:13">
      <c r="A326" s="1590">
        <v>1.8</v>
      </c>
      <c r="B326" s="1599">
        <v>0.93149999999999999</v>
      </c>
      <c r="C326" s="1599">
        <v>0.93149999999999999</v>
      </c>
      <c r="D326" s="1599">
        <v>0.93</v>
      </c>
      <c r="E326" s="1599">
        <v>0.93</v>
      </c>
      <c r="F326" s="1599">
        <v>0.93</v>
      </c>
      <c r="G326" s="1599">
        <v>0.84179999999999999</v>
      </c>
      <c r="H326" s="1599">
        <v>0.84179999999999999</v>
      </c>
      <c r="I326" s="1599">
        <v>0.74419999999999997</v>
      </c>
      <c r="J326" s="1599">
        <v>0.74419999999999997</v>
      </c>
      <c r="K326" s="1599">
        <v>0.74419999999999997</v>
      </c>
      <c r="L326" s="1599">
        <v>0.74419999999999997</v>
      </c>
      <c r="M326" s="1599">
        <v>0.74419999999999997</v>
      </c>
    </row>
    <row r="327" spans="1:13">
      <c r="A327" s="1590">
        <v>1.9</v>
      </c>
      <c r="B327" s="1599">
        <v>0.91139999999999999</v>
      </c>
      <c r="C327" s="1599">
        <v>0.91139999999999999</v>
      </c>
      <c r="D327" s="1599">
        <v>0.90939999999999999</v>
      </c>
      <c r="E327" s="1599">
        <v>0.90939999999999999</v>
      </c>
      <c r="F327" s="1599">
        <v>0.90939999999999999</v>
      </c>
      <c r="G327" s="1599">
        <v>0.82289999999999996</v>
      </c>
      <c r="H327" s="1599">
        <v>0.82289999999999996</v>
      </c>
      <c r="I327" s="1599">
        <v>0.72740000000000005</v>
      </c>
      <c r="J327" s="1599">
        <v>0.72740000000000005</v>
      </c>
      <c r="K327" s="1599">
        <v>0.72740000000000005</v>
      </c>
      <c r="L327" s="1599">
        <v>0.72740000000000005</v>
      </c>
      <c r="M327" s="1599">
        <v>0.72740000000000005</v>
      </c>
    </row>
    <row r="328" spans="1:13">
      <c r="A328" s="1590">
        <v>2</v>
      </c>
      <c r="B328" s="1599">
        <v>0.89270000000000005</v>
      </c>
      <c r="C328" s="1599">
        <v>0.89270000000000005</v>
      </c>
      <c r="D328" s="1599">
        <v>0.8901</v>
      </c>
      <c r="E328" s="1599">
        <v>0.8901</v>
      </c>
      <c r="F328" s="1599">
        <v>0.8901</v>
      </c>
      <c r="G328" s="1599">
        <v>0.80530000000000002</v>
      </c>
      <c r="H328" s="1599">
        <v>0.80530000000000002</v>
      </c>
      <c r="I328" s="1599">
        <v>0.71160000000000001</v>
      </c>
      <c r="J328" s="1599">
        <v>0.71160000000000001</v>
      </c>
      <c r="K328" s="1599">
        <v>0.71160000000000001</v>
      </c>
      <c r="L328" s="1599">
        <v>0.71160000000000001</v>
      </c>
      <c r="M328" s="1599">
        <v>0.71160000000000001</v>
      </c>
    </row>
    <row r="329" spans="1:13">
      <c r="A329" s="1613">
        <v>2.1</v>
      </c>
      <c r="B329" s="1599">
        <v>0.87519999999999998</v>
      </c>
      <c r="C329" s="1599">
        <v>0.87519999999999998</v>
      </c>
      <c r="D329" s="1599">
        <v>0.872</v>
      </c>
      <c r="E329" s="1599">
        <v>0.872</v>
      </c>
      <c r="F329" s="1599">
        <v>0.872</v>
      </c>
      <c r="G329" s="1599">
        <v>0.78869999999999996</v>
      </c>
      <c r="H329" s="1599">
        <v>0.78869999999999996</v>
      </c>
      <c r="I329" s="1599">
        <v>0.69669999999999999</v>
      </c>
      <c r="J329" s="1599">
        <v>0.69669999999999999</v>
      </c>
      <c r="K329" s="1599">
        <v>0.69669999999999999</v>
      </c>
      <c r="L329" s="1599">
        <v>0.69669999999999999</v>
      </c>
      <c r="M329" s="1599">
        <v>0.69669999999999999</v>
      </c>
    </row>
    <row r="330" spans="1:13">
      <c r="A330" s="1613">
        <v>2.2000000000000002</v>
      </c>
      <c r="B330" s="1599">
        <v>0.85880000000000001</v>
      </c>
      <c r="C330" s="1599">
        <v>0.85880000000000001</v>
      </c>
      <c r="D330" s="1599">
        <v>0.85499999999999998</v>
      </c>
      <c r="E330" s="1599">
        <v>0.85499999999999998</v>
      </c>
      <c r="F330" s="1599">
        <v>0.85499999999999998</v>
      </c>
      <c r="G330" s="1599">
        <v>0.77300000000000002</v>
      </c>
      <c r="H330" s="1599">
        <v>0.77300000000000002</v>
      </c>
      <c r="I330" s="1599">
        <v>0.68269999999999997</v>
      </c>
      <c r="J330" s="1599">
        <v>0.68269999999999997</v>
      </c>
      <c r="K330" s="1599">
        <v>0.68269999999999997</v>
      </c>
      <c r="L330" s="1599">
        <v>0.68269999999999997</v>
      </c>
      <c r="M330" s="1599">
        <v>0.68269999999999997</v>
      </c>
    </row>
    <row r="331" spans="1:13">
      <c r="A331" s="1613">
        <v>2.2999999999999998</v>
      </c>
      <c r="B331" s="1599">
        <v>0.84360000000000002</v>
      </c>
      <c r="C331" s="1599">
        <v>0.84360000000000002</v>
      </c>
      <c r="D331" s="1599">
        <v>0.83899999999999997</v>
      </c>
      <c r="E331" s="1599">
        <v>0.83899999999999997</v>
      </c>
      <c r="F331" s="1599">
        <v>0.83899999999999997</v>
      </c>
      <c r="G331" s="1599">
        <v>0.75839999999999996</v>
      </c>
      <c r="H331" s="1599">
        <v>0.75839999999999996</v>
      </c>
      <c r="I331" s="1599">
        <v>0.66949999999999998</v>
      </c>
      <c r="J331" s="1599">
        <v>0.66949999999999998</v>
      </c>
      <c r="K331" s="1599">
        <v>0.66949999999999998</v>
      </c>
      <c r="L331" s="1599">
        <v>0.66949999999999998</v>
      </c>
      <c r="M331" s="1599">
        <v>0.66949999999999998</v>
      </c>
    </row>
    <row r="332" spans="1:13">
      <c r="A332" s="1613">
        <v>2.4</v>
      </c>
      <c r="B332" s="1599">
        <v>0.82940000000000003</v>
      </c>
      <c r="C332" s="1599">
        <v>0.82940000000000003</v>
      </c>
      <c r="D332" s="1599">
        <v>0.82410000000000005</v>
      </c>
      <c r="E332" s="1599">
        <v>0.82410000000000005</v>
      </c>
      <c r="F332" s="1599">
        <v>0.82410000000000005</v>
      </c>
      <c r="G332" s="1599">
        <v>0.74460000000000004</v>
      </c>
      <c r="H332" s="1599">
        <v>0.74460000000000004</v>
      </c>
      <c r="I332" s="1599">
        <v>0.65710000000000002</v>
      </c>
      <c r="J332" s="1599">
        <v>0.65710000000000002</v>
      </c>
      <c r="K332" s="1599">
        <v>0.65710000000000002</v>
      </c>
      <c r="L332" s="1599">
        <v>0.65710000000000002</v>
      </c>
      <c r="M332" s="1599">
        <v>0.65710000000000002</v>
      </c>
    </row>
    <row r="333" spans="1:13">
      <c r="A333" s="1613">
        <v>2.5</v>
      </c>
      <c r="B333" s="1599">
        <v>0.81620000000000004</v>
      </c>
      <c r="C333" s="1599">
        <v>0.81620000000000004</v>
      </c>
      <c r="D333" s="1599">
        <v>0.81020000000000003</v>
      </c>
      <c r="E333" s="1599">
        <v>0.81020000000000003</v>
      </c>
      <c r="F333" s="1599">
        <v>0.81020000000000003</v>
      </c>
      <c r="G333" s="1599">
        <v>0.73180000000000001</v>
      </c>
      <c r="H333" s="1599">
        <v>0.73180000000000001</v>
      </c>
      <c r="I333" s="1599">
        <v>0.64549999999999996</v>
      </c>
      <c r="J333" s="1599">
        <v>0.64549999999999996</v>
      </c>
      <c r="K333" s="1599">
        <v>0.64549999999999996</v>
      </c>
      <c r="L333" s="1599">
        <v>0.64549999999999996</v>
      </c>
      <c r="M333" s="1599">
        <v>0.64549999999999996</v>
      </c>
    </row>
    <row r="334" spans="1:13">
      <c r="A334" s="1613">
        <v>2.6</v>
      </c>
      <c r="B334" s="1599">
        <v>0.80389999999999995</v>
      </c>
      <c r="C334" s="1599">
        <v>0.80389999999999995</v>
      </c>
      <c r="D334" s="1599">
        <v>0.79710000000000003</v>
      </c>
      <c r="E334" s="1599">
        <v>0.79710000000000003</v>
      </c>
      <c r="F334" s="1599">
        <v>0.79710000000000003</v>
      </c>
      <c r="G334" s="1599">
        <v>0.71970000000000001</v>
      </c>
      <c r="H334" s="1599">
        <v>0.71970000000000001</v>
      </c>
      <c r="I334" s="1599">
        <v>0.63460000000000005</v>
      </c>
      <c r="J334" s="1599">
        <v>0.63460000000000005</v>
      </c>
      <c r="K334" s="1599">
        <v>0.63460000000000005</v>
      </c>
      <c r="L334" s="1599">
        <v>0.63460000000000005</v>
      </c>
      <c r="M334" s="1599">
        <v>0.63460000000000005</v>
      </c>
    </row>
    <row r="335" spans="1:13">
      <c r="A335" s="1613">
        <v>2.7</v>
      </c>
      <c r="B335" s="1599">
        <v>0.79249999999999998</v>
      </c>
      <c r="C335" s="1599">
        <v>0.79249999999999998</v>
      </c>
      <c r="D335" s="1599">
        <v>0.78490000000000004</v>
      </c>
      <c r="E335" s="1599">
        <v>0.78490000000000004</v>
      </c>
      <c r="F335" s="1599">
        <v>0.78490000000000004</v>
      </c>
      <c r="G335" s="1599">
        <v>0.70840000000000003</v>
      </c>
      <c r="H335" s="1599">
        <v>0.70840000000000003</v>
      </c>
      <c r="I335" s="1599">
        <v>0.62439999999999996</v>
      </c>
      <c r="J335" s="1599">
        <v>0.62439999999999996</v>
      </c>
      <c r="K335" s="1599">
        <v>0.62439999999999996</v>
      </c>
      <c r="L335" s="1599">
        <v>0.62439999999999996</v>
      </c>
      <c r="M335" s="1599">
        <v>0.62439999999999996</v>
      </c>
    </row>
    <row r="336" spans="1:13">
      <c r="A336" s="1613">
        <v>2.8</v>
      </c>
      <c r="B336" s="1599">
        <v>0.78190000000000004</v>
      </c>
      <c r="C336" s="1599">
        <v>0.78190000000000004</v>
      </c>
      <c r="D336" s="1599">
        <v>0.77359999999999995</v>
      </c>
      <c r="E336" s="1599">
        <v>0.77359999999999995</v>
      </c>
      <c r="F336" s="1599">
        <v>0.77359999999999995</v>
      </c>
      <c r="G336" s="1599">
        <v>0.69789999999999996</v>
      </c>
      <c r="H336" s="1599">
        <v>0.69789999999999996</v>
      </c>
      <c r="I336" s="1599">
        <v>0.61480000000000001</v>
      </c>
      <c r="J336" s="1599">
        <v>0.61480000000000001</v>
      </c>
      <c r="K336" s="1599">
        <v>0.61480000000000001</v>
      </c>
      <c r="L336" s="1599">
        <v>0.61480000000000001</v>
      </c>
      <c r="M336" s="1599">
        <v>0.61480000000000001</v>
      </c>
    </row>
    <row r="337" spans="1:13">
      <c r="A337" s="1613">
        <v>2.9</v>
      </c>
      <c r="B337" s="1599">
        <v>0.77210000000000001</v>
      </c>
      <c r="C337" s="1599">
        <v>0.77210000000000001</v>
      </c>
      <c r="D337" s="1599">
        <v>0.76300000000000001</v>
      </c>
      <c r="E337" s="1599">
        <v>0.76300000000000001</v>
      </c>
      <c r="F337" s="1599">
        <v>0.76300000000000001</v>
      </c>
      <c r="G337" s="1599">
        <v>0.68799999999999994</v>
      </c>
      <c r="H337" s="1599">
        <v>0.68799999999999994</v>
      </c>
      <c r="I337" s="1599">
        <v>0.60589999999999999</v>
      </c>
      <c r="J337" s="1599">
        <v>0.60589999999999999</v>
      </c>
      <c r="K337" s="1599">
        <v>0.60589999999999999</v>
      </c>
      <c r="L337" s="1599">
        <v>0.60589999999999999</v>
      </c>
      <c r="M337" s="1599">
        <v>0.60589999999999999</v>
      </c>
    </row>
    <row r="338" spans="1:13">
      <c r="A338" s="1613">
        <v>3</v>
      </c>
      <c r="B338" s="1599">
        <v>0.7631</v>
      </c>
      <c r="C338" s="1599">
        <v>0.7631</v>
      </c>
      <c r="D338" s="1599">
        <v>0.75309999999999999</v>
      </c>
      <c r="E338" s="1599">
        <v>0.75309999999999999</v>
      </c>
      <c r="F338" s="1599">
        <v>0.75309999999999999</v>
      </c>
      <c r="G338" s="1599">
        <v>0.67879999999999996</v>
      </c>
      <c r="H338" s="1599">
        <v>0.67879999999999996</v>
      </c>
      <c r="I338" s="1599">
        <v>0.59750000000000003</v>
      </c>
      <c r="J338" s="1599">
        <v>0.59750000000000003</v>
      </c>
      <c r="K338" s="1599">
        <v>0.59750000000000003</v>
      </c>
      <c r="L338" s="1599">
        <v>0.59750000000000003</v>
      </c>
      <c r="M338" s="1599">
        <v>0.59750000000000003</v>
      </c>
    </row>
    <row r="339" spans="1:13">
      <c r="A339" s="1613">
        <v>3.1</v>
      </c>
      <c r="B339" s="1599">
        <v>0.75470000000000004</v>
      </c>
      <c r="C339" s="1599">
        <v>0.75470000000000004</v>
      </c>
      <c r="D339" s="1599">
        <v>0.74399999999999999</v>
      </c>
      <c r="E339" s="1599">
        <v>0.74399999999999999</v>
      </c>
      <c r="F339" s="1599">
        <v>0.74399999999999999</v>
      </c>
      <c r="G339" s="1599">
        <v>0.67020000000000002</v>
      </c>
      <c r="H339" s="1599">
        <v>0.67020000000000002</v>
      </c>
      <c r="I339" s="1599">
        <v>0.5897</v>
      </c>
      <c r="J339" s="1599">
        <v>0.5897</v>
      </c>
      <c r="K339" s="1599">
        <v>0.5897</v>
      </c>
      <c r="L339" s="1599">
        <v>0.5897</v>
      </c>
      <c r="M339" s="1599">
        <v>0.5897</v>
      </c>
    </row>
    <row r="340" spans="1:13">
      <c r="A340" s="1613">
        <v>3.2</v>
      </c>
      <c r="B340" s="1599">
        <v>0.747</v>
      </c>
      <c r="C340" s="1599">
        <v>0.747</v>
      </c>
      <c r="D340" s="1599">
        <v>0.73540000000000005</v>
      </c>
      <c r="E340" s="1599">
        <v>0.73540000000000005</v>
      </c>
      <c r="F340" s="1599">
        <v>0.73540000000000005</v>
      </c>
      <c r="G340" s="1599">
        <v>0.66220000000000001</v>
      </c>
      <c r="H340" s="1599">
        <v>0.66220000000000001</v>
      </c>
      <c r="I340" s="1599">
        <v>0.58230000000000004</v>
      </c>
      <c r="J340" s="1599">
        <v>0.58230000000000004</v>
      </c>
      <c r="K340" s="1599">
        <v>0.58230000000000004</v>
      </c>
      <c r="L340" s="1599">
        <v>0.58230000000000004</v>
      </c>
      <c r="M340" s="1599">
        <v>0.58230000000000004</v>
      </c>
    </row>
    <row r="341" spans="1:13">
      <c r="A341" s="1613">
        <v>3.3</v>
      </c>
      <c r="B341" s="1599">
        <v>0.7399</v>
      </c>
      <c r="C341" s="1599">
        <v>0.7399</v>
      </c>
      <c r="D341" s="1599">
        <v>0.72750000000000004</v>
      </c>
      <c r="E341" s="1599">
        <v>0.72750000000000004</v>
      </c>
      <c r="F341" s="1599">
        <v>0.72750000000000004</v>
      </c>
      <c r="G341" s="1599">
        <v>0.65480000000000005</v>
      </c>
      <c r="H341" s="1599">
        <v>0.65480000000000005</v>
      </c>
      <c r="I341" s="1599">
        <v>0.57540000000000002</v>
      </c>
      <c r="J341" s="1599">
        <v>0.57540000000000002</v>
      </c>
      <c r="K341" s="1599">
        <v>0.57540000000000002</v>
      </c>
      <c r="L341" s="1599">
        <v>0.57540000000000002</v>
      </c>
      <c r="M341" s="1599">
        <v>0.57540000000000002</v>
      </c>
    </row>
    <row r="342" spans="1:13">
      <c r="A342" s="1613">
        <v>3.4</v>
      </c>
      <c r="B342" s="1599">
        <v>0.73340000000000005</v>
      </c>
      <c r="C342" s="1599">
        <v>0.73340000000000005</v>
      </c>
      <c r="D342" s="1599">
        <v>0.72009999999999996</v>
      </c>
      <c r="E342" s="1599">
        <v>0.72009999999999996</v>
      </c>
      <c r="F342" s="1599">
        <v>0.72009999999999996</v>
      </c>
      <c r="G342" s="1599">
        <v>0.64780000000000004</v>
      </c>
      <c r="H342" s="1599">
        <v>0.64780000000000004</v>
      </c>
      <c r="I342" s="1599">
        <v>0.56899999999999995</v>
      </c>
      <c r="J342" s="1599">
        <v>0.56899999999999995</v>
      </c>
      <c r="K342" s="1599">
        <v>0.56899999999999995</v>
      </c>
      <c r="L342" s="1599">
        <v>0.56899999999999995</v>
      </c>
      <c r="M342" s="1599">
        <v>0.56899999999999995</v>
      </c>
    </row>
    <row r="343" spans="1:13">
      <c r="A343" s="1613">
        <v>3.5</v>
      </c>
      <c r="B343" s="1599">
        <v>0.72740000000000005</v>
      </c>
      <c r="C343" s="1599">
        <v>0.72740000000000005</v>
      </c>
      <c r="D343" s="1599">
        <v>0.71330000000000005</v>
      </c>
      <c r="E343" s="1599">
        <v>0.71330000000000005</v>
      </c>
      <c r="F343" s="1599">
        <v>0.71330000000000005</v>
      </c>
      <c r="G343" s="1599">
        <v>0.64129999999999998</v>
      </c>
      <c r="H343" s="1599">
        <v>0.64129999999999998</v>
      </c>
      <c r="I343" s="1599">
        <v>0.56310000000000004</v>
      </c>
      <c r="J343" s="1599">
        <v>0.56310000000000004</v>
      </c>
      <c r="K343" s="1599">
        <v>0.56310000000000004</v>
      </c>
      <c r="L343" s="1599">
        <v>0.56310000000000004</v>
      </c>
      <c r="M343" s="1599">
        <v>0.56310000000000004</v>
      </c>
    </row>
    <row r="344" spans="1:13">
      <c r="A344" s="1613">
        <v>3.6</v>
      </c>
      <c r="B344" s="1599">
        <v>0.72189999999999999</v>
      </c>
      <c r="C344" s="1599">
        <v>0.72189999999999999</v>
      </c>
      <c r="D344" s="1599">
        <v>0.70699999999999996</v>
      </c>
      <c r="E344" s="1599">
        <v>0.70699999999999996</v>
      </c>
      <c r="F344" s="1599">
        <v>0.70699999999999996</v>
      </c>
      <c r="G344" s="1599">
        <v>0.63529999999999998</v>
      </c>
      <c r="H344" s="1599">
        <v>0.63529999999999998</v>
      </c>
      <c r="I344" s="1599">
        <v>0.5575</v>
      </c>
      <c r="J344" s="1599">
        <v>0.5575</v>
      </c>
      <c r="K344" s="1599">
        <v>0.5575</v>
      </c>
      <c r="L344" s="1599">
        <v>0.5575</v>
      </c>
      <c r="M344" s="1599">
        <v>0.5575</v>
      </c>
    </row>
    <row r="345" spans="1:13">
      <c r="A345" s="1613">
        <v>3.7</v>
      </c>
      <c r="B345" s="1599">
        <v>0.71679999999999999</v>
      </c>
      <c r="C345" s="1599">
        <v>0.71679999999999999</v>
      </c>
      <c r="D345" s="1599">
        <v>0.70109999999999995</v>
      </c>
      <c r="E345" s="1599">
        <v>0.70109999999999995</v>
      </c>
      <c r="F345" s="1599">
        <v>0.70109999999999995</v>
      </c>
      <c r="G345" s="1599">
        <v>0.62970000000000004</v>
      </c>
      <c r="H345" s="1599">
        <v>0.62970000000000004</v>
      </c>
      <c r="I345" s="1599">
        <v>0.55230000000000001</v>
      </c>
      <c r="J345" s="1599">
        <v>0.55230000000000001</v>
      </c>
      <c r="K345" s="1599">
        <v>0.55230000000000001</v>
      </c>
      <c r="L345" s="1599">
        <v>0.55230000000000001</v>
      </c>
      <c r="M345" s="1599">
        <v>0.55230000000000001</v>
      </c>
    </row>
    <row r="346" spans="1:13">
      <c r="A346" s="1613">
        <v>3.8</v>
      </c>
      <c r="B346" s="1599">
        <v>0.71220000000000006</v>
      </c>
      <c r="C346" s="1599">
        <v>0.71220000000000006</v>
      </c>
      <c r="D346" s="1599">
        <v>0.6956</v>
      </c>
      <c r="E346" s="1599">
        <v>0.6956</v>
      </c>
      <c r="F346" s="1599">
        <v>0.6956</v>
      </c>
      <c r="G346" s="1599">
        <v>0.62439999999999996</v>
      </c>
      <c r="H346" s="1599">
        <v>0.62439999999999996</v>
      </c>
      <c r="I346" s="1599">
        <v>0.5474</v>
      </c>
      <c r="J346" s="1599">
        <v>0.5474</v>
      </c>
      <c r="K346" s="1599">
        <v>0.5474</v>
      </c>
      <c r="L346" s="1599">
        <v>0.5474</v>
      </c>
      <c r="M346" s="1599">
        <v>0.5474</v>
      </c>
    </row>
    <row r="347" spans="1:13">
      <c r="A347" s="1613">
        <v>3.9</v>
      </c>
      <c r="B347" s="1599">
        <v>0.70799999999999996</v>
      </c>
      <c r="C347" s="1599">
        <v>0.70799999999999996</v>
      </c>
      <c r="D347" s="1599">
        <v>0.69059999999999999</v>
      </c>
      <c r="E347" s="1599">
        <v>0.69059999999999999</v>
      </c>
      <c r="F347" s="1599">
        <v>0.69059999999999999</v>
      </c>
      <c r="G347" s="1599">
        <v>0.61950000000000005</v>
      </c>
      <c r="H347" s="1599">
        <v>0.61950000000000005</v>
      </c>
      <c r="I347" s="1599">
        <v>0.54279999999999995</v>
      </c>
      <c r="J347" s="1599">
        <v>0.54279999999999995</v>
      </c>
      <c r="K347" s="1599">
        <v>0.54279999999999995</v>
      </c>
      <c r="L347" s="1599">
        <v>0.54279999999999995</v>
      </c>
      <c r="M347" s="1599">
        <v>0.54279999999999995</v>
      </c>
    </row>
    <row r="348" spans="1:13">
      <c r="A348" s="1613">
        <v>4</v>
      </c>
      <c r="B348" s="1599">
        <v>0.70409999999999995</v>
      </c>
      <c r="C348" s="1599">
        <v>0.70409999999999995</v>
      </c>
      <c r="D348" s="1599">
        <v>0.68589999999999995</v>
      </c>
      <c r="E348" s="1599">
        <v>0.68589999999999995</v>
      </c>
      <c r="F348" s="1599">
        <v>0.68589999999999995</v>
      </c>
      <c r="G348" s="1599">
        <v>0.61499999999999999</v>
      </c>
      <c r="H348" s="1599">
        <v>0.61499999999999999</v>
      </c>
      <c r="I348" s="1599">
        <v>0.53859999999999997</v>
      </c>
      <c r="J348" s="1599">
        <v>0.53859999999999997</v>
      </c>
      <c r="K348" s="1599">
        <v>0.53859999999999997</v>
      </c>
      <c r="L348" s="1599">
        <v>0.53859999999999997</v>
      </c>
      <c r="M348" s="1599">
        <v>0.53859999999999997</v>
      </c>
    </row>
    <row r="349" spans="1:13">
      <c r="A349" s="1613">
        <v>4.0999999999999996</v>
      </c>
      <c r="B349" s="1599">
        <v>0.7006</v>
      </c>
      <c r="C349" s="1599">
        <v>0.7006</v>
      </c>
      <c r="D349" s="1599">
        <v>0.68159999999999998</v>
      </c>
      <c r="E349" s="1599">
        <v>0.68159999999999998</v>
      </c>
      <c r="F349" s="1599">
        <v>0.68159999999999998</v>
      </c>
      <c r="G349" s="1599">
        <v>0.61080000000000001</v>
      </c>
      <c r="H349" s="1599">
        <v>0.61080000000000001</v>
      </c>
      <c r="I349" s="1599">
        <v>0.53459999999999996</v>
      </c>
      <c r="J349" s="1599">
        <v>0.53459999999999996</v>
      </c>
      <c r="K349" s="1599">
        <v>0.53459999999999996</v>
      </c>
      <c r="L349" s="1599">
        <v>0.53459999999999996</v>
      </c>
      <c r="M349" s="1599">
        <v>0.53459999999999996</v>
      </c>
    </row>
    <row r="350" spans="1:13">
      <c r="A350" s="1613">
        <v>4.2</v>
      </c>
      <c r="B350" s="1599">
        <v>0.69740000000000002</v>
      </c>
      <c r="C350" s="1599">
        <v>0.69740000000000002</v>
      </c>
      <c r="D350" s="1599">
        <v>0.67759999999999998</v>
      </c>
      <c r="E350" s="1599">
        <v>0.67759999999999998</v>
      </c>
      <c r="F350" s="1599">
        <v>0.67759999999999998</v>
      </c>
      <c r="G350" s="1599">
        <v>0.60699999999999998</v>
      </c>
      <c r="H350" s="1599">
        <v>0.60699999999999998</v>
      </c>
      <c r="I350" s="1599">
        <v>0.53090000000000004</v>
      </c>
      <c r="J350" s="1599">
        <v>0.53090000000000004</v>
      </c>
      <c r="K350" s="1599">
        <v>0.53090000000000004</v>
      </c>
      <c r="L350" s="1599">
        <v>0.53090000000000004</v>
      </c>
      <c r="M350" s="1599">
        <v>0.53090000000000004</v>
      </c>
    </row>
    <row r="351" spans="1:13">
      <c r="A351" s="1613">
        <v>4.3</v>
      </c>
      <c r="B351" s="1599">
        <v>0.69450000000000001</v>
      </c>
      <c r="C351" s="1599">
        <v>0.69450000000000001</v>
      </c>
      <c r="D351" s="1599">
        <v>0.67390000000000005</v>
      </c>
      <c r="E351" s="1599">
        <v>0.67390000000000005</v>
      </c>
      <c r="F351" s="1599">
        <v>0.67390000000000005</v>
      </c>
      <c r="G351" s="1599">
        <v>0.60329999999999995</v>
      </c>
      <c r="H351" s="1599">
        <v>0.60329999999999995</v>
      </c>
      <c r="I351" s="1599">
        <v>0.52739999999999998</v>
      </c>
      <c r="J351" s="1599">
        <v>0.52739999999999998</v>
      </c>
      <c r="K351" s="1599">
        <v>0.52739999999999998</v>
      </c>
      <c r="L351" s="1599">
        <v>0.52739999999999998</v>
      </c>
      <c r="M351" s="1599">
        <v>0.52739999999999998</v>
      </c>
    </row>
    <row r="352" spans="1:13">
      <c r="A352" s="1613">
        <v>4.4000000000000004</v>
      </c>
      <c r="B352" s="1599">
        <v>0.69179999999999997</v>
      </c>
      <c r="C352" s="1599">
        <v>0.69179999999999997</v>
      </c>
      <c r="D352" s="1599">
        <v>0.67049999999999998</v>
      </c>
      <c r="E352" s="1599">
        <v>0.67049999999999998</v>
      </c>
      <c r="F352" s="1599">
        <v>0.67049999999999998</v>
      </c>
      <c r="G352" s="1599">
        <v>0.59989999999999999</v>
      </c>
      <c r="H352" s="1599">
        <v>0.59989999999999999</v>
      </c>
      <c r="I352" s="1599">
        <v>0.5242</v>
      </c>
      <c r="J352" s="1599">
        <v>0.5242</v>
      </c>
      <c r="K352" s="1599">
        <v>0.5242</v>
      </c>
      <c r="L352" s="1599">
        <v>0.5242</v>
      </c>
      <c r="M352" s="1599">
        <v>0.5242</v>
      </c>
    </row>
    <row r="353" spans="1:13">
      <c r="A353" s="1613">
        <v>4.5</v>
      </c>
      <c r="B353" s="1599">
        <v>0.68940000000000001</v>
      </c>
      <c r="C353" s="1599">
        <v>0.68940000000000001</v>
      </c>
      <c r="D353" s="1599">
        <v>0.6673</v>
      </c>
      <c r="E353" s="1599">
        <v>0.6673</v>
      </c>
      <c r="F353" s="1599">
        <v>0.6673</v>
      </c>
      <c r="G353" s="1599">
        <v>0.59670000000000001</v>
      </c>
      <c r="H353" s="1599">
        <v>0.59670000000000001</v>
      </c>
      <c r="I353" s="1599">
        <v>0.52110000000000001</v>
      </c>
      <c r="J353" s="1599">
        <v>0.52110000000000001</v>
      </c>
      <c r="K353" s="1599">
        <v>0.52110000000000001</v>
      </c>
      <c r="L353" s="1599">
        <v>0.52110000000000001</v>
      </c>
      <c r="M353" s="1599">
        <v>0.52110000000000001</v>
      </c>
    </row>
    <row r="354" spans="1:13">
      <c r="A354" s="1613">
        <v>4.5999999999999996</v>
      </c>
      <c r="B354" s="1599">
        <v>0.68720000000000003</v>
      </c>
      <c r="C354" s="1599">
        <v>0.68720000000000003</v>
      </c>
      <c r="D354" s="1599">
        <v>0.6643</v>
      </c>
      <c r="E354" s="1599">
        <v>0.6643</v>
      </c>
      <c r="F354" s="1599">
        <v>0.6643</v>
      </c>
      <c r="G354" s="1599">
        <v>0.59379999999999999</v>
      </c>
      <c r="H354" s="1599">
        <v>0.59379999999999999</v>
      </c>
      <c r="I354" s="1599">
        <v>0.51819999999999999</v>
      </c>
      <c r="J354" s="1599">
        <v>0.51819999999999999</v>
      </c>
      <c r="K354" s="1599">
        <v>0.51819999999999999</v>
      </c>
      <c r="L354" s="1599">
        <v>0.51819999999999999</v>
      </c>
      <c r="M354" s="1599">
        <v>0.51819999999999999</v>
      </c>
    </row>
    <row r="355" spans="1:13">
      <c r="A355" s="1613">
        <v>4.7</v>
      </c>
      <c r="B355" s="1599">
        <v>0.68520000000000003</v>
      </c>
      <c r="C355" s="1599">
        <v>0.68520000000000003</v>
      </c>
      <c r="D355" s="1599">
        <v>0.66149999999999998</v>
      </c>
      <c r="E355" s="1599">
        <v>0.66149999999999998</v>
      </c>
      <c r="F355" s="1599">
        <v>0.66149999999999998</v>
      </c>
      <c r="G355" s="1599">
        <v>0.59109999999999996</v>
      </c>
      <c r="H355" s="1599">
        <v>0.59109999999999996</v>
      </c>
      <c r="I355" s="1599">
        <v>0.51559999999999995</v>
      </c>
      <c r="J355" s="1599">
        <v>0.51559999999999995</v>
      </c>
      <c r="K355" s="1599">
        <v>0.51559999999999995</v>
      </c>
      <c r="L355" s="1599">
        <v>0.51559999999999995</v>
      </c>
      <c r="M355" s="1599">
        <v>0.51559999999999995</v>
      </c>
    </row>
    <row r="356" spans="1:13">
      <c r="A356" s="1613">
        <v>4.8</v>
      </c>
      <c r="B356" s="1599">
        <v>0.68340000000000001</v>
      </c>
      <c r="C356" s="1599">
        <v>0.68340000000000001</v>
      </c>
      <c r="D356" s="1599">
        <v>0.65900000000000003</v>
      </c>
      <c r="E356" s="1599">
        <v>0.65900000000000003</v>
      </c>
      <c r="F356" s="1599">
        <v>0.65900000000000003</v>
      </c>
      <c r="G356" s="1599">
        <v>0.58850000000000002</v>
      </c>
      <c r="H356" s="1599">
        <v>0.58850000000000002</v>
      </c>
      <c r="I356" s="1599">
        <v>0.51300000000000001</v>
      </c>
      <c r="J356" s="1599">
        <v>0.51300000000000001</v>
      </c>
      <c r="K356" s="1599">
        <v>0.51300000000000001</v>
      </c>
      <c r="L356" s="1599">
        <v>0.51300000000000001</v>
      </c>
      <c r="M356" s="1599">
        <v>0.51300000000000001</v>
      </c>
    </row>
    <row r="357" spans="1:13">
      <c r="A357" s="1613">
        <v>4.9000000000000004</v>
      </c>
      <c r="B357" s="1599">
        <v>0.68179999999999996</v>
      </c>
      <c r="C357" s="1599">
        <v>0.68179999999999996</v>
      </c>
      <c r="D357" s="1599">
        <v>0.65659999999999996</v>
      </c>
      <c r="E357" s="1599">
        <v>0.65659999999999996</v>
      </c>
      <c r="F357" s="1599">
        <v>0.65659999999999996</v>
      </c>
      <c r="G357" s="1599">
        <v>0.58599999999999997</v>
      </c>
      <c r="H357" s="1599">
        <v>0.58599999999999997</v>
      </c>
      <c r="I357" s="1599">
        <v>0.51060000000000005</v>
      </c>
      <c r="J357" s="1599">
        <v>0.51060000000000005</v>
      </c>
      <c r="K357" s="1599">
        <v>0.51060000000000005</v>
      </c>
      <c r="L357" s="1599">
        <v>0.51060000000000005</v>
      </c>
      <c r="M357" s="1599">
        <v>0.51060000000000005</v>
      </c>
    </row>
    <row r="358" spans="1:13">
      <c r="A358" s="1613">
        <v>5</v>
      </c>
      <c r="B358" s="1599">
        <v>0.68030000000000002</v>
      </c>
      <c r="C358" s="1599">
        <v>0.68030000000000002</v>
      </c>
      <c r="D358" s="1599">
        <v>0.65439999999999998</v>
      </c>
      <c r="E358" s="1599">
        <v>0.65439999999999998</v>
      </c>
      <c r="F358" s="1599">
        <v>0.65439999999999998</v>
      </c>
      <c r="G358" s="1599">
        <v>0.58379999999999999</v>
      </c>
      <c r="H358" s="1599">
        <v>0.58379999999999999</v>
      </c>
      <c r="I358" s="1599">
        <v>0.50839999999999996</v>
      </c>
      <c r="J358" s="1599">
        <v>0.50839999999999996</v>
      </c>
      <c r="K358" s="1599">
        <v>0.50839999999999996</v>
      </c>
      <c r="L358" s="1599">
        <v>0.50839999999999996</v>
      </c>
      <c r="M358" s="1599">
        <v>0.50839999999999996</v>
      </c>
    </row>
    <row r="359" spans="1:13">
      <c r="A359" s="1590">
        <v>5.0999999999999996</v>
      </c>
      <c r="B359" s="1599">
        <v>0.67889999999999995</v>
      </c>
      <c r="C359" s="1599">
        <v>0.67889999999999995</v>
      </c>
      <c r="D359" s="1599">
        <v>0.65229999999999999</v>
      </c>
      <c r="E359" s="1599">
        <v>0.65229999999999999</v>
      </c>
      <c r="F359" s="1599">
        <v>0.65229999999999999</v>
      </c>
      <c r="G359" s="1599">
        <v>0.58160000000000001</v>
      </c>
      <c r="H359" s="1599">
        <v>0.58160000000000001</v>
      </c>
      <c r="I359" s="1599">
        <v>0.50629999999999997</v>
      </c>
      <c r="J359" s="1599">
        <v>0.50629999999999997</v>
      </c>
      <c r="K359" s="1599">
        <v>0.50629999999999997</v>
      </c>
      <c r="L359" s="1599">
        <v>0.50629999999999997</v>
      </c>
      <c r="M359" s="1599">
        <v>0.50629999999999997</v>
      </c>
    </row>
    <row r="360" spans="1:13">
      <c r="A360" s="1590">
        <v>5.2</v>
      </c>
      <c r="B360" s="1599">
        <v>0.67749999999999999</v>
      </c>
      <c r="C360" s="1599">
        <v>0.67749999999999999</v>
      </c>
      <c r="D360" s="1599">
        <v>0.65029999999999999</v>
      </c>
      <c r="E360" s="1599">
        <v>0.65029999999999999</v>
      </c>
      <c r="F360" s="1599">
        <v>0.65029999999999999</v>
      </c>
      <c r="G360" s="1599">
        <v>0.57950000000000002</v>
      </c>
      <c r="H360" s="1599">
        <v>0.57950000000000002</v>
      </c>
      <c r="I360" s="1599">
        <v>0.50419999999999998</v>
      </c>
      <c r="J360" s="1599">
        <v>0.50419999999999998</v>
      </c>
      <c r="K360" s="1599">
        <v>0.50419999999999998</v>
      </c>
      <c r="L360" s="1599">
        <v>0.50419999999999998</v>
      </c>
      <c r="M360" s="1599">
        <v>0.50419999999999998</v>
      </c>
    </row>
    <row r="361" spans="1:13">
      <c r="A361" s="1590">
        <v>5.3</v>
      </c>
      <c r="B361" s="1599">
        <v>0.67620000000000002</v>
      </c>
      <c r="C361" s="1599">
        <v>0.67620000000000002</v>
      </c>
      <c r="D361" s="1599">
        <v>0.64839999999999998</v>
      </c>
      <c r="E361" s="1599">
        <v>0.64839999999999998</v>
      </c>
      <c r="F361" s="1599">
        <v>0.64839999999999998</v>
      </c>
      <c r="G361" s="1599">
        <v>0.5776</v>
      </c>
      <c r="H361" s="1599">
        <v>0.5776</v>
      </c>
      <c r="I361" s="1599">
        <v>0.50229999999999997</v>
      </c>
      <c r="J361" s="1599">
        <v>0.50229999999999997</v>
      </c>
      <c r="K361" s="1599">
        <v>0.50229999999999997</v>
      </c>
      <c r="L361" s="1599">
        <v>0.50229999999999997</v>
      </c>
      <c r="M361" s="1599">
        <v>0.50229999999999997</v>
      </c>
    </row>
    <row r="362" spans="1:13">
      <c r="A362" s="1590">
        <v>5.4</v>
      </c>
      <c r="B362" s="1599">
        <v>0.67500000000000004</v>
      </c>
      <c r="C362" s="1599">
        <v>0.67500000000000004</v>
      </c>
      <c r="D362" s="1599">
        <v>0.64670000000000005</v>
      </c>
      <c r="E362" s="1599">
        <v>0.64670000000000005</v>
      </c>
      <c r="F362" s="1599">
        <v>0.64670000000000005</v>
      </c>
      <c r="G362" s="1599">
        <v>0.57579999999999998</v>
      </c>
      <c r="H362" s="1599">
        <v>0.57579999999999998</v>
      </c>
      <c r="I362" s="1599">
        <v>0.50039999999999996</v>
      </c>
      <c r="J362" s="1599">
        <v>0.50039999999999996</v>
      </c>
      <c r="K362" s="1599">
        <v>0.50039999999999996</v>
      </c>
      <c r="L362" s="1599">
        <v>0.50039999999999996</v>
      </c>
      <c r="M362" s="1599">
        <v>0.50039999999999996</v>
      </c>
    </row>
    <row r="363" spans="1:13">
      <c r="A363" s="1590">
        <v>5.5</v>
      </c>
      <c r="B363" s="1599">
        <v>0.67379999999999995</v>
      </c>
      <c r="C363" s="1599">
        <v>0.67379999999999995</v>
      </c>
      <c r="D363" s="1599">
        <v>0.64500000000000002</v>
      </c>
      <c r="E363" s="1599">
        <v>0.64500000000000002</v>
      </c>
      <c r="F363" s="1599">
        <v>0.64500000000000002</v>
      </c>
      <c r="G363" s="1599">
        <v>0.57399999999999995</v>
      </c>
      <c r="H363" s="1599">
        <v>0.57399999999999995</v>
      </c>
      <c r="I363" s="1599">
        <v>0.49869999999999998</v>
      </c>
      <c r="J363" s="1599">
        <v>0.49869999999999998</v>
      </c>
      <c r="K363" s="1599">
        <v>0.49869999999999998</v>
      </c>
      <c r="L363" s="1599">
        <v>0.49869999999999998</v>
      </c>
      <c r="M363" s="1599">
        <v>0.49869999999999998</v>
      </c>
    </row>
    <row r="364" spans="1:13">
      <c r="A364" s="1590">
        <v>5.6</v>
      </c>
      <c r="B364" s="1599">
        <v>0.67259999999999998</v>
      </c>
      <c r="C364" s="1599">
        <v>0.67259999999999998</v>
      </c>
      <c r="D364" s="1599">
        <v>0.64339999999999997</v>
      </c>
      <c r="E364" s="1599">
        <v>0.64339999999999997</v>
      </c>
      <c r="F364" s="1599">
        <v>0.64339999999999997</v>
      </c>
      <c r="G364" s="1599">
        <v>0.57240000000000002</v>
      </c>
      <c r="H364" s="1599">
        <v>0.57240000000000002</v>
      </c>
      <c r="I364" s="1599">
        <v>0.49690000000000001</v>
      </c>
      <c r="J364" s="1599">
        <v>0.49690000000000001</v>
      </c>
      <c r="K364" s="1599">
        <v>0.49690000000000001</v>
      </c>
      <c r="L364" s="1599">
        <v>0.49690000000000001</v>
      </c>
      <c r="M364" s="1599">
        <v>0.49690000000000001</v>
      </c>
    </row>
    <row r="365" spans="1:13">
      <c r="A365" s="1613">
        <v>5.7</v>
      </c>
      <c r="B365" s="1599">
        <v>0.6714</v>
      </c>
      <c r="C365" s="1599">
        <v>0.6714</v>
      </c>
      <c r="D365" s="1599">
        <v>0.64190000000000003</v>
      </c>
      <c r="E365" s="1599">
        <v>0.64190000000000003</v>
      </c>
      <c r="F365" s="1599">
        <v>0.64190000000000003</v>
      </c>
      <c r="G365" s="1599">
        <v>0.57069999999999999</v>
      </c>
      <c r="H365" s="1599">
        <v>0.57069999999999999</v>
      </c>
      <c r="I365" s="1599">
        <v>0.49519999999999997</v>
      </c>
      <c r="J365" s="1599">
        <v>0.49519999999999997</v>
      </c>
      <c r="K365" s="1599">
        <v>0.49519999999999997</v>
      </c>
      <c r="L365" s="1599">
        <v>0.49519999999999997</v>
      </c>
      <c r="M365" s="1599">
        <v>0.49519999999999997</v>
      </c>
    </row>
    <row r="366" spans="1:13">
      <c r="A366" s="1590">
        <v>5.8</v>
      </c>
      <c r="B366" s="1599">
        <v>0.67020000000000002</v>
      </c>
      <c r="C366" s="1599">
        <v>0.67020000000000002</v>
      </c>
      <c r="D366" s="1599">
        <v>0.64039999999999997</v>
      </c>
      <c r="E366" s="1599">
        <v>0.64039999999999997</v>
      </c>
      <c r="F366" s="1599">
        <v>0.64039999999999997</v>
      </c>
      <c r="G366" s="1599">
        <v>0.56910000000000005</v>
      </c>
      <c r="H366" s="1599">
        <v>0.56910000000000005</v>
      </c>
      <c r="I366" s="1599">
        <v>0.49359999999999998</v>
      </c>
      <c r="J366" s="1599">
        <v>0.49359999999999998</v>
      </c>
      <c r="K366" s="1599">
        <v>0.49359999999999998</v>
      </c>
      <c r="L366" s="1599">
        <v>0.49359999999999998</v>
      </c>
      <c r="M366" s="1599">
        <v>0.49359999999999998</v>
      </c>
    </row>
    <row r="367" spans="1:13">
      <c r="A367" s="1590">
        <v>5.9</v>
      </c>
      <c r="B367" s="1599">
        <v>0.66910000000000003</v>
      </c>
      <c r="C367" s="1599">
        <v>0.66910000000000003</v>
      </c>
      <c r="D367" s="1599">
        <v>0.63890000000000002</v>
      </c>
      <c r="E367" s="1599">
        <v>0.63890000000000002</v>
      </c>
      <c r="F367" s="1599">
        <v>0.63890000000000002</v>
      </c>
      <c r="G367" s="1599">
        <v>0.5675</v>
      </c>
      <c r="H367" s="1599">
        <v>0.5675</v>
      </c>
      <c r="I367" s="1599">
        <v>0.4919</v>
      </c>
      <c r="J367" s="1599">
        <v>0.4919</v>
      </c>
      <c r="K367" s="1599">
        <v>0.4919</v>
      </c>
      <c r="L367" s="1599">
        <v>0.4919</v>
      </c>
      <c r="M367" s="1599">
        <v>0.4919</v>
      </c>
    </row>
    <row r="368" spans="1:13">
      <c r="A368" s="1590">
        <v>6</v>
      </c>
      <c r="B368" s="1599">
        <v>0.66800000000000004</v>
      </c>
      <c r="C368" s="1599">
        <v>0.66800000000000004</v>
      </c>
      <c r="D368" s="1599">
        <v>0.63739999999999997</v>
      </c>
      <c r="E368" s="1599">
        <v>0.63739999999999997</v>
      </c>
      <c r="F368" s="1599">
        <v>0.63739999999999997</v>
      </c>
      <c r="G368" s="1599">
        <v>0.56589999999999996</v>
      </c>
      <c r="H368" s="1599">
        <v>0.56589999999999996</v>
      </c>
      <c r="I368" s="1599">
        <v>0.49020000000000002</v>
      </c>
      <c r="J368" s="1599">
        <v>0.49020000000000002</v>
      </c>
      <c r="K368" s="1599">
        <v>0.49020000000000002</v>
      </c>
      <c r="L368" s="1599">
        <v>0.49020000000000002</v>
      </c>
      <c r="M368" s="1599">
        <v>0.49020000000000002</v>
      </c>
    </row>
    <row r="369" spans="1:13">
      <c r="A369" s="1590">
        <v>6.1</v>
      </c>
      <c r="B369" s="1599">
        <v>0.66690000000000005</v>
      </c>
      <c r="C369" s="1599">
        <v>0.66690000000000005</v>
      </c>
      <c r="D369" s="1599">
        <v>0.63590000000000002</v>
      </c>
      <c r="E369" s="1599">
        <v>0.63590000000000002</v>
      </c>
      <c r="F369" s="1599">
        <v>0.63590000000000002</v>
      </c>
      <c r="G369" s="1599">
        <v>0.56440000000000001</v>
      </c>
      <c r="H369" s="1599">
        <v>0.56440000000000001</v>
      </c>
      <c r="I369" s="1599">
        <v>0.48849999999999999</v>
      </c>
      <c r="J369" s="1599">
        <v>0.48849999999999999</v>
      </c>
      <c r="K369" s="1599">
        <v>0.48849999999999999</v>
      </c>
      <c r="L369" s="1599">
        <v>0.48849999999999999</v>
      </c>
      <c r="M369" s="1599">
        <v>0.48849999999999999</v>
      </c>
    </row>
    <row r="370" spans="1:13">
      <c r="A370" s="1590">
        <v>6.2</v>
      </c>
      <c r="B370" s="1599">
        <v>0.66579999999999995</v>
      </c>
      <c r="C370" s="1599">
        <v>0.66579999999999995</v>
      </c>
      <c r="D370" s="1599">
        <v>0.63439999999999996</v>
      </c>
      <c r="E370" s="1599">
        <v>0.63439999999999996</v>
      </c>
      <c r="F370" s="1599">
        <v>0.63439999999999996</v>
      </c>
      <c r="G370" s="1599">
        <v>0.56289999999999996</v>
      </c>
      <c r="H370" s="1599">
        <v>0.56289999999999996</v>
      </c>
      <c r="I370" s="1599">
        <v>0.48680000000000001</v>
      </c>
      <c r="J370" s="1599">
        <v>0.48680000000000001</v>
      </c>
      <c r="K370" s="1599">
        <v>0.48680000000000001</v>
      </c>
      <c r="L370" s="1599">
        <v>0.48680000000000001</v>
      </c>
      <c r="M370" s="1599">
        <v>0.48680000000000001</v>
      </c>
    </row>
    <row r="371" spans="1:13">
      <c r="A371" s="1590">
        <v>6.3</v>
      </c>
      <c r="B371" s="1599">
        <v>0.66469999999999996</v>
      </c>
      <c r="C371" s="1599">
        <v>0.66469999999999996</v>
      </c>
      <c r="D371" s="1599">
        <v>0.63290000000000002</v>
      </c>
      <c r="E371" s="1599">
        <v>0.63290000000000002</v>
      </c>
      <c r="F371" s="1599">
        <v>0.63290000000000002</v>
      </c>
      <c r="G371" s="1599">
        <v>0.56130000000000002</v>
      </c>
      <c r="H371" s="1599">
        <v>0.56130000000000002</v>
      </c>
      <c r="I371" s="1599">
        <v>0.48509999999999998</v>
      </c>
      <c r="J371" s="1599">
        <v>0.48509999999999998</v>
      </c>
      <c r="K371" s="1599">
        <v>0.48509999999999998</v>
      </c>
      <c r="L371" s="1599">
        <v>0.48509999999999998</v>
      </c>
      <c r="M371" s="1599">
        <v>0.48509999999999998</v>
      </c>
    </row>
    <row r="372" spans="1:13">
      <c r="A372" s="1590">
        <v>6.4</v>
      </c>
      <c r="B372" s="1599">
        <v>0.66359999999999997</v>
      </c>
      <c r="C372" s="1599">
        <v>0.66359999999999997</v>
      </c>
      <c r="D372" s="1599">
        <v>0.63139999999999996</v>
      </c>
      <c r="E372" s="1599">
        <v>0.63139999999999996</v>
      </c>
      <c r="F372" s="1599">
        <v>0.63139999999999996</v>
      </c>
      <c r="G372" s="1599">
        <v>0.55979999999999996</v>
      </c>
      <c r="H372" s="1599">
        <v>0.55979999999999996</v>
      </c>
      <c r="I372" s="1599">
        <v>0.48349999999999999</v>
      </c>
      <c r="J372" s="1599">
        <v>0.48349999999999999</v>
      </c>
      <c r="K372" s="1599">
        <v>0.48349999999999999</v>
      </c>
      <c r="L372" s="1599">
        <v>0.48349999999999999</v>
      </c>
      <c r="M372" s="1599">
        <v>0.48349999999999999</v>
      </c>
    </row>
    <row r="373" spans="1:13">
      <c r="A373" s="1590">
        <v>6.5</v>
      </c>
      <c r="B373" s="1599">
        <v>0.66249999999999998</v>
      </c>
      <c r="C373" s="1599">
        <v>0.66249999999999998</v>
      </c>
      <c r="D373" s="1599">
        <v>0.63</v>
      </c>
      <c r="E373" s="1599">
        <v>0.63</v>
      </c>
      <c r="F373" s="1599">
        <v>0.63</v>
      </c>
      <c r="G373" s="1599">
        <v>0.55820000000000003</v>
      </c>
      <c r="H373" s="1599">
        <v>0.55820000000000003</v>
      </c>
      <c r="I373" s="1599">
        <v>0.4819</v>
      </c>
      <c r="J373" s="1599">
        <v>0.4819</v>
      </c>
      <c r="K373" s="1599">
        <v>0.4819</v>
      </c>
      <c r="L373" s="1599">
        <v>0.4819</v>
      </c>
      <c r="M373" s="1599">
        <v>0.4819</v>
      </c>
    </row>
    <row r="374" spans="1:13">
      <c r="A374" s="1590">
        <v>6.6</v>
      </c>
      <c r="B374" s="1599">
        <v>0.66149999999999998</v>
      </c>
      <c r="C374" s="1599">
        <v>0.66149999999999998</v>
      </c>
      <c r="D374" s="1599">
        <v>0.62860000000000005</v>
      </c>
      <c r="E374" s="1599">
        <v>0.62860000000000005</v>
      </c>
      <c r="F374" s="1599">
        <v>0.62860000000000005</v>
      </c>
      <c r="G374" s="1599">
        <v>0.55669999999999997</v>
      </c>
      <c r="H374" s="1599">
        <v>0.55669999999999997</v>
      </c>
      <c r="I374" s="1599">
        <v>0.4803</v>
      </c>
      <c r="J374" s="1599">
        <v>0.4803</v>
      </c>
      <c r="K374" s="1599">
        <v>0.4803</v>
      </c>
      <c r="L374" s="1599">
        <v>0.4803</v>
      </c>
      <c r="M374" s="1599">
        <v>0.4803</v>
      </c>
    </row>
    <row r="375" spans="1:13">
      <c r="A375" s="1590">
        <v>6.7</v>
      </c>
      <c r="B375" s="1599">
        <v>0.66049999999999998</v>
      </c>
      <c r="C375" s="1599">
        <v>0.66049999999999998</v>
      </c>
      <c r="D375" s="1599">
        <v>0.62719999999999998</v>
      </c>
      <c r="E375" s="1599">
        <v>0.62719999999999998</v>
      </c>
      <c r="F375" s="1599">
        <v>0.62719999999999998</v>
      </c>
      <c r="G375" s="1599">
        <v>0.55520000000000003</v>
      </c>
      <c r="H375" s="1599">
        <v>0.55520000000000003</v>
      </c>
      <c r="I375" s="1599">
        <v>0.47870000000000001</v>
      </c>
      <c r="J375" s="1599">
        <v>0.47870000000000001</v>
      </c>
      <c r="K375" s="1599">
        <v>0.47870000000000001</v>
      </c>
      <c r="L375" s="1599">
        <v>0.47870000000000001</v>
      </c>
      <c r="M375" s="1599">
        <v>0.47870000000000001</v>
      </c>
    </row>
    <row r="376" spans="1:13">
      <c r="A376" s="1590">
        <v>6.8</v>
      </c>
      <c r="B376" s="1599">
        <v>0.65949999999999998</v>
      </c>
      <c r="C376" s="1599">
        <v>0.65949999999999998</v>
      </c>
      <c r="D376" s="1599">
        <v>0.62580000000000002</v>
      </c>
      <c r="E376" s="1599">
        <v>0.62580000000000002</v>
      </c>
      <c r="F376" s="1599">
        <v>0.62580000000000002</v>
      </c>
      <c r="G376" s="1599">
        <v>0.55359999999999998</v>
      </c>
      <c r="H376" s="1599">
        <v>0.55359999999999998</v>
      </c>
      <c r="I376" s="1599">
        <v>0.47710000000000002</v>
      </c>
      <c r="J376" s="1599">
        <v>0.47710000000000002</v>
      </c>
      <c r="K376" s="1599">
        <v>0.47710000000000002</v>
      </c>
      <c r="L376" s="1599">
        <v>0.47710000000000002</v>
      </c>
      <c r="M376" s="1599">
        <v>0.47710000000000002</v>
      </c>
    </row>
    <row r="377" spans="1:13">
      <c r="A377" s="1590">
        <v>6.9</v>
      </c>
      <c r="B377" s="1599">
        <v>0.65849999999999997</v>
      </c>
      <c r="C377" s="1599">
        <v>0.65849999999999997</v>
      </c>
      <c r="D377" s="1599">
        <v>0.62439999999999996</v>
      </c>
      <c r="E377" s="1599">
        <v>0.62439999999999996</v>
      </c>
      <c r="F377" s="1599">
        <v>0.62439999999999996</v>
      </c>
      <c r="G377" s="1599">
        <v>0.55220000000000002</v>
      </c>
      <c r="H377" s="1599">
        <v>0.55220000000000002</v>
      </c>
      <c r="I377" s="1599">
        <v>0.47549999999999998</v>
      </c>
      <c r="J377" s="1599">
        <v>0.47549999999999998</v>
      </c>
      <c r="K377" s="1599">
        <v>0.47549999999999998</v>
      </c>
      <c r="L377" s="1599">
        <v>0.47549999999999998</v>
      </c>
      <c r="M377" s="1599">
        <v>0.47549999999999998</v>
      </c>
    </row>
    <row r="378" spans="1:13">
      <c r="A378" s="1590">
        <v>7</v>
      </c>
      <c r="B378" s="1599">
        <v>0.65749999999999997</v>
      </c>
      <c r="C378" s="1599">
        <v>0.65749999999999997</v>
      </c>
      <c r="D378" s="1599">
        <v>0.623</v>
      </c>
      <c r="E378" s="1599">
        <v>0.623</v>
      </c>
      <c r="F378" s="1599">
        <v>0.623</v>
      </c>
      <c r="G378" s="1599">
        <v>0.55069999999999997</v>
      </c>
      <c r="H378" s="1599">
        <v>0.55069999999999997</v>
      </c>
      <c r="I378" s="1599">
        <v>0.47389999999999999</v>
      </c>
      <c r="J378" s="1599">
        <v>0.47389999999999999</v>
      </c>
      <c r="K378" s="1599">
        <v>0.47389999999999999</v>
      </c>
      <c r="L378" s="1599">
        <v>0.47389999999999999</v>
      </c>
      <c r="M378" s="1599">
        <v>0.47389999999999999</v>
      </c>
    </row>
    <row r="379" spans="1:13">
      <c r="A379" s="1590">
        <v>7.1</v>
      </c>
      <c r="B379" s="1599">
        <v>0.65649999999999997</v>
      </c>
      <c r="C379" s="1599">
        <v>0.65649999999999997</v>
      </c>
      <c r="D379" s="1599">
        <v>0.62160000000000004</v>
      </c>
      <c r="E379" s="1599">
        <v>0.62160000000000004</v>
      </c>
      <c r="F379" s="1599">
        <v>0.62160000000000004</v>
      </c>
      <c r="G379" s="1599">
        <v>0.54930000000000001</v>
      </c>
      <c r="H379" s="1599">
        <v>0.54930000000000001</v>
      </c>
      <c r="I379" s="1599">
        <v>0.47239999999999999</v>
      </c>
      <c r="J379" s="1599">
        <v>0.47239999999999999</v>
      </c>
      <c r="K379" s="1599">
        <v>0.47239999999999999</v>
      </c>
      <c r="L379" s="1599">
        <v>0.47239999999999999</v>
      </c>
      <c r="M379" s="1599">
        <v>0.47239999999999999</v>
      </c>
    </row>
    <row r="380" spans="1:13">
      <c r="A380" s="1590">
        <v>7.2</v>
      </c>
      <c r="B380" s="1599">
        <v>0.65549999999999997</v>
      </c>
      <c r="C380" s="1599">
        <v>0.65549999999999997</v>
      </c>
      <c r="D380" s="1599">
        <v>0.62019999999999997</v>
      </c>
      <c r="E380" s="1599">
        <v>0.62019999999999997</v>
      </c>
      <c r="F380" s="1599">
        <v>0.62019999999999997</v>
      </c>
      <c r="G380" s="1599">
        <v>0.54779999999999995</v>
      </c>
      <c r="H380" s="1599">
        <v>0.54779999999999995</v>
      </c>
      <c r="I380" s="1599">
        <v>0.47089999999999999</v>
      </c>
      <c r="J380" s="1599">
        <v>0.47089999999999999</v>
      </c>
      <c r="K380" s="1599">
        <v>0.47089999999999999</v>
      </c>
      <c r="L380" s="1599">
        <v>0.47089999999999999</v>
      </c>
      <c r="M380" s="1599">
        <v>0.47089999999999999</v>
      </c>
    </row>
    <row r="381" spans="1:13">
      <c r="A381" s="1590">
        <v>7.3</v>
      </c>
      <c r="B381" s="1599">
        <v>0.65449999999999997</v>
      </c>
      <c r="C381" s="1599">
        <v>0.65449999999999997</v>
      </c>
      <c r="D381" s="1599">
        <v>0.61880000000000002</v>
      </c>
      <c r="E381" s="1599">
        <v>0.61880000000000002</v>
      </c>
      <c r="F381" s="1599">
        <v>0.61880000000000002</v>
      </c>
      <c r="G381" s="1599">
        <v>0.5464</v>
      </c>
      <c r="H381" s="1599">
        <v>0.5464</v>
      </c>
      <c r="I381" s="1599">
        <v>0.46939999999999998</v>
      </c>
      <c r="J381" s="1599">
        <v>0.46939999999999998</v>
      </c>
      <c r="K381" s="1599">
        <v>0.46939999999999998</v>
      </c>
      <c r="L381" s="1599">
        <v>0.46939999999999998</v>
      </c>
      <c r="M381" s="1599">
        <v>0.46939999999999998</v>
      </c>
    </row>
    <row r="382" spans="1:13">
      <c r="A382" s="1590">
        <v>7.4</v>
      </c>
      <c r="B382" s="1599">
        <v>0.65349999999999997</v>
      </c>
      <c r="C382" s="1599">
        <v>0.65349999999999997</v>
      </c>
      <c r="D382" s="1599">
        <v>0.61750000000000005</v>
      </c>
      <c r="E382" s="1599">
        <v>0.61750000000000005</v>
      </c>
      <c r="F382" s="1599">
        <v>0.61750000000000005</v>
      </c>
      <c r="G382" s="1599">
        <v>0.54490000000000005</v>
      </c>
      <c r="H382" s="1599">
        <v>0.54490000000000005</v>
      </c>
      <c r="I382" s="1599">
        <v>0.46779999999999999</v>
      </c>
      <c r="J382" s="1599">
        <v>0.46779999999999999</v>
      </c>
      <c r="K382" s="1599">
        <v>0.46779999999999999</v>
      </c>
      <c r="L382" s="1599">
        <v>0.46779999999999999</v>
      </c>
      <c r="M382" s="1599">
        <v>0.46779999999999999</v>
      </c>
    </row>
    <row r="383" spans="1:13">
      <c r="A383" s="1590">
        <v>7.5</v>
      </c>
      <c r="B383" s="1599">
        <v>0.65249999999999997</v>
      </c>
      <c r="C383" s="1599">
        <v>0.65249999999999997</v>
      </c>
      <c r="D383" s="1599">
        <v>0.61619999999999997</v>
      </c>
      <c r="E383" s="1599">
        <v>0.61619999999999997</v>
      </c>
      <c r="F383" s="1599">
        <v>0.61619999999999997</v>
      </c>
      <c r="G383" s="1599">
        <v>0.54349999999999998</v>
      </c>
      <c r="H383" s="1599">
        <v>0.54349999999999998</v>
      </c>
      <c r="I383" s="1599">
        <v>0.46629999999999999</v>
      </c>
      <c r="J383" s="1599">
        <v>0.46629999999999999</v>
      </c>
      <c r="K383" s="1599">
        <v>0.46629999999999999</v>
      </c>
      <c r="L383" s="1599">
        <v>0.46629999999999999</v>
      </c>
      <c r="M383" s="1599">
        <v>0.46629999999999999</v>
      </c>
    </row>
    <row r="384" spans="1:13">
      <c r="A384" s="1590">
        <v>7.6</v>
      </c>
      <c r="B384" s="1599">
        <v>0.65149999999999997</v>
      </c>
      <c r="C384" s="1599">
        <v>0.65149999999999997</v>
      </c>
      <c r="D384" s="1599">
        <v>0.6149</v>
      </c>
      <c r="E384" s="1599">
        <v>0.6149</v>
      </c>
      <c r="F384" s="1599">
        <v>0.6149</v>
      </c>
      <c r="G384" s="1599">
        <v>0.54200000000000004</v>
      </c>
      <c r="H384" s="1599">
        <v>0.54200000000000004</v>
      </c>
      <c r="I384" s="1599">
        <v>0.46479999999999999</v>
      </c>
      <c r="J384" s="1599">
        <v>0.46479999999999999</v>
      </c>
      <c r="K384" s="1599">
        <v>0.46479999999999999</v>
      </c>
      <c r="L384" s="1599">
        <v>0.46479999999999999</v>
      </c>
      <c r="M384" s="1599">
        <v>0.46479999999999999</v>
      </c>
    </row>
    <row r="385" spans="1:13">
      <c r="A385" s="1590">
        <v>7.7</v>
      </c>
      <c r="B385" s="1599">
        <v>0.65049999999999997</v>
      </c>
      <c r="C385" s="1599">
        <v>0.65049999999999997</v>
      </c>
      <c r="D385" s="1599">
        <v>0.61360000000000003</v>
      </c>
      <c r="E385" s="1599">
        <v>0.61360000000000003</v>
      </c>
      <c r="F385" s="1599">
        <v>0.61360000000000003</v>
      </c>
      <c r="G385" s="1599">
        <v>0.54059999999999997</v>
      </c>
      <c r="H385" s="1599">
        <v>0.54059999999999997</v>
      </c>
      <c r="I385" s="1599">
        <v>0.46329999999999999</v>
      </c>
      <c r="J385" s="1599">
        <v>0.46329999999999999</v>
      </c>
      <c r="K385" s="1599">
        <v>0.46329999999999999</v>
      </c>
      <c r="L385" s="1599">
        <v>0.46329999999999999</v>
      </c>
      <c r="M385" s="1599">
        <v>0.46329999999999999</v>
      </c>
    </row>
    <row r="386" spans="1:13">
      <c r="A386" s="1590">
        <v>7.8</v>
      </c>
      <c r="B386" s="1599">
        <v>0.64949999999999997</v>
      </c>
      <c r="C386" s="1599">
        <v>0.64949999999999997</v>
      </c>
      <c r="D386" s="1599">
        <v>0.61229999999999996</v>
      </c>
      <c r="E386" s="1599">
        <v>0.61229999999999996</v>
      </c>
      <c r="F386" s="1599">
        <v>0.61229999999999996</v>
      </c>
      <c r="G386" s="1599">
        <v>0.53910000000000002</v>
      </c>
      <c r="H386" s="1599">
        <v>0.53910000000000002</v>
      </c>
      <c r="I386" s="1599">
        <v>0.4617</v>
      </c>
      <c r="J386" s="1599">
        <v>0.4617</v>
      </c>
      <c r="K386" s="1599">
        <v>0.4617</v>
      </c>
      <c r="L386" s="1599">
        <v>0.4617</v>
      </c>
      <c r="M386" s="1599">
        <v>0.4617</v>
      </c>
    </row>
    <row r="387" spans="1:13">
      <c r="A387" s="1590">
        <v>7.9</v>
      </c>
      <c r="B387" s="1599">
        <v>0.64849999999999997</v>
      </c>
      <c r="C387" s="1599">
        <v>0.64849999999999997</v>
      </c>
      <c r="D387" s="1599">
        <v>0.61099999999999999</v>
      </c>
      <c r="E387" s="1599">
        <v>0.61099999999999999</v>
      </c>
      <c r="F387" s="1599">
        <v>0.61099999999999999</v>
      </c>
      <c r="G387" s="1599">
        <v>0.53769999999999996</v>
      </c>
      <c r="H387" s="1599">
        <v>0.53769999999999996</v>
      </c>
      <c r="I387" s="1599">
        <v>0.4602</v>
      </c>
      <c r="J387" s="1599">
        <v>0.4602</v>
      </c>
      <c r="K387" s="1599">
        <v>0.4602</v>
      </c>
      <c r="L387" s="1599">
        <v>0.4602</v>
      </c>
      <c r="M387" s="1599">
        <v>0.4602</v>
      </c>
    </row>
    <row r="388" spans="1:13">
      <c r="A388" s="1590">
        <v>8</v>
      </c>
      <c r="B388" s="1599">
        <v>0.64749999999999996</v>
      </c>
      <c r="C388" s="1599">
        <v>0.64749999999999996</v>
      </c>
      <c r="D388" s="1599">
        <v>0.60970000000000002</v>
      </c>
      <c r="E388" s="1599">
        <v>0.60970000000000002</v>
      </c>
      <c r="F388" s="1599">
        <v>0.60970000000000002</v>
      </c>
      <c r="G388" s="1599">
        <v>0.53620000000000001</v>
      </c>
      <c r="H388" s="1599">
        <v>0.53620000000000001</v>
      </c>
      <c r="I388" s="1599">
        <v>0.4587</v>
      </c>
      <c r="J388" s="1599">
        <v>0.4587</v>
      </c>
      <c r="K388" s="1599">
        <v>0.4587</v>
      </c>
      <c r="L388" s="1599">
        <v>0.4587</v>
      </c>
      <c r="M388" s="1599">
        <v>0.4587</v>
      </c>
    </row>
    <row r="389" spans="1:13">
      <c r="A389" s="1590">
        <v>8.1</v>
      </c>
      <c r="B389" s="1599">
        <v>0.64649999999999996</v>
      </c>
      <c r="C389" s="1599">
        <v>0.64649999999999996</v>
      </c>
      <c r="D389" s="1599">
        <v>0.60840000000000005</v>
      </c>
      <c r="E389" s="1599">
        <v>0.60840000000000005</v>
      </c>
      <c r="F389" s="1599">
        <v>0.60840000000000005</v>
      </c>
      <c r="G389" s="1599">
        <v>0.53480000000000005</v>
      </c>
      <c r="H389" s="1599">
        <v>0.53480000000000005</v>
      </c>
      <c r="I389" s="1599">
        <v>0.4572</v>
      </c>
      <c r="J389" s="1599">
        <v>0.4572</v>
      </c>
      <c r="K389" s="1599">
        <v>0.4572</v>
      </c>
      <c r="L389" s="1599">
        <v>0.4572</v>
      </c>
      <c r="M389" s="1599">
        <v>0.4572</v>
      </c>
    </row>
    <row r="390" spans="1:13">
      <c r="A390" s="1590">
        <v>8.1999999999999993</v>
      </c>
      <c r="B390" s="1599">
        <v>0.64549999999999996</v>
      </c>
      <c r="C390" s="1599">
        <v>0.64549999999999996</v>
      </c>
      <c r="D390" s="1599">
        <v>0.60709999999999997</v>
      </c>
      <c r="E390" s="1599">
        <v>0.60709999999999997</v>
      </c>
      <c r="F390" s="1599">
        <v>0.60709999999999997</v>
      </c>
      <c r="G390" s="1599">
        <v>0.5333</v>
      </c>
      <c r="H390" s="1599">
        <v>0.5333</v>
      </c>
      <c r="I390" s="1599">
        <v>0.45569999999999999</v>
      </c>
      <c r="J390" s="1599">
        <v>0.45569999999999999</v>
      </c>
      <c r="K390" s="1599">
        <v>0.45569999999999999</v>
      </c>
      <c r="L390" s="1599">
        <v>0.45569999999999999</v>
      </c>
      <c r="M390" s="1599">
        <v>0.45569999999999999</v>
      </c>
    </row>
    <row r="391" spans="1:13">
      <c r="A391" s="1590">
        <v>8.3000000000000007</v>
      </c>
      <c r="B391" s="1599">
        <v>0.64449999999999996</v>
      </c>
      <c r="C391" s="1599">
        <v>0.64449999999999996</v>
      </c>
      <c r="D391" s="1599">
        <v>0.60580000000000001</v>
      </c>
      <c r="E391" s="1599">
        <v>0.60580000000000001</v>
      </c>
      <c r="F391" s="1599">
        <v>0.60580000000000001</v>
      </c>
      <c r="G391" s="1599">
        <v>0.53190000000000004</v>
      </c>
      <c r="H391" s="1599">
        <v>0.53190000000000004</v>
      </c>
      <c r="I391" s="1599">
        <v>0.45429999999999998</v>
      </c>
      <c r="J391" s="1599">
        <v>0.45429999999999998</v>
      </c>
      <c r="K391" s="1599">
        <v>0.45429999999999998</v>
      </c>
      <c r="L391" s="1599">
        <v>0.45429999999999998</v>
      </c>
      <c r="M391" s="1599">
        <v>0.45429999999999998</v>
      </c>
    </row>
    <row r="392" spans="1:13">
      <c r="A392" s="1590">
        <v>8.4</v>
      </c>
      <c r="B392" s="1599">
        <v>0.64349999999999996</v>
      </c>
      <c r="C392" s="1599">
        <v>0.64349999999999996</v>
      </c>
      <c r="D392" s="1599">
        <v>0.60450000000000004</v>
      </c>
      <c r="E392" s="1599">
        <v>0.60450000000000004</v>
      </c>
      <c r="F392" s="1599">
        <v>0.60450000000000004</v>
      </c>
      <c r="G392" s="1599">
        <v>0.53039999999999998</v>
      </c>
      <c r="H392" s="1599">
        <v>0.53039999999999998</v>
      </c>
      <c r="I392" s="1599">
        <v>0.45290000000000002</v>
      </c>
      <c r="J392" s="1599">
        <v>0.45290000000000002</v>
      </c>
      <c r="K392" s="1599">
        <v>0.45290000000000002</v>
      </c>
      <c r="L392" s="1599">
        <v>0.45290000000000002</v>
      </c>
      <c r="M392" s="1599">
        <v>0.45290000000000002</v>
      </c>
    </row>
    <row r="393" spans="1:13">
      <c r="A393" s="1590">
        <v>8.5</v>
      </c>
      <c r="B393" s="1599">
        <v>0.64249999999999996</v>
      </c>
      <c r="C393" s="1599">
        <v>0.64249999999999996</v>
      </c>
      <c r="D393" s="1599">
        <v>0.60319999999999996</v>
      </c>
      <c r="E393" s="1599">
        <v>0.60319999999999996</v>
      </c>
      <c r="F393" s="1599">
        <v>0.60319999999999996</v>
      </c>
      <c r="G393" s="1599">
        <v>0.52900000000000003</v>
      </c>
      <c r="H393" s="1599">
        <v>0.52900000000000003</v>
      </c>
      <c r="I393" s="1599">
        <v>0.45140000000000002</v>
      </c>
      <c r="J393" s="1599">
        <v>0.45140000000000002</v>
      </c>
      <c r="K393" s="1599">
        <v>0.45140000000000002</v>
      </c>
      <c r="L393" s="1599">
        <v>0.45140000000000002</v>
      </c>
      <c r="M393" s="1599">
        <v>0.45140000000000002</v>
      </c>
    </row>
    <row r="394" spans="1:13">
      <c r="A394" s="1590">
        <v>8.6</v>
      </c>
      <c r="B394" s="1599">
        <v>0.64149999999999996</v>
      </c>
      <c r="C394" s="1599">
        <v>0.64149999999999996</v>
      </c>
      <c r="D394" s="1599">
        <v>0.60189999999999999</v>
      </c>
      <c r="E394" s="1599">
        <v>0.60189999999999999</v>
      </c>
      <c r="F394" s="1599">
        <v>0.60189999999999999</v>
      </c>
      <c r="G394" s="1599">
        <v>0.52749999999999997</v>
      </c>
      <c r="H394" s="1599">
        <v>0.52749999999999997</v>
      </c>
      <c r="I394" s="1599">
        <v>0.45</v>
      </c>
      <c r="J394" s="1599">
        <v>0.45</v>
      </c>
      <c r="K394" s="1599">
        <v>0.45</v>
      </c>
      <c r="L394" s="1599">
        <v>0.45</v>
      </c>
      <c r="M394" s="1599">
        <v>0.45</v>
      </c>
    </row>
    <row r="395" spans="1:13">
      <c r="A395" s="1590">
        <v>8.6999999999999993</v>
      </c>
      <c r="B395" s="1599">
        <v>0.64049999999999996</v>
      </c>
      <c r="C395" s="1599">
        <v>0.64049999999999996</v>
      </c>
      <c r="D395" s="1599">
        <v>0.60060000000000002</v>
      </c>
      <c r="E395" s="1599">
        <v>0.60060000000000002</v>
      </c>
      <c r="F395" s="1599">
        <v>0.60060000000000002</v>
      </c>
      <c r="G395" s="1599">
        <v>0.52610000000000001</v>
      </c>
      <c r="H395" s="1599">
        <v>0.52610000000000001</v>
      </c>
      <c r="I395" s="1599">
        <v>0.44850000000000001</v>
      </c>
      <c r="J395" s="1599">
        <v>0.44850000000000001</v>
      </c>
      <c r="K395" s="1599">
        <v>0.44850000000000001</v>
      </c>
      <c r="L395" s="1599">
        <v>0.44850000000000001</v>
      </c>
      <c r="M395" s="1599">
        <v>0.44850000000000001</v>
      </c>
    </row>
    <row r="396" spans="1:13">
      <c r="A396" s="1590">
        <v>8.8000000000000007</v>
      </c>
      <c r="B396" s="1599">
        <v>0.63949999999999996</v>
      </c>
      <c r="C396" s="1599">
        <v>0.63949999999999996</v>
      </c>
      <c r="D396" s="1599">
        <v>0.59930000000000005</v>
      </c>
      <c r="E396" s="1599">
        <v>0.59930000000000005</v>
      </c>
      <c r="F396" s="1599">
        <v>0.59930000000000005</v>
      </c>
      <c r="G396" s="1599">
        <v>0.52459999999999996</v>
      </c>
      <c r="H396" s="1599">
        <v>0.52459999999999996</v>
      </c>
      <c r="I396" s="1599">
        <v>0.4471</v>
      </c>
      <c r="J396" s="1599">
        <v>0.4471</v>
      </c>
      <c r="K396" s="1599">
        <v>0.4471</v>
      </c>
      <c r="L396" s="1599">
        <v>0.4471</v>
      </c>
      <c r="M396" s="1599">
        <v>0.4471</v>
      </c>
    </row>
    <row r="397" spans="1:13">
      <c r="A397" s="1590">
        <v>8.9</v>
      </c>
      <c r="B397" s="1599">
        <v>0.63849999999999996</v>
      </c>
      <c r="C397" s="1599">
        <v>0.63849999999999996</v>
      </c>
      <c r="D397" s="1599">
        <v>0.59799999999999998</v>
      </c>
      <c r="E397" s="1599">
        <v>0.59799999999999998</v>
      </c>
      <c r="F397" s="1599">
        <v>0.59799999999999998</v>
      </c>
      <c r="G397" s="1599">
        <v>0.5232</v>
      </c>
      <c r="H397" s="1599">
        <v>0.5232</v>
      </c>
      <c r="I397" s="1599">
        <v>0.4456</v>
      </c>
      <c r="J397" s="1599">
        <v>0.4456</v>
      </c>
      <c r="K397" s="1599">
        <v>0.4456</v>
      </c>
      <c r="L397" s="1599">
        <v>0.4456</v>
      </c>
      <c r="M397" s="1599">
        <v>0.4456</v>
      </c>
    </row>
    <row r="398" spans="1:13">
      <c r="A398" s="1613">
        <v>9</v>
      </c>
      <c r="B398" s="1599">
        <v>0.63749999999999996</v>
      </c>
      <c r="C398" s="1599">
        <v>0.63749999999999996</v>
      </c>
      <c r="D398" s="1599">
        <v>0.59670000000000001</v>
      </c>
      <c r="E398" s="1599">
        <v>0.59670000000000001</v>
      </c>
      <c r="F398" s="1599">
        <v>0.59670000000000001</v>
      </c>
      <c r="G398" s="1599">
        <v>0.52170000000000005</v>
      </c>
      <c r="H398" s="1599">
        <v>0.52170000000000005</v>
      </c>
      <c r="I398" s="1599">
        <v>0.44429999999999997</v>
      </c>
      <c r="J398" s="1599">
        <v>0.44429999999999997</v>
      </c>
      <c r="K398" s="1599">
        <v>0.44429999999999997</v>
      </c>
      <c r="L398" s="1599">
        <v>0.44429999999999997</v>
      </c>
      <c r="M398" s="1599">
        <v>0.44429999999999997</v>
      </c>
    </row>
    <row r="399" spans="1:13">
      <c r="A399" s="1613">
        <v>9.1</v>
      </c>
      <c r="B399" s="1599">
        <v>0.63649999999999995</v>
      </c>
      <c r="C399" s="1599">
        <v>0.63649999999999995</v>
      </c>
      <c r="D399" s="1599">
        <v>0.59540000000000004</v>
      </c>
      <c r="E399" s="1599">
        <v>0.59540000000000004</v>
      </c>
      <c r="F399" s="1599">
        <v>0.59540000000000004</v>
      </c>
      <c r="G399" s="1599">
        <v>0.52029999999999998</v>
      </c>
      <c r="H399" s="1599">
        <v>0.52029999999999998</v>
      </c>
      <c r="I399" s="1599">
        <v>0.44290000000000002</v>
      </c>
      <c r="J399" s="1599">
        <v>0.44290000000000002</v>
      </c>
      <c r="K399" s="1599">
        <v>0.44290000000000002</v>
      </c>
      <c r="L399" s="1599">
        <v>0.44290000000000002</v>
      </c>
      <c r="M399" s="1599">
        <v>0.44290000000000002</v>
      </c>
    </row>
    <row r="400" spans="1:13">
      <c r="A400" s="1613">
        <v>9.1999999999999993</v>
      </c>
      <c r="B400" s="1599">
        <v>0.63549999999999995</v>
      </c>
      <c r="C400" s="1599">
        <v>0.63549999999999995</v>
      </c>
      <c r="D400" s="1599">
        <v>0.59409999999999996</v>
      </c>
      <c r="E400" s="1599">
        <v>0.59409999999999996</v>
      </c>
      <c r="F400" s="1599">
        <v>0.59409999999999996</v>
      </c>
      <c r="G400" s="1599">
        <v>0.51880000000000004</v>
      </c>
      <c r="H400" s="1599">
        <v>0.51880000000000004</v>
      </c>
      <c r="I400" s="1599">
        <v>0.44159999999999999</v>
      </c>
      <c r="J400" s="1599">
        <v>0.44159999999999999</v>
      </c>
      <c r="K400" s="1599">
        <v>0.44159999999999999</v>
      </c>
      <c r="L400" s="1599">
        <v>0.44159999999999999</v>
      </c>
      <c r="M400" s="1599">
        <v>0.44159999999999999</v>
      </c>
    </row>
    <row r="401" spans="1:13">
      <c r="A401" s="1613">
        <v>9.3000000000000007</v>
      </c>
      <c r="B401" s="1599">
        <v>0.63449999999999995</v>
      </c>
      <c r="C401" s="1599">
        <v>0.63449999999999995</v>
      </c>
      <c r="D401" s="1599">
        <v>0.59279999999999999</v>
      </c>
      <c r="E401" s="1599">
        <v>0.59279999999999999</v>
      </c>
      <c r="F401" s="1599">
        <v>0.59279999999999999</v>
      </c>
      <c r="G401" s="1599">
        <v>0.51739999999999997</v>
      </c>
      <c r="H401" s="1599">
        <v>0.51739999999999997</v>
      </c>
      <c r="I401" s="1599">
        <v>0.44019999999999998</v>
      </c>
      <c r="J401" s="1599">
        <v>0.44019999999999998</v>
      </c>
      <c r="K401" s="1599">
        <v>0.44019999999999998</v>
      </c>
      <c r="L401" s="1599">
        <v>0.44019999999999998</v>
      </c>
      <c r="M401" s="1599">
        <v>0.44019999999999998</v>
      </c>
    </row>
    <row r="402" spans="1:13">
      <c r="A402" s="1613">
        <v>9.4</v>
      </c>
      <c r="B402" s="1599">
        <v>0.63349999999999995</v>
      </c>
      <c r="C402" s="1599">
        <v>0.63349999999999995</v>
      </c>
      <c r="D402" s="1599">
        <v>0.59150000000000003</v>
      </c>
      <c r="E402" s="1599">
        <v>0.59150000000000003</v>
      </c>
      <c r="F402" s="1599">
        <v>0.59150000000000003</v>
      </c>
      <c r="G402" s="1599">
        <v>0.51600000000000001</v>
      </c>
      <c r="H402" s="1599">
        <v>0.51600000000000001</v>
      </c>
      <c r="I402" s="1599">
        <v>0.43880000000000002</v>
      </c>
      <c r="J402" s="1599">
        <v>0.43880000000000002</v>
      </c>
      <c r="K402" s="1599">
        <v>0.43880000000000002</v>
      </c>
      <c r="L402" s="1599">
        <v>0.43880000000000002</v>
      </c>
      <c r="M402" s="1599">
        <v>0.43880000000000002</v>
      </c>
    </row>
    <row r="403" spans="1:13">
      <c r="A403" s="1613">
        <v>9.5</v>
      </c>
      <c r="B403" s="1599">
        <v>0.63249999999999995</v>
      </c>
      <c r="C403" s="1599">
        <v>0.63249999999999995</v>
      </c>
      <c r="D403" s="1599">
        <v>0.59030000000000005</v>
      </c>
      <c r="E403" s="1599">
        <v>0.59030000000000005</v>
      </c>
      <c r="F403" s="1599">
        <v>0.59030000000000005</v>
      </c>
      <c r="G403" s="1599">
        <v>0.51470000000000005</v>
      </c>
      <c r="H403" s="1599">
        <v>0.51470000000000005</v>
      </c>
      <c r="I403" s="1599">
        <v>0.4375</v>
      </c>
      <c r="J403" s="1599">
        <v>0.4375</v>
      </c>
      <c r="K403" s="1599">
        <v>0.4375</v>
      </c>
      <c r="L403" s="1599">
        <v>0.4375</v>
      </c>
      <c r="M403" s="1599">
        <v>0.4375</v>
      </c>
    </row>
    <row r="404" spans="1:13">
      <c r="A404" s="1613">
        <v>9.6</v>
      </c>
      <c r="B404" s="1599">
        <v>0.63149999999999995</v>
      </c>
      <c r="C404" s="1599">
        <v>0.63149999999999995</v>
      </c>
      <c r="D404" s="1599">
        <v>0.58909999999999996</v>
      </c>
      <c r="E404" s="1599">
        <v>0.58909999999999996</v>
      </c>
      <c r="F404" s="1599">
        <v>0.58909999999999996</v>
      </c>
      <c r="G404" s="1599">
        <v>0.51329999999999998</v>
      </c>
      <c r="H404" s="1599">
        <v>0.51329999999999998</v>
      </c>
      <c r="I404" s="1599">
        <v>0.43609999999999999</v>
      </c>
      <c r="J404" s="1599">
        <v>0.43609999999999999</v>
      </c>
      <c r="K404" s="1599">
        <v>0.43609999999999999</v>
      </c>
      <c r="L404" s="1599">
        <v>0.43609999999999999</v>
      </c>
      <c r="M404" s="1599">
        <v>0.43609999999999999</v>
      </c>
    </row>
    <row r="405" spans="1:13">
      <c r="A405" s="1613">
        <v>9.6999999999999993</v>
      </c>
      <c r="B405" s="1599">
        <v>0.63049999999999995</v>
      </c>
      <c r="C405" s="1599">
        <v>0.63049999999999995</v>
      </c>
      <c r="D405" s="1599">
        <v>0.58789999999999998</v>
      </c>
      <c r="E405" s="1599">
        <v>0.58789999999999998</v>
      </c>
      <c r="F405" s="1599">
        <v>0.58789999999999998</v>
      </c>
      <c r="G405" s="1599">
        <v>0.51200000000000001</v>
      </c>
      <c r="H405" s="1599">
        <v>0.51200000000000001</v>
      </c>
      <c r="I405" s="1599">
        <v>0.43480000000000002</v>
      </c>
      <c r="J405" s="1599">
        <v>0.43480000000000002</v>
      </c>
      <c r="K405" s="1599">
        <v>0.43480000000000002</v>
      </c>
      <c r="L405" s="1599">
        <v>0.43480000000000002</v>
      </c>
      <c r="M405" s="1599">
        <v>0.43480000000000002</v>
      </c>
    </row>
    <row r="406" spans="1:13">
      <c r="A406" s="1613">
        <v>9.8000000000000007</v>
      </c>
      <c r="B406" s="1599">
        <v>0.62949999999999995</v>
      </c>
      <c r="C406" s="1599">
        <v>0.62949999999999995</v>
      </c>
      <c r="D406" s="1599">
        <v>0.5867</v>
      </c>
      <c r="E406" s="1599">
        <v>0.5867</v>
      </c>
      <c r="F406" s="1599">
        <v>0.5867</v>
      </c>
      <c r="G406" s="1599">
        <v>0.51060000000000005</v>
      </c>
      <c r="H406" s="1599">
        <v>0.51060000000000005</v>
      </c>
      <c r="I406" s="1599">
        <v>0.43340000000000001</v>
      </c>
      <c r="J406" s="1599">
        <v>0.43340000000000001</v>
      </c>
      <c r="K406" s="1599">
        <v>0.43340000000000001</v>
      </c>
      <c r="L406" s="1599">
        <v>0.43340000000000001</v>
      </c>
      <c r="M406" s="1599">
        <v>0.43340000000000001</v>
      </c>
    </row>
    <row r="407" spans="1:13">
      <c r="A407" s="1613">
        <v>9.9</v>
      </c>
      <c r="B407" s="1599">
        <v>0.62849999999999995</v>
      </c>
      <c r="C407" s="1599">
        <v>0.62849999999999995</v>
      </c>
      <c r="D407" s="1599">
        <v>0.58550000000000002</v>
      </c>
      <c r="E407" s="1599">
        <v>0.58550000000000002</v>
      </c>
      <c r="F407" s="1599">
        <v>0.58550000000000002</v>
      </c>
      <c r="G407" s="1599">
        <v>0.50919999999999999</v>
      </c>
      <c r="H407" s="1599">
        <v>0.50919999999999999</v>
      </c>
      <c r="I407" s="1599">
        <v>0.432</v>
      </c>
      <c r="J407" s="1599">
        <v>0.432</v>
      </c>
      <c r="K407" s="1599">
        <v>0.432</v>
      </c>
      <c r="L407" s="1599">
        <v>0.432</v>
      </c>
      <c r="M407" s="1599">
        <v>0.432</v>
      </c>
    </row>
    <row r="408" spans="1:13">
      <c r="A408" s="1613">
        <v>10</v>
      </c>
      <c r="B408" s="1599">
        <v>0.62749999999999995</v>
      </c>
      <c r="C408" s="1599">
        <v>0.62749999999999995</v>
      </c>
      <c r="D408" s="1599">
        <v>0.58430000000000004</v>
      </c>
      <c r="E408" s="1599">
        <v>0.58430000000000004</v>
      </c>
      <c r="F408" s="1599">
        <v>0.58430000000000004</v>
      </c>
      <c r="G408" s="1599">
        <v>0.50790000000000002</v>
      </c>
      <c r="H408" s="1599">
        <v>0.50790000000000002</v>
      </c>
      <c r="I408" s="1599">
        <v>0.43070000000000003</v>
      </c>
      <c r="J408" s="1599">
        <v>0.43070000000000003</v>
      </c>
      <c r="K408" s="1599">
        <v>0.43070000000000003</v>
      </c>
      <c r="L408" s="1599">
        <v>0.43070000000000003</v>
      </c>
      <c r="M408" s="1599">
        <v>0.43070000000000003</v>
      </c>
    </row>
  </sheetData>
  <sheetProtection password="C66D" sheet="1" objects="1" scenarios="1" formatCells="0" formatColumns="0" formatRows="0"/>
  <phoneticPr fontId="10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C5" sqref="C5:J6"/>
    </sheetView>
  </sheetViews>
  <sheetFormatPr defaultRowHeight="12.75"/>
  <cols>
    <col min="1" max="1" width="9" style="2926"/>
    <col min="2" max="6" width="9" style="2926" customWidth="1"/>
    <col min="7" max="7" width="9" style="2941"/>
    <col min="8" max="8" width="9" style="2926"/>
    <col min="9" max="12" width="9" style="2926" customWidth="1"/>
    <col min="13" max="13" width="2.25" style="2926" customWidth="1"/>
    <col min="14" max="14" width="9" style="2941" customWidth="1"/>
    <col min="15" max="17" width="9" style="2926" customWidth="1"/>
    <col min="18" max="18" width="2.375" style="2926" customWidth="1"/>
    <col min="19" max="19" width="7.125" style="2941" customWidth="1"/>
    <col min="20" max="22" width="7.125" style="2926" customWidth="1"/>
    <col min="23" max="23" width="24.25" style="2926" customWidth="1"/>
    <col min="24" max="25" width="9" style="2926"/>
    <col min="26" max="27" width="11.625" style="2926" customWidth="1"/>
    <col min="28" max="28" width="9" style="2926"/>
    <col min="29" max="29" width="2" style="2926" customWidth="1"/>
    <col min="30" max="16384" width="9" style="2926"/>
  </cols>
  <sheetData>
    <row r="1" spans="1:34" s="2895" customFormat="1">
      <c r="B1" s="3763" t="s">
        <v>2719</v>
      </c>
      <c r="C1" s="3763"/>
      <c r="D1" s="3763"/>
      <c r="E1" s="3763"/>
      <c r="F1" s="3763"/>
      <c r="G1" s="3762" t="s">
        <v>2720</v>
      </c>
      <c r="H1" s="3762"/>
      <c r="I1" s="3762"/>
      <c r="J1" s="3762"/>
      <c r="K1" s="3762"/>
      <c r="L1" s="3762"/>
      <c r="N1" s="3762" t="s">
        <v>2721</v>
      </c>
      <c r="O1" s="3762"/>
      <c r="P1" s="3762"/>
      <c r="Q1" s="3762"/>
      <c r="R1" s="2896"/>
      <c r="S1" s="3762" t="s">
        <v>2722</v>
      </c>
      <c r="T1" s="3762"/>
      <c r="U1" s="3762"/>
      <c r="V1" s="3762"/>
      <c r="X1" s="3761" t="s">
        <v>2723</v>
      </c>
      <c r="Y1" s="3762"/>
      <c r="Z1" s="3762"/>
      <c r="AA1" s="3762"/>
      <c r="AB1" s="3762"/>
      <c r="AD1" s="3761" t="s">
        <v>2724</v>
      </c>
      <c r="AE1" s="3762"/>
      <c r="AF1" s="3762"/>
      <c r="AG1" s="3762"/>
      <c r="AH1" s="3762"/>
    </row>
    <row r="2" spans="1:34" s="2897" customFormat="1" ht="14.25" thickBot="1">
      <c r="B2" s="2898" t="s">
        <v>2725</v>
      </c>
      <c r="C2" s="2898" t="s">
        <v>2726</v>
      </c>
      <c r="D2" s="2899" t="s">
        <v>2727</v>
      </c>
      <c r="E2" s="2899" t="s">
        <v>2728</v>
      </c>
      <c r="F2" s="2898" t="s">
        <v>2729</v>
      </c>
      <c r="G2" s="2900"/>
      <c r="H2" s="2901"/>
      <c r="I2" s="2901"/>
      <c r="J2" s="2901"/>
      <c r="K2" s="2901"/>
      <c r="L2" s="2901"/>
      <c r="N2" s="2900"/>
      <c r="O2" s="2901"/>
      <c r="P2" s="2901"/>
      <c r="Q2" s="2901"/>
      <c r="R2" s="2902"/>
      <c r="S2" s="2900"/>
      <c r="T2" s="2901"/>
      <c r="U2" s="2901"/>
      <c r="V2" s="2901"/>
      <c r="X2" s="2898" t="s">
        <v>2725</v>
      </c>
      <c r="Y2" s="2898" t="s">
        <v>2726</v>
      </c>
      <c r="Z2" s="2899" t="s">
        <v>2727</v>
      </c>
      <c r="AA2" s="2899" t="s">
        <v>2728</v>
      </c>
      <c r="AB2" s="2898" t="s">
        <v>2729</v>
      </c>
      <c r="AD2" s="2898" t="s">
        <v>2725</v>
      </c>
      <c r="AE2" s="2898" t="s">
        <v>2726</v>
      </c>
      <c r="AF2" s="2899" t="s">
        <v>2727</v>
      </c>
      <c r="AG2" s="2899" t="s">
        <v>2728</v>
      </c>
      <c r="AH2" s="2898" t="s">
        <v>2729</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1.3494999999999999</v>
      </c>
      <c r="Y3" s="2909">
        <f>ROUND(SUMPRODUCT(PRODUCT(1+O3:O$18)),4)</f>
        <v>1.2154</v>
      </c>
      <c r="Z3" s="2909">
        <f t="shared" ref="Z3:Z16" si="0">Y3</f>
        <v>1.2154</v>
      </c>
      <c r="AA3" s="2909">
        <f>ROUND(SUMPRODUCT(PRODUCT(1+P3:P$18)),4)</f>
        <v>1.3962000000000001</v>
      </c>
      <c r="AB3" s="2909">
        <f>ROUND(SUMPRODUCT(PRODUCT(1+Q3:Q$18)),4)</f>
        <v>1.1890000000000001</v>
      </c>
      <c r="AD3" s="2910">
        <f>ROUND(AVERAGE(I3:I$19)/100,4)</f>
        <v>2.3900000000000001E-2</v>
      </c>
      <c r="AE3" s="2910">
        <f>ROUND(AVERAGE(J3:J$19)/100,4)</f>
        <v>1.5699999999999999E-2</v>
      </c>
      <c r="AF3" s="2910">
        <f t="shared" ref="AF3:AF17" si="1">AE3</f>
        <v>1.5699999999999999E-2</v>
      </c>
      <c r="AG3" s="2910">
        <f>ROUND(AVERAGE(K3:K$19)/100,4)</f>
        <v>2.6599999999999999E-2</v>
      </c>
      <c r="AH3" s="2910">
        <f>ROUND(AVERAGE(L3:L$19)/100,4)</f>
        <v>1.34E-2</v>
      </c>
    </row>
    <row r="4" spans="1:34" s="2895" customFormat="1">
      <c r="A4" s="2911" t="s">
        <v>2730</v>
      </c>
      <c r="B4" s="2912"/>
      <c r="C4" s="2912"/>
      <c r="D4" s="2912"/>
      <c r="E4" s="2912"/>
      <c r="F4" s="2912"/>
      <c r="G4" s="3764">
        <v>2017</v>
      </c>
      <c r="H4" s="2913">
        <v>4</v>
      </c>
      <c r="I4" s="2913"/>
      <c r="J4" s="2913"/>
      <c r="K4" s="2913"/>
      <c r="L4" s="2914"/>
      <c r="N4" s="2915"/>
      <c r="O4" s="2896"/>
      <c r="P4" s="2896"/>
      <c r="Q4" s="2896"/>
      <c r="R4" s="2896"/>
      <c r="S4" s="2915"/>
      <c r="T4" s="2896"/>
      <c r="U4" s="2896"/>
      <c r="V4" s="2896"/>
      <c r="X4" s="2909">
        <f>ROUND(SUMPRODUCT(PRODUCT(1+N4:N$18)),4)</f>
        <v>1.3494999999999999</v>
      </c>
      <c r="Y4" s="2909">
        <f>ROUND(SUMPRODUCT(PRODUCT(1+O4:O$18)),4)</f>
        <v>1.2154</v>
      </c>
      <c r="Z4" s="2909">
        <f t="shared" si="0"/>
        <v>1.2154</v>
      </c>
      <c r="AA4" s="2909">
        <f>ROUND(SUMPRODUCT(PRODUCT(1+P4:P$18)),4)</f>
        <v>1.3962000000000001</v>
      </c>
      <c r="AB4" s="2909">
        <f>ROUND(SUMPRODUCT(PRODUCT(1+Q4:Q$18)),4)</f>
        <v>1.1890000000000001</v>
      </c>
      <c r="AD4" s="2910">
        <f>ROUND(AVERAGE(I4:I$19)/100,4)</f>
        <v>2.3900000000000001E-2</v>
      </c>
      <c r="AE4" s="2910">
        <f>ROUND(AVERAGE(J4:J$19)/100,4)</f>
        <v>1.5699999999999999E-2</v>
      </c>
      <c r="AF4" s="2910">
        <f t="shared" si="1"/>
        <v>1.5699999999999999E-2</v>
      </c>
      <c r="AG4" s="2910">
        <f>ROUND(AVERAGE(K4:K$19)/100,4)</f>
        <v>2.6599999999999999E-2</v>
      </c>
      <c r="AH4" s="2910">
        <f>ROUND(AVERAGE(L4:L$19)/100,4)</f>
        <v>1.34E-2</v>
      </c>
    </row>
    <row r="5" spans="1:34" s="2895" customFormat="1">
      <c r="A5" s="2911" t="s">
        <v>2731</v>
      </c>
      <c r="B5" s="2912"/>
      <c r="C5" s="2912"/>
      <c r="D5" s="2912"/>
      <c r="E5" s="2912"/>
      <c r="F5" s="2912"/>
      <c r="G5" s="3759"/>
      <c r="H5" s="2916">
        <v>3</v>
      </c>
      <c r="I5" s="2912"/>
      <c r="J5" s="2912"/>
      <c r="K5" s="2912"/>
      <c r="L5" s="2912"/>
      <c r="N5" s="2915"/>
      <c r="O5" s="2896"/>
      <c r="P5" s="2896"/>
      <c r="Q5" s="2896"/>
      <c r="R5" s="2896"/>
      <c r="S5" s="2915"/>
      <c r="T5" s="2896"/>
      <c r="U5" s="2896"/>
      <c r="V5" s="2896"/>
      <c r="X5" s="2909">
        <f>ROUND(SUMPRODUCT(PRODUCT(1+N5:N$18)),4)</f>
        <v>1.3494999999999999</v>
      </c>
      <c r="Y5" s="2909">
        <f>ROUND(SUMPRODUCT(PRODUCT(1+O5:O$18)),4)</f>
        <v>1.2154</v>
      </c>
      <c r="Z5" s="2909">
        <f t="shared" si="0"/>
        <v>1.2154</v>
      </c>
      <c r="AA5" s="2909">
        <f>ROUND(SUMPRODUCT(PRODUCT(1+P5:P$18)),4)</f>
        <v>1.3962000000000001</v>
      </c>
      <c r="AB5" s="2909">
        <f>ROUND(SUMPRODUCT(PRODUCT(1+Q5:Q$18)),4)</f>
        <v>1.1890000000000001</v>
      </c>
      <c r="AD5" s="2910">
        <f>ROUND(AVERAGE(I5:I$19)/100,4)</f>
        <v>2.3900000000000001E-2</v>
      </c>
      <c r="AE5" s="2910">
        <f>ROUND(AVERAGE(J5:J$19)/100,4)</f>
        <v>1.5699999999999999E-2</v>
      </c>
      <c r="AF5" s="2910">
        <f t="shared" si="1"/>
        <v>1.5699999999999999E-2</v>
      </c>
      <c r="AG5" s="2910">
        <f>ROUND(AVERAGE(K5:K$19)/100,4)</f>
        <v>2.6599999999999999E-2</v>
      </c>
      <c r="AH5" s="2910">
        <f>ROUND(AVERAGE(L5:L$19)/100,4)</f>
        <v>1.34E-2</v>
      </c>
    </row>
    <row r="6" spans="1:34" s="3237" customFormat="1">
      <c r="A6" s="3235" t="s">
        <v>2732</v>
      </c>
      <c r="B6" s="2918">
        <f>B7*(1+N6)</f>
        <v>415.21602360000003</v>
      </c>
      <c r="C6" s="2918">
        <f>C7*(1+O6)</f>
        <v>312.63083488000001</v>
      </c>
      <c r="D6" s="2918">
        <f>C6</f>
        <v>312.63083488000001</v>
      </c>
      <c r="E6" s="3229">
        <f>E7*(1+P6)</f>
        <v>589.96402416000001</v>
      </c>
      <c r="F6" s="3229">
        <f>F7*(1+Q6)</f>
        <v>273.82351752000005</v>
      </c>
      <c r="G6" s="3759"/>
      <c r="H6" s="3236">
        <v>2</v>
      </c>
      <c r="I6" s="2919">
        <f>ROUND(AVERAGE(I7:I19),2)</f>
        <v>2.39</v>
      </c>
      <c r="J6" s="2919">
        <f t="shared" ref="J6:L6" si="2">ROUND(AVERAGE(J7:J19),2)</f>
        <v>1.57</v>
      </c>
      <c r="K6" s="2919">
        <f t="shared" si="2"/>
        <v>2.66</v>
      </c>
      <c r="L6" s="2919">
        <f t="shared" si="2"/>
        <v>1.34</v>
      </c>
      <c r="N6" s="2921">
        <f>I6/100</f>
        <v>2.3900000000000001E-2</v>
      </c>
      <c r="O6" s="2921">
        <f t="shared" ref="O6" si="3">J6/100</f>
        <v>1.5700000000000002E-2</v>
      </c>
      <c r="P6" s="2921">
        <f t="shared" ref="P6" si="4">K6/100</f>
        <v>2.6600000000000002E-2</v>
      </c>
      <c r="Q6" s="2921">
        <f t="shared" ref="Q6" si="5">L6/100</f>
        <v>1.34E-2</v>
      </c>
      <c r="R6" s="3238"/>
      <c r="S6" s="3239"/>
      <c r="T6" s="3238"/>
      <c r="U6" s="3238"/>
      <c r="V6" s="3238"/>
      <c r="W6" s="2922" t="s">
        <v>2734</v>
      </c>
      <c r="X6" s="3227">
        <f>ROUND(SUMPRODUCT(PRODUCT(1+N6:N$18)),4)</f>
        <v>1.3494999999999999</v>
      </c>
      <c r="Y6" s="3227">
        <f>ROUND(SUMPRODUCT(PRODUCT(1+O6:O$18)),4)</f>
        <v>1.2154</v>
      </c>
      <c r="Z6" s="3227">
        <f t="shared" si="0"/>
        <v>1.2154</v>
      </c>
      <c r="AA6" s="3227">
        <f>ROUND(SUMPRODUCT(PRODUCT(1+P6:P$18)),4)</f>
        <v>1.3962000000000001</v>
      </c>
      <c r="AB6" s="3227">
        <f>ROUND(SUMPRODUCT(PRODUCT(1+Q6:Q$18)),4)</f>
        <v>1.1890000000000001</v>
      </c>
      <c r="AD6" s="2923">
        <f>ROUND(AVERAGE(I6:I$19)/100,4)</f>
        <v>2.3900000000000001E-2</v>
      </c>
      <c r="AE6" s="2923">
        <f>ROUND(AVERAGE(J6:J$19)/100,4)</f>
        <v>1.5699999999999999E-2</v>
      </c>
      <c r="AF6" s="2923">
        <f t="shared" si="1"/>
        <v>1.5699999999999999E-2</v>
      </c>
      <c r="AG6" s="2923">
        <f>ROUND(AVERAGE(K6:K$19)/100,4)</f>
        <v>2.6599999999999999E-2</v>
      </c>
      <c r="AH6" s="2923">
        <f>ROUND(AVERAGE(L6:L$19)/100,4)</f>
        <v>1.34E-2</v>
      </c>
    </row>
    <row r="7" spans="1:34" s="2920" customFormat="1" ht="13.5" thickBot="1">
      <c r="A7" s="2911" t="s">
        <v>2733</v>
      </c>
      <c r="B7" s="2932">
        <f>B8*(1+N7)</f>
        <v>405.524</v>
      </c>
      <c r="C7" s="2932">
        <f>C8*(1+O7)</f>
        <v>307.79840000000002</v>
      </c>
      <c r="D7" s="2932">
        <f>C7</f>
        <v>307.79840000000002</v>
      </c>
      <c r="E7" s="2932">
        <f>E8*(1+P7)</f>
        <v>574.67759999999998</v>
      </c>
      <c r="F7" s="2932">
        <f>F8*(1+Q7)</f>
        <v>270.20280000000002</v>
      </c>
      <c r="G7" s="3760"/>
      <c r="H7" s="2916">
        <v>1</v>
      </c>
      <c r="I7" s="2916">
        <v>3.45</v>
      </c>
      <c r="J7" s="2916">
        <v>1.92</v>
      </c>
      <c r="K7" s="2916">
        <v>3.92</v>
      </c>
      <c r="L7" s="2933">
        <v>1.58</v>
      </c>
      <c r="M7" s="2926"/>
      <c r="N7" s="2927">
        <f>I7/100</f>
        <v>3.4500000000000003E-2</v>
      </c>
      <c r="O7" s="2928">
        <f t="shared" ref="O7:Q22" si="6">J7/100</f>
        <v>1.9199999999999998E-2</v>
      </c>
      <c r="P7" s="2928">
        <f t="shared" si="6"/>
        <v>3.9199999999999999E-2</v>
      </c>
      <c r="Q7" s="2928">
        <f t="shared" si="6"/>
        <v>1.5800000000000002E-2</v>
      </c>
      <c r="R7" s="2929"/>
      <c r="S7" s="2927">
        <f>B7/B8-1</f>
        <v>3.4499999999999975E-2</v>
      </c>
      <c r="T7" s="2928">
        <f t="shared" ref="T7:V7" si="7">C7/C8-1</f>
        <v>1.9200000000000106E-2</v>
      </c>
      <c r="U7" s="2928">
        <f t="shared" si="7"/>
        <v>1.9200000000000106E-2</v>
      </c>
      <c r="V7" s="2928">
        <f t="shared" si="7"/>
        <v>3.9199999999999902E-2</v>
      </c>
      <c r="W7" s="2926"/>
      <c r="X7" s="2909">
        <f>ROUND(SUMPRODUCT(PRODUCT(1+N7:N$18)),4)</f>
        <v>1.3180000000000001</v>
      </c>
      <c r="Y7" s="2909">
        <f>ROUND(SUMPRODUCT(PRODUCT(1+O7:O$18)),4)</f>
        <v>1.1966000000000001</v>
      </c>
      <c r="Z7" s="2909">
        <f t="shared" si="0"/>
        <v>1.1966000000000001</v>
      </c>
      <c r="AA7" s="2909">
        <f>ROUND(SUMPRODUCT(PRODUCT(1+P7:P$18)),4)</f>
        <v>1.36</v>
      </c>
      <c r="AB7" s="2909">
        <f>ROUND(SUMPRODUCT(PRODUCT(1+Q7:Q$18)),4)</f>
        <v>1.1733</v>
      </c>
      <c r="AC7" s="2926"/>
      <c r="AD7" s="2910">
        <f>ROUND(AVERAGE(I7:I$19)/100,4)</f>
        <v>2.3900000000000001E-2</v>
      </c>
      <c r="AE7" s="2910">
        <f>ROUND(AVERAGE(J7:J$19)/100,4)</f>
        <v>1.5699999999999999E-2</v>
      </c>
      <c r="AF7" s="2910">
        <f t="shared" si="1"/>
        <v>1.5699999999999999E-2</v>
      </c>
      <c r="AG7" s="2910">
        <f>ROUND(AVERAGE(K7:K$19)/100,4)</f>
        <v>2.6599999999999999E-2</v>
      </c>
      <c r="AH7" s="2910">
        <f>ROUND(AVERAGE(L7:L$19)/100,4)</f>
        <v>1.34E-2</v>
      </c>
    </row>
    <row r="8" spans="1:34">
      <c r="A8" s="2911" t="s">
        <v>1162</v>
      </c>
      <c r="B8" s="2924">
        <v>392</v>
      </c>
      <c r="C8" s="2924">
        <v>302</v>
      </c>
      <c r="D8" s="2924">
        <f>C8</f>
        <v>302</v>
      </c>
      <c r="E8" s="2924">
        <v>553</v>
      </c>
      <c r="F8" s="2925">
        <v>266</v>
      </c>
      <c r="G8" s="3764">
        <v>2016</v>
      </c>
      <c r="H8" s="2913">
        <v>4</v>
      </c>
      <c r="I8" s="2913">
        <v>4.5599999999999996</v>
      </c>
      <c r="J8" s="2913">
        <v>2.15</v>
      </c>
      <c r="K8" s="2913">
        <v>5.32</v>
      </c>
      <c r="L8" s="2914">
        <v>1.57</v>
      </c>
      <c r="N8" s="2927">
        <f>I8/100</f>
        <v>4.5599999999999995E-2</v>
      </c>
      <c r="O8" s="2928">
        <f t="shared" si="6"/>
        <v>2.1499999999999998E-2</v>
      </c>
      <c r="P8" s="2928">
        <f t="shared" si="6"/>
        <v>5.3200000000000004E-2</v>
      </c>
      <c r="Q8" s="2928">
        <f t="shared" si="6"/>
        <v>1.5700000000000002E-2</v>
      </c>
      <c r="R8" s="2929"/>
      <c r="S8" s="2930"/>
      <c r="T8" s="2931"/>
      <c r="U8" s="2931"/>
      <c r="V8" s="2931"/>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1161</v>
      </c>
      <c r="B9" s="2932">
        <f t="shared" ref="B9:C11" si="8">B8/(1+N8)</f>
        <v>374.90436113236416</v>
      </c>
      <c r="C9" s="2932">
        <f t="shared" si="8"/>
        <v>295.64366128242779</v>
      </c>
      <c r="D9" s="2932">
        <f t="shared" ref="D9:D68" si="9">C9</f>
        <v>295.64366128242779</v>
      </c>
      <c r="E9" s="2932">
        <f t="shared" ref="E9:F11" si="10">E8/(1+P8)</f>
        <v>525.06646410938095</v>
      </c>
      <c r="F9" s="2932">
        <f t="shared" si="10"/>
        <v>261.88835286009646</v>
      </c>
      <c r="G9" s="3759"/>
      <c r="H9" s="2916">
        <v>3</v>
      </c>
      <c r="I9" s="2916">
        <v>4.12</v>
      </c>
      <c r="J9" s="2916">
        <v>2</v>
      </c>
      <c r="K9" s="2916">
        <v>4.79</v>
      </c>
      <c r="L9" s="2933">
        <v>1.97</v>
      </c>
      <c r="N9" s="2927">
        <f t="shared" ref="N9:Q43" si="11">I9/100</f>
        <v>4.1200000000000001E-2</v>
      </c>
      <c r="O9" s="2928">
        <f t="shared" si="6"/>
        <v>0.02</v>
      </c>
      <c r="P9" s="2928">
        <f t="shared" si="6"/>
        <v>4.7899999999999998E-2</v>
      </c>
      <c r="Q9" s="2928">
        <f t="shared" si="6"/>
        <v>1.9699999999999999E-2</v>
      </c>
      <c r="R9" s="2929"/>
      <c r="S9" s="2927"/>
      <c r="T9" s="2928"/>
      <c r="U9" s="2928"/>
      <c r="V9" s="2928"/>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1151</v>
      </c>
      <c r="B10" s="2932">
        <f t="shared" si="8"/>
        <v>360.06949782209392</v>
      </c>
      <c r="C10" s="2932">
        <f t="shared" si="8"/>
        <v>289.84672674747821</v>
      </c>
      <c r="D10" s="2932">
        <f t="shared" si="9"/>
        <v>289.84672674747821</v>
      </c>
      <c r="E10" s="2932">
        <f t="shared" si="10"/>
        <v>501.06543001181495</v>
      </c>
      <c r="F10" s="2932">
        <f t="shared" si="10"/>
        <v>256.82882500744967</v>
      </c>
      <c r="G10" s="3759"/>
      <c r="H10" s="2917">
        <v>2</v>
      </c>
      <c r="I10" s="2917">
        <v>3.85</v>
      </c>
      <c r="J10" s="2917">
        <v>1.95</v>
      </c>
      <c r="K10" s="2917">
        <v>4.4800000000000004</v>
      </c>
      <c r="L10" s="2934">
        <v>1.41</v>
      </c>
      <c r="N10" s="2927">
        <f t="shared" si="11"/>
        <v>3.85E-2</v>
      </c>
      <c r="O10" s="2928">
        <f t="shared" si="6"/>
        <v>1.95E-2</v>
      </c>
      <c r="P10" s="2928">
        <f t="shared" si="6"/>
        <v>4.4800000000000006E-2</v>
      </c>
      <c r="Q10" s="2928">
        <f t="shared" si="6"/>
        <v>1.41E-2</v>
      </c>
      <c r="R10" s="2929"/>
      <c r="S10" s="2927"/>
      <c r="T10" s="2928"/>
      <c r="U10" s="2928"/>
      <c r="V10" s="2928"/>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1160</v>
      </c>
      <c r="B11" s="2932">
        <f t="shared" si="8"/>
        <v>346.720748986128</v>
      </c>
      <c r="C11" s="2932">
        <f t="shared" si="8"/>
        <v>284.30282172386285</v>
      </c>
      <c r="D11" s="2932">
        <f t="shared" si="9"/>
        <v>284.30282172386285</v>
      </c>
      <c r="E11" s="2932">
        <f t="shared" si="10"/>
        <v>479.58023546306947</v>
      </c>
      <c r="F11" s="2932">
        <f t="shared" si="10"/>
        <v>253.25788877571213</v>
      </c>
      <c r="G11" s="3760"/>
      <c r="H11" s="2916">
        <v>1</v>
      </c>
      <c r="I11" s="2916">
        <v>4.09</v>
      </c>
      <c r="J11" s="2916">
        <v>2.93</v>
      </c>
      <c r="K11" s="2916">
        <v>4.54</v>
      </c>
      <c r="L11" s="2933">
        <v>1.48</v>
      </c>
      <c r="N11" s="2927">
        <f t="shared" si="11"/>
        <v>4.0899999999999999E-2</v>
      </c>
      <c r="O11" s="2928">
        <f t="shared" si="6"/>
        <v>2.9300000000000003E-2</v>
      </c>
      <c r="P11" s="2928">
        <f t="shared" si="6"/>
        <v>4.5400000000000003E-2</v>
      </c>
      <c r="Q11" s="2928">
        <f t="shared" si="6"/>
        <v>1.4800000000000001E-2</v>
      </c>
      <c r="R11" s="2929"/>
      <c r="S11" s="2935">
        <f>B11/B12-1</f>
        <v>4.1203450408792808E-2</v>
      </c>
      <c r="T11" s="2936">
        <f>C11/C12-1</f>
        <v>2.6363977342465095E-2</v>
      </c>
      <c r="U11" s="2936">
        <f>E11/E12-1</f>
        <v>4.4837114298626357E-2</v>
      </c>
      <c r="V11" s="2936">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1159</v>
      </c>
      <c r="B12" s="2924">
        <v>333</v>
      </c>
      <c r="C12" s="2924">
        <v>277</v>
      </c>
      <c r="D12" s="2924">
        <f t="shared" si="9"/>
        <v>277</v>
      </c>
      <c r="E12" s="2924">
        <v>459</v>
      </c>
      <c r="F12" s="2925">
        <v>249</v>
      </c>
      <c r="G12" s="3758">
        <v>2015</v>
      </c>
      <c r="H12" s="2937">
        <v>4</v>
      </c>
      <c r="I12" s="2937">
        <v>1.63</v>
      </c>
      <c r="J12" s="2937">
        <v>1.1100000000000001</v>
      </c>
      <c r="K12" s="2937">
        <v>1.77</v>
      </c>
      <c r="L12" s="2938">
        <v>1.89</v>
      </c>
      <c r="N12" s="2939">
        <f t="shared" si="11"/>
        <v>1.6299999999999999E-2</v>
      </c>
      <c r="O12" s="2940">
        <f t="shared" si="6"/>
        <v>1.11E-2</v>
      </c>
      <c r="P12" s="2940">
        <f t="shared" si="6"/>
        <v>1.77E-2</v>
      </c>
      <c r="Q12" s="2940">
        <f t="shared" si="6"/>
        <v>1.89E-2</v>
      </c>
      <c r="R12" s="2929"/>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1158</v>
      </c>
      <c r="B13" s="2932">
        <f t="shared" ref="B13:C15" si="12">B12/(1+N12)</f>
        <v>327.65915576109415</v>
      </c>
      <c r="C13" s="2932">
        <f t="shared" si="12"/>
        <v>273.95905449510434</v>
      </c>
      <c r="D13" s="2932">
        <f t="shared" si="9"/>
        <v>273.95905449510434</v>
      </c>
      <c r="E13" s="2932">
        <f t="shared" ref="E13:F15" si="13">E12/(1+P12)</f>
        <v>451.01699911565294</v>
      </c>
      <c r="F13" s="2932">
        <f t="shared" si="13"/>
        <v>244.38119540681129</v>
      </c>
      <c r="G13" s="3759"/>
      <c r="H13" s="2942">
        <v>3</v>
      </c>
      <c r="I13" s="2942">
        <v>1.65</v>
      </c>
      <c r="J13" s="2942">
        <v>0.92</v>
      </c>
      <c r="K13" s="2942">
        <v>1.88</v>
      </c>
      <c r="L13" s="2943">
        <v>1.26</v>
      </c>
      <c r="N13" s="2927">
        <f t="shared" si="11"/>
        <v>1.6500000000000001E-2</v>
      </c>
      <c r="O13" s="2944">
        <f t="shared" si="6"/>
        <v>9.1999999999999998E-3</v>
      </c>
      <c r="P13" s="2944">
        <f t="shared" si="6"/>
        <v>1.8799999999999997E-2</v>
      </c>
      <c r="Q13" s="2944">
        <f t="shared" si="6"/>
        <v>1.26E-2</v>
      </c>
      <c r="R13" s="2929"/>
      <c r="S13" s="2927"/>
      <c r="T13" s="2928"/>
      <c r="U13" s="2928"/>
      <c r="V13" s="2928"/>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1157</v>
      </c>
      <c r="B14" s="2932">
        <f t="shared" si="12"/>
        <v>322.34053690220776</v>
      </c>
      <c r="C14" s="2932">
        <f t="shared" si="12"/>
        <v>271.46160770422546</v>
      </c>
      <c r="D14" s="2932">
        <f t="shared" si="9"/>
        <v>271.46160770422546</v>
      </c>
      <c r="E14" s="2932">
        <f t="shared" si="13"/>
        <v>442.69434542172456</v>
      </c>
      <c r="F14" s="2932">
        <f t="shared" si="13"/>
        <v>241.34030753190925</v>
      </c>
      <c r="G14" s="3759"/>
      <c r="H14" s="2917">
        <v>2</v>
      </c>
      <c r="I14" s="2917">
        <v>0.77</v>
      </c>
      <c r="J14" s="2917">
        <v>0.69</v>
      </c>
      <c r="K14" s="2917">
        <v>0.8</v>
      </c>
      <c r="L14" s="2934">
        <v>0.88</v>
      </c>
      <c r="N14" s="2927">
        <f t="shared" si="11"/>
        <v>7.7000000000000002E-3</v>
      </c>
      <c r="O14" s="2944">
        <f t="shared" si="6"/>
        <v>6.8999999999999999E-3</v>
      </c>
      <c r="P14" s="2944">
        <f t="shared" si="6"/>
        <v>8.0000000000000002E-3</v>
      </c>
      <c r="Q14" s="2944">
        <f t="shared" si="6"/>
        <v>8.8000000000000005E-3</v>
      </c>
      <c r="R14" s="2929"/>
      <c r="S14" s="2927"/>
      <c r="T14" s="2928"/>
      <c r="U14" s="2928"/>
      <c r="V14" s="2928"/>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1156</v>
      </c>
      <c r="B15" s="2932">
        <f t="shared" si="12"/>
        <v>319.87748030386797</v>
      </c>
      <c r="C15" s="2932">
        <f t="shared" si="12"/>
        <v>269.60135833173649</v>
      </c>
      <c r="D15" s="2932">
        <f t="shared" si="9"/>
        <v>269.60135833173649</v>
      </c>
      <c r="E15" s="2932">
        <f t="shared" si="13"/>
        <v>439.18089823583784</v>
      </c>
      <c r="F15" s="2932">
        <f t="shared" si="13"/>
        <v>239.23503918706311</v>
      </c>
      <c r="G15" s="3760"/>
      <c r="H15" s="2916">
        <v>1</v>
      </c>
      <c r="I15" s="2916">
        <v>0.51</v>
      </c>
      <c r="J15" s="2916">
        <v>0.54</v>
      </c>
      <c r="K15" s="2916">
        <v>0.48</v>
      </c>
      <c r="L15" s="2933">
        <v>0.93</v>
      </c>
      <c r="N15" s="2935">
        <f t="shared" si="11"/>
        <v>5.1000000000000004E-3</v>
      </c>
      <c r="O15" s="2936">
        <f t="shared" si="6"/>
        <v>5.4000000000000003E-3</v>
      </c>
      <c r="P15" s="2936">
        <f t="shared" si="6"/>
        <v>4.7999999999999996E-3</v>
      </c>
      <c r="Q15" s="2936">
        <f t="shared" si="6"/>
        <v>9.300000000000001E-3</v>
      </c>
      <c r="R15" s="2929"/>
      <c r="S15" s="2935">
        <f>B15/B16-1</f>
        <v>5.9040261127922822E-3</v>
      </c>
      <c r="T15" s="2936">
        <f>C15/C16-1</f>
        <v>5.9752176557332781E-3</v>
      </c>
      <c r="U15" s="2936">
        <f>E15/E16-1</f>
        <v>4.9906138119859556E-3</v>
      </c>
      <c r="V15" s="2936">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1155</v>
      </c>
      <c r="B16" s="2945">
        <v>318</v>
      </c>
      <c r="C16" s="2945">
        <v>268</v>
      </c>
      <c r="D16" s="2945">
        <f t="shared" si="9"/>
        <v>268</v>
      </c>
      <c r="E16" s="2945">
        <v>437</v>
      </c>
      <c r="F16" s="2946">
        <v>237</v>
      </c>
      <c r="G16" s="3758">
        <v>2014</v>
      </c>
      <c r="H16" s="2937">
        <v>4</v>
      </c>
      <c r="I16" s="2937">
        <v>0.21</v>
      </c>
      <c r="J16" s="2937">
        <v>0.41</v>
      </c>
      <c r="K16" s="2937">
        <v>0.12</v>
      </c>
      <c r="L16" s="2938">
        <v>0.89</v>
      </c>
      <c r="N16" s="2927">
        <f t="shared" si="11"/>
        <v>2.0999999999999999E-3</v>
      </c>
      <c r="O16" s="2928">
        <f t="shared" si="6"/>
        <v>4.0999999999999995E-3</v>
      </c>
      <c r="P16" s="2928">
        <f t="shared" si="6"/>
        <v>1.1999999999999999E-3</v>
      </c>
      <c r="Q16" s="2928">
        <f t="shared" si="6"/>
        <v>8.8999999999999999E-3</v>
      </c>
      <c r="R16" s="2929"/>
      <c r="S16" s="2930"/>
      <c r="T16" s="2931"/>
      <c r="U16" s="2931"/>
      <c r="V16" s="2931"/>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1154</v>
      </c>
      <c r="B17" s="2932">
        <f t="shared" ref="B17:C19" si="14">B16/(1+N16)</f>
        <v>317.33359944117353</v>
      </c>
      <c r="C17" s="2932">
        <f t="shared" si="14"/>
        <v>266.90568668459315</v>
      </c>
      <c r="D17" s="2932">
        <f t="shared" si="9"/>
        <v>266.90568668459315</v>
      </c>
      <c r="E17" s="2932">
        <f t="shared" ref="E17:F19" si="15">E16/(1+P16)</f>
        <v>436.47622852576905</v>
      </c>
      <c r="F17" s="2932">
        <f t="shared" si="15"/>
        <v>234.90930716622066</v>
      </c>
      <c r="G17" s="3759"/>
      <c r="H17" s="2947">
        <v>3</v>
      </c>
      <c r="I17" s="2947">
        <v>0.83</v>
      </c>
      <c r="J17" s="2947">
        <v>1.47</v>
      </c>
      <c r="K17" s="2947">
        <v>0.65</v>
      </c>
      <c r="L17" s="2948">
        <v>0.72</v>
      </c>
      <c r="N17" s="2927">
        <f t="shared" si="11"/>
        <v>8.3000000000000001E-3</v>
      </c>
      <c r="O17" s="2928">
        <f t="shared" si="6"/>
        <v>1.47E-2</v>
      </c>
      <c r="P17" s="2928">
        <f t="shared" si="6"/>
        <v>6.5000000000000006E-3</v>
      </c>
      <c r="Q17" s="2928">
        <f t="shared" si="6"/>
        <v>7.1999999999999998E-3</v>
      </c>
      <c r="R17" s="2929"/>
      <c r="S17" s="2927"/>
      <c r="T17" s="2928"/>
      <c r="U17" s="2928"/>
      <c r="V17" s="2928"/>
      <c r="X17" s="2909">
        <f>ROUND(SUMPRODUCT(PRODUCT(1+N17:N$18)),4)</f>
        <v>1.0325</v>
      </c>
      <c r="Y17" s="2909">
        <f>ROUND(SUMPRODUCT(PRODUCT(1+O17:O$18)),4)</f>
        <v>1.0353000000000001</v>
      </c>
      <c r="Z17" s="2909">
        <f t="shared" ref="Z17:Z18" si="16">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1153</v>
      </c>
      <c r="B18" s="2932">
        <f t="shared" si="14"/>
        <v>314.72141172386546</v>
      </c>
      <c r="C18" s="2932">
        <f t="shared" si="14"/>
        <v>263.03901319069001</v>
      </c>
      <c r="D18" s="2932">
        <f t="shared" si="9"/>
        <v>263.03901319069001</v>
      </c>
      <c r="E18" s="2932">
        <f t="shared" si="15"/>
        <v>433.65745506782821</v>
      </c>
      <c r="F18" s="2932">
        <f t="shared" si="15"/>
        <v>233.23005080045735</v>
      </c>
      <c r="G18" s="3759"/>
      <c r="H18" s="2937">
        <v>2</v>
      </c>
      <c r="I18" s="2937">
        <v>2.4</v>
      </c>
      <c r="J18" s="2937">
        <v>2.0299999999999998</v>
      </c>
      <c r="K18" s="2937">
        <v>2.59</v>
      </c>
      <c r="L18" s="2938">
        <v>1.52</v>
      </c>
      <c r="N18" s="2927">
        <f t="shared" si="11"/>
        <v>2.4E-2</v>
      </c>
      <c r="O18" s="2928">
        <f t="shared" si="6"/>
        <v>2.0299999999999999E-2</v>
      </c>
      <c r="P18" s="2928">
        <f t="shared" si="6"/>
        <v>2.5899999999999999E-2</v>
      </c>
      <c r="Q18" s="2928">
        <f t="shared" si="6"/>
        <v>1.52E-2</v>
      </c>
      <c r="R18" s="2929"/>
      <c r="S18" s="2927"/>
      <c r="T18" s="2928"/>
      <c r="U18" s="2928"/>
      <c r="V18" s="2928"/>
      <c r="X18" s="2909">
        <f>1+N18</f>
        <v>1.024</v>
      </c>
      <c r="Y18" s="2909">
        <f>1+O18</f>
        <v>1.0203</v>
      </c>
      <c r="Z18" s="2909">
        <f t="shared" si="16"/>
        <v>1.0203</v>
      </c>
      <c r="AA18" s="2909">
        <f>1+P18</f>
        <v>1.0259</v>
      </c>
      <c r="AB18" s="2909">
        <f>1+Q18</f>
        <v>1.0152000000000001</v>
      </c>
      <c r="AD18" s="2910">
        <f>ROUND(AVERAGE(I18:I$19)/100,4)</f>
        <v>2.69E-2</v>
      </c>
      <c r="AE18" s="2910">
        <f>ROUND(AVERAGE(J18:J$19)/100,4)</f>
        <v>2.1899999999999999E-2</v>
      </c>
      <c r="AF18" s="2910">
        <f t="shared" ref="AF18" si="17">AE18</f>
        <v>2.1899999999999999E-2</v>
      </c>
      <c r="AG18" s="2910">
        <f>ROUND(AVERAGE(K18:K$19)/100,4)</f>
        <v>2.9399999999999999E-2</v>
      </c>
      <c r="AH18" s="2910">
        <f>ROUND(AVERAGE(L18:L$19)/100,4)</f>
        <v>1.44E-2</v>
      </c>
    </row>
    <row r="19" spans="1:34" s="2953" customFormat="1" ht="13.5" thickBot="1">
      <c r="A19" s="2949" t="s">
        <v>1152</v>
      </c>
      <c r="B19" s="2950">
        <f t="shared" si="14"/>
        <v>307.34512863658733</v>
      </c>
      <c r="C19" s="2950">
        <f t="shared" si="14"/>
        <v>257.80556031626975</v>
      </c>
      <c r="D19" s="2950">
        <f t="shared" si="9"/>
        <v>257.80556031626975</v>
      </c>
      <c r="E19" s="2950">
        <f t="shared" si="15"/>
        <v>422.70928459677179</v>
      </c>
      <c r="F19" s="2950">
        <f t="shared" si="15"/>
        <v>229.73803270336617</v>
      </c>
      <c r="G19" s="3760"/>
      <c r="H19" s="2951">
        <v>1</v>
      </c>
      <c r="I19" s="2951">
        <v>2.97</v>
      </c>
      <c r="J19" s="2951">
        <v>2.34</v>
      </c>
      <c r="K19" s="2951">
        <v>3.28</v>
      </c>
      <c r="L19" s="2952">
        <v>1.36</v>
      </c>
      <c r="N19" s="2954">
        <f t="shared" si="11"/>
        <v>2.9700000000000001E-2</v>
      </c>
      <c r="O19" s="2955">
        <f t="shared" si="6"/>
        <v>2.3399999999999997E-2</v>
      </c>
      <c r="P19" s="2955">
        <f t="shared" si="6"/>
        <v>3.2799999999999996E-2</v>
      </c>
      <c r="Q19" s="2955">
        <f t="shared" si="6"/>
        <v>1.3600000000000001E-2</v>
      </c>
      <c r="R19" s="2956"/>
      <c r="S19" s="2957">
        <f>B19/B20-1</f>
        <v>2.7910129219355539E-2</v>
      </c>
      <c r="T19" s="2958">
        <f>C19/C20-1</f>
        <v>2.3037937762975247E-2</v>
      </c>
      <c r="U19" s="2958">
        <f>E19/E20-1</f>
        <v>3.3519033243940788E-2</v>
      </c>
      <c r="V19" s="2958">
        <f>F19/F20-1</f>
        <v>1.2061818076502862E-2</v>
      </c>
      <c r="W19" s="2959" t="s">
        <v>2735</v>
      </c>
      <c r="X19" s="2960">
        <v>1</v>
      </c>
      <c r="Y19" s="2960">
        <v>1</v>
      </c>
      <c r="Z19" s="2960">
        <v>1</v>
      </c>
      <c r="AA19" s="2960">
        <v>1</v>
      </c>
      <c r="AB19" s="2960">
        <v>1</v>
      </c>
      <c r="AD19" s="3228">
        <f>I19/100</f>
        <v>2.9700000000000001E-2</v>
      </c>
      <c r="AE19" s="3228">
        <f>J19/100</f>
        <v>2.3399999999999997E-2</v>
      </c>
      <c r="AF19" s="3228">
        <f>AE19</f>
        <v>2.3399999999999997E-2</v>
      </c>
      <c r="AG19" s="3228">
        <f>K19/100</f>
        <v>3.2799999999999996E-2</v>
      </c>
      <c r="AH19" s="3228">
        <f>L19/100</f>
        <v>1.3600000000000001E-2</v>
      </c>
    </row>
    <row r="20" spans="1:34" ht="13.5" thickBot="1">
      <c r="A20" s="2911" t="s">
        <v>2736</v>
      </c>
      <c r="B20" s="2924">
        <v>299</v>
      </c>
      <c r="C20" s="2924">
        <v>252</v>
      </c>
      <c r="D20" s="2924">
        <f t="shared" si="9"/>
        <v>252</v>
      </c>
      <c r="E20" s="2924">
        <v>409</v>
      </c>
      <c r="F20" s="2925">
        <v>227</v>
      </c>
      <c r="G20" s="3765">
        <v>2013</v>
      </c>
      <c r="H20" s="2961">
        <v>4</v>
      </c>
      <c r="I20" s="2961">
        <v>1.83</v>
      </c>
      <c r="J20" s="2961">
        <v>1.68</v>
      </c>
      <c r="K20" s="2961">
        <v>1.97</v>
      </c>
      <c r="L20" s="2962">
        <v>0.87</v>
      </c>
      <c r="N20" s="2939">
        <f t="shared" si="11"/>
        <v>1.83E-2</v>
      </c>
      <c r="O20" s="2940">
        <f t="shared" si="6"/>
        <v>1.6799999999999999E-2</v>
      </c>
      <c r="P20" s="2940">
        <f t="shared" si="6"/>
        <v>1.9699999999999999E-2</v>
      </c>
      <c r="Q20" s="2940">
        <f t="shared" si="6"/>
        <v>8.6999999999999994E-3</v>
      </c>
      <c r="R20" s="2929"/>
      <c r="S20" s="2930"/>
      <c r="T20" s="2931"/>
      <c r="U20" s="2931"/>
      <c r="V20" s="2931"/>
      <c r="X20" s="2931"/>
      <c r="Y20" s="2931"/>
      <c r="Z20" s="2931"/>
    </row>
    <row r="21" spans="1:34">
      <c r="A21" s="2911" t="s">
        <v>2737</v>
      </c>
      <c r="B21" s="2932">
        <f t="shared" ref="B21:C23" si="18">B20/(1+N20)</f>
        <v>293.62663262299913</v>
      </c>
      <c r="C21" s="2932">
        <f t="shared" si="18"/>
        <v>247.83634933123525</v>
      </c>
      <c r="D21" s="2932">
        <f t="shared" si="9"/>
        <v>247.83634933123525</v>
      </c>
      <c r="E21" s="2932">
        <f t="shared" ref="E21:F23" si="19">E20/(1+P20)</f>
        <v>401.09836226341076</v>
      </c>
      <c r="F21" s="2932">
        <f t="shared" si="19"/>
        <v>225.04213343908003</v>
      </c>
      <c r="G21" s="3766"/>
      <c r="H21" s="2942">
        <v>3</v>
      </c>
      <c r="I21" s="2942">
        <v>1.86</v>
      </c>
      <c r="J21" s="2942">
        <v>1.72</v>
      </c>
      <c r="K21" s="2942">
        <v>1.98</v>
      </c>
      <c r="L21" s="2943">
        <v>0.88</v>
      </c>
      <c r="N21" s="2927">
        <f t="shared" si="11"/>
        <v>1.8600000000000002E-2</v>
      </c>
      <c r="O21" s="2944">
        <f t="shared" si="6"/>
        <v>1.72E-2</v>
      </c>
      <c r="P21" s="2944">
        <f t="shared" si="6"/>
        <v>1.9799999999999998E-2</v>
      </c>
      <c r="Q21" s="2944">
        <f t="shared" si="6"/>
        <v>8.8000000000000005E-3</v>
      </c>
      <c r="R21" s="2929"/>
      <c r="S21" s="2927"/>
      <c r="T21" s="2928"/>
      <c r="U21" s="2928"/>
      <c r="V21" s="2928"/>
    </row>
    <row r="22" spans="1:34">
      <c r="A22" s="2911" t="s">
        <v>2738</v>
      </c>
      <c r="B22" s="2932">
        <f t="shared" si="18"/>
        <v>288.2649053828776</v>
      </c>
      <c r="C22" s="2932">
        <f t="shared" si="18"/>
        <v>243.64564425013293</v>
      </c>
      <c r="D22" s="2932">
        <f t="shared" si="9"/>
        <v>243.64564425013293</v>
      </c>
      <c r="E22" s="2932">
        <f t="shared" si="19"/>
        <v>393.31080825986544</v>
      </c>
      <c r="F22" s="2932">
        <f t="shared" si="19"/>
        <v>223.07903790551154</v>
      </c>
      <c r="G22" s="3766"/>
      <c r="H22" s="2917">
        <v>2</v>
      </c>
      <c r="I22" s="2917">
        <v>2.04</v>
      </c>
      <c r="J22" s="2917">
        <v>2.33</v>
      </c>
      <c r="K22" s="2917">
        <v>2.0699999999999998</v>
      </c>
      <c r="L22" s="2934">
        <v>0.69</v>
      </c>
      <c r="N22" s="2927">
        <f t="shared" si="11"/>
        <v>2.0400000000000001E-2</v>
      </c>
      <c r="O22" s="2944">
        <f t="shared" si="6"/>
        <v>2.3300000000000001E-2</v>
      </c>
      <c r="P22" s="2944">
        <f t="shared" si="6"/>
        <v>2.07E-2</v>
      </c>
      <c r="Q22" s="2944">
        <f t="shared" si="6"/>
        <v>6.8999999999999999E-3</v>
      </c>
      <c r="R22" s="2929"/>
      <c r="S22" s="2927"/>
      <c r="T22" s="2928"/>
      <c r="U22" s="2928"/>
      <c r="V22" s="2928"/>
      <c r="X22" s="2963"/>
      <c r="Y22" s="2964"/>
    </row>
    <row r="23" spans="1:34">
      <c r="A23" s="2911" t="s">
        <v>2739</v>
      </c>
      <c r="B23" s="2932">
        <f t="shared" si="18"/>
        <v>282.50186729015837</v>
      </c>
      <c r="C23" s="2932">
        <f t="shared" si="18"/>
        <v>238.09796174155468</v>
      </c>
      <c r="D23" s="2932">
        <f t="shared" si="9"/>
        <v>238.09796174155468</v>
      </c>
      <c r="E23" s="2932">
        <f t="shared" si="19"/>
        <v>385.33438646014054</v>
      </c>
      <c r="F23" s="2932">
        <f t="shared" si="19"/>
        <v>221.55034055567739</v>
      </c>
      <c r="G23" s="3767"/>
      <c r="H23" s="2916">
        <v>1</v>
      </c>
      <c r="I23" s="2916">
        <v>1.67</v>
      </c>
      <c r="J23" s="2916">
        <v>1.31</v>
      </c>
      <c r="K23" s="2916">
        <v>1.85</v>
      </c>
      <c r="L23" s="2933">
        <v>0.96</v>
      </c>
      <c r="N23" s="2935">
        <f t="shared" si="11"/>
        <v>1.67E-2</v>
      </c>
      <c r="O23" s="2936">
        <f t="shared" si="11"/>
        <v>1.3100000000000001E-2</v>
      </c>
      <c r="P23" s="2936">
        <f t="shared" si="11"/>
        <v>1.8500000000000003E-2</v>
      </c>
      <c r="Q23" s="2936">
        <f t="shared" si="11"/>
        <v>9.5999999999999992E-3</v>
      </c>
      <c r="R23" s="2929"/>
      <c r="S23" s="2935">
        <f>B23/B24-1</f>
        <v>1.6193767230785472E-2</v>
      </c>
      <c r="T23" s="2936">
        <f>C23/C24-1</f>
        <v>1.7512657015190891E-2</v>
      </c>
      <c r="U23" s="2936">
        <f>E23/E24-1</f>
        <v>1.6713420739157048E-2</v>
      </c>
      <c r="V23" s="2936">
        <f>F23/F24-1</f>
        <v>7.0470025258062563E-3</v>
      </c>
      <c r="X23" s="2965"/>
      <c r="Y23" s="2910"/>
      <c r="Z23" s="2910"/>
    </row>
    <row r="24" spans="1:34" ht="13.5" thickBot="1">
      <c r="A24" s="2911" t="s">
        <v>2740</v>
      </c>
      <c r="B24" s="2966">
        <v>278</v>
      </c>
      <c r="C24" s="2966">
        <v>234</v>
      </c>
      <c r="D24" s="2966">
        <f t="shared" si="9"/>
        <v>234</v>
      </c>
      <c r="E24" s="2966">
        <v>379</v>
      </c>
      <c r="F24" s="2967">
        <v>220</v>
      </c>
      <c r="G24" s="3758">
        <v>2012</v>
      </c>
      <c r="H24" s="2937">
        <v>4</v>
      </c>
      <c r="I24" s="2937">
        <v>0.91</v>
      </c>
      <c r="J24" s="2937">
        <v>0.68</v>
      </c>
      <c r="K24" s="2937">
        <v>0.98</v>
      </c>
      <c r="L24" s="2938">
        <v>0.9</v>
      </c>
      <c r="N24" s="2927">
        <f t="shared" si="11"/>
        <v>9.1000000000000004E-3</v>
      </c>
      <c r="O24" s="2928">
        <f t="shared" si="11"/>
        <v>6.8000000000000005E-3</v>
      </c>
      <c r="P24" s="2928">
        <f t="shared" si="11"/>
        <v>9.7999999999999997E-3</v>
      </c>
      <c r="Q24" s="2928">
        <f t="shared" si="11"/>
        <v>9.0000000000000011E-3</v>
      </c>
      <c r="R24" s="2929"/>
      <c r="S24" s="2930"/>
      <c r="T24" s="2931"/>
      <c r="U24" s="2931"/>
      <c r="V24" s="2931"/>
      <c r="X24" s="2931"/>
      <c r="Y24" s="2931"/>
      <c r="Z24" s="2931"/>
    </row>
    <row r="25" spans="1:34">
      <c r="A25" s="2911" t="s">
        <v>2741</v>
      </c>
      <c r="B25" s="2932">
        <f>B24/(1+N24)</f>
        <v>275.49301357645425</v>
      </c>
      <c r="C25" s="2932">
        <f>C24/(1+O24)</f>
        <v>232.41954707985698</v>
      </c>
      <c r="D25" s="2932">
        <f t="shared" si="9"/>
        <v>232.41954707985698</v>
      </c>
      <c r="E25" s="2932">
        <f t="shared" ref="E25:F27" si="20">E24/(1+P24)</f>
        <v>375.32184591008121</v>
      </c>
      <c r="F25" s="2932">
        <f t="shared" si="20"/>
        <v>218.03766105054513</v>
      </c>
      <c r="G25" s="3759"/>
      <c r="H25" s="2942">
        <v>3</v>
      </c>
      <c r="I25" s="2942">
        <v>0.09</v>
      </c>
      <c r="J25" s="2942">
        <v>0.28999999999999998</v>
      </c>
      <c r="K25" s="2942">
        <v>-0.01</v>
      </c>
      <c r="L25" s="2943">
        <v>0.57999999999999996</v>
      </c>
      <c r="N25" s="2927">
        <f t="shared" si="11"/>
        <v>8.9999999999999998E-4</v>
      </c>
      <c r="O25" s="2928">
        <f t="shared" si="11"/>
        <v>2.8999999999999998E-3</v>
      </c>
      <c r="P25" s="2928">
        <f t="shared" si="11"/>
        <v>-1E-4</v>
      </c>
      <c r="Q25" s="2928">
        <f t="shared" si="11"/>
        <v>5.7999999999999996E-3</v>
      </c>
      <c r="R25" s="2929"/>
      <c r="S25" s="2927"/>
      <c r="T25" s="2928"/>
      <c r="U25" s="2928"/>
      <c r="V25" s="2928"/>
    </row>
    <row r="26" spans="1:34">
      <c r="A26" s="2911" t="s">
        <v>2742</v>
      </c>
      <c r="B26" s="2932">
        <f>B25/(1+N25)</f>
        <v>275.24529281292263</v>
      </c>
      <c r="C26" s="2932">
        <f>C25/(1+O25)</f>
        <v>231.74747938962707</v>
      </c>
      <c r="D26" s="2932">
        <f t="shared" si="9"/>
        <v>231.74747938962707</v>
      </c>
      <c r="E26" s="2932">
        <f t="shared" si="20"/>
        <v>375.35938184826603</v>
      </c>
      <c r="F26" s="2932">
        <f t="shared" si="20"/>
        <v>216.78033510692495</v>
      </c>
      <c r="G26" s="3759"/>
      <c r="H26" s="2917">
        <v>2</v>
      </c>
      <c r="I26" s="2917">
        <v>0.02</v>
      </c>
      <c r="J26" s="2917">
        <v>0.12</v>
      </c>
      <c r="K26" s="2917">
        <v>-0.08</v>
      </c>
      <c r="L26" s="2934">
        <v>1.24</v>
      </c>
      <c r="N26" s="2927">
        <f t="shared" si="11"/>
        <v>2.0000000000000001E-4</v>
      </c>
      <c r="O26" s="2928">
        <f t="shared" si="11"/>
        <v>1.1999999999999999E-3</v>
      </c>
      <c r="P26" s="2928">
        <f t="shared" si="11"/>
        <v>-8.0000000000000004E-4</v>
      </c>
      <c r="Q26" s="2928">
        <f t="shared" si="11"/>
        <v>1.24E-2</v>
      </c>
      <c r="R26" s="2929"/>
      <c r="S26" s="2927"/>
      <c r="T26" s="2928"/>
      <c r="U26" s="2928"/>
      <c r="V26" s="2928"/>
    </row>
    <row r="27" spans="1:34" ht="13.5" thickBot="1">
      <c r="A27" s="2911" t="s">
        <v>2743</v>
      </c>
      <c r="B27" s="2932">
        <f>B26/(1+N26)</f>
        <v>275.19025476197027</v>
      </c>
      <c r="C27" s="2968">
        <v>232</v>
      </c>
      <c r="D27" s="2968">
        <f t="shared" si="9"/>
        <v>232</v>
      </c>
      <c r="E27" s="2932">
        <f t="shared" si="20"/>
        <v>375.65990977608692</v>
      </c>
      <c r="F27" s="2932">
        <f t="shared" si="20"/>
        <v>214.12518283971252</v>
      </c>
      <c r="G27" s="3760"/>
      <c r="H27" s="2916">
        <v>1</v>
      </c>
      <c r="I27" s="2916">
        <v>0.02</v>
      </c>
      <c r="J27" s="2916">
        <v>0.13</v>
      </c>
      <c r="K27" s="2916">
        <v>-0.04</v>
      </c>
      <c r="L27" s="2933">
        <v>0.46</v>
      </c>
      <c r="N27" s="2927">
        <f t="shared" si="11"/>
        <v>2.0000000000000001E-4</v>
      </c>
      <c r="O27" s="2928">
        <f t="shared" si="11"/>
        <v>1.2999999999999999E-3</v>
      </c>
      <c r="P27" s="2928">
        <f t="shared" si="11"/>
        <v>-4.0000000000000002E-4</v>
      </c>
      <c r="Q27" s="2928">
        <f t="shared" si="11"/>
        <v>4.5999999999999999E-3</v>
      </c>
      <c r="R27" s="2929"/>
      <c r="S27" s="2935">
        <f>B27/B28-1</f>
        <v>6.9183549807361189E-4</v>
      </c>
      <c r="T27" s="2936">
        <f>C27/C28-1</f>
        <v>0</v>
      </c>
      <c r="U27" s="2936">
        <f>E27/E28-1</f>
        <v>-9.0449527636460303E-4</v>
      </c>
      <c r="V27" s="2936">
        <f>F27/F28-1</f>
        <v>5.2825485432512753E-3</v>
      </c>
      <c r="X27" s="2910"/>
      <c r="Y27" s="2910"/>
      <c r="Z27" s="2910"/>
    </row>
    <row r="28" spans="1:34" ht="13.5" thickBot="1">
      <c r="A28" s="2911" t="s">
        <v>2744</v>
      </c>
      <c r="B28" s="2924">
        <v>275</v>
      </c>
      <c r="C28" s="2924">
        <v>232</v>
      </c>
      <c r="D28" s="2924">
        <f t="shared" si="9"/>
        <v>232</v>
      </c>
      <c r="E28" s="2924">
        <v>376</v>
      </c>
      <c r="F28" s="2925">
        <v>213</v>
      </c>
      <c r="G28" s="3758">
        <v>2011</v>
      </c>
      <c r="H28" s="2937">
        <v>4</v>
      </c>
      <c r="I28" s="2937">
        <v>-0.2</v>
      </c>
      <c r="J28" s="2937">
        <v>0.04</v>
      </c>
      <c r="K28" s="2937">
        <v>-0.34</v>
      </c>
      <c r="L28" s="2938">
        <v>0.46</v>
      </c>
      <c r="N28" s="2939">
        <f t="shared" si="11"/>
        <v>-2E-3</v>
      </c>
      <c r="O28" s="2940">
        <f t="shared" si="11"/>
        <v>4.0000000000000002E-4</v>
      </c>
      <c r="P28" s="2940">
        <f t="shared" si="11"/>
        <v>-3.4000000000000002E-3</v>
      </c>
      <c r="Q28" s="2940">
        <f t="shared" si="11"/>
        <v>4.5999999999999999E-3</v>
      </c>
      <c r="R28" s="2929"/>
      <c r="S28" s="2930"/>
      <c r="T28" s="2931"/>
      <c r="U28" s="2931"/>
      <c r="V28" s="2931"/>
      <c r="X28" s="2931"/>
      <c r="Y28" s="2931"/>
      <c r="Z28" s="2931"/>
    </row>
    <row r="29" spans="1:34">
      <c r="A29" s="2911" t="s">
        <v>2745</v>
      </c>
      <c r="B29" s="2932">
        <f t="shared" ref="B29:C31" si="21">B28/(1+N28)</f>
        <v>275.55110220440883</v>
      </c>
      <c r="C29" s="2932">
        <f t="shared" si="21"/>
        <v>231.90723710515795</v>
      </c>
      <c r="D29" s="2932">
        <f t="shared" si="9"/>
        <v>231.90723710515795</v>
      </c>
      <c r="E29" s="2932">
        <f t="shared" ref="E29:F31" si="22">E28/(1+P28)</f>
        <v>377.28276138872161</v>
      </c>
      <c r="F29" s="2932">
        <f t="shared" si="22"/>
        <v>212.02468644236512</v>
      </c>
      <c r="G29" s="3759">
        <v>2011</v>
      </c>
      <c r="H29" s="2942">
        <v>3</v>
      </c>
      <c r="I29" s="2942">
        <v>0.13</v>
      </c>
      <c r="J29" s="2942">
        <v>0.75</v>
      </c>
      <c r="K29" s="2942">
        <v>-0.08</v>
      </c>
      <c r="L29" s="2943">
        <v>0.53</v>
      </c>
      <c r="N29" s="2927">
        <f t="shared" si="11"/>
        <v>1.2999999999999999E-3</v>
      </c>
      <c r="O29" s="2944">
        <f t="shared" si="11"/>
        <v>7.4999999999999997E-3</v>
      </c>
      <c r="P29" s="2944">
        <f t="shared" si="11"/>
        <v>-8.0000000000000004E-4</v>
      </c>
      <c r="Q29" s="2944">
        <f t="shared" si="11"/>
        <v>5.3E-3</v>
      </c>
      <c r="R29" s="2929"/>
      <c r="S29" s="2927"/>
      <c r="T29" s="2928"/>
      <c r="U29" s="2928"/>
      <c r="V29" s="2928"/>
    </row>
    <row r="30" spans="1:34">
      <c r="A30" s="2911" t="s">
        <v>2746</v>
      </c>
      <c r="B30" s="2932">
        <f t="shared" si="21"/>
        <v>275.19335084830601</v>
      </c>
      <c r="C30" s="2932">
        <f t="shared" si="21"/>
        <v>230.18088050139744</v>
      </c>
      <c r="D30" s="2932">
        <f t="shared" si="9"/>
        <v>230.18088050139744</v>
      </c>
      <c r="E30" s="2932">
        <f t="shared" si="22"/>
        <v>377.58482925212331</v>
      </c>
      <c r="F30" s="2932">
        <f t="shared" si="22"/>
        <v>210.90687997847917</v>
      </c>
      <c r="G30" s="3759">
        <v>2011</v>
      </c>
      <c r="H30" s="2917">
        <v>2</v>
      </c>
      <c r="I30" s="2917">
        <v>-0.4</v>
      </c>
      <c r="J30" s="2917">
        <v>0.17</v>
      </c>
      <c r="K30" s="2917">
        <v>-0.57999999999999996</v>
      </c>
      <c r="L30" s="2934">
        <v>-0.2</v>
      </c>
      <c r="N30" s="2927">
        <f t="shared" si="11"/>
        <v>-4.0000000000000001E-3</v>
      </c>
      <c r="O30" s="2944">
        <f t="shared" si="11"/>
        <v>1.7000000000000001E-3</v>
      </c>
      <c r="P30" s="2944">
        <f t="shared" si="11"/>
        <v>-5.7999999999999996E-3</v>
      </c>
      <c r="Q30" s="2944">
        <f t="shared" si="11"/>
        <v>-2E-3</v>
      </c>
      <c r="R30" s="2929"/>
      <c r="S30" s="2927"/>
      <c r="T30" s="2928"/>
      <c r="U30" s="2928"/>
      <c r="V30" s="2928"/>
    </row>
    <row r="31" spans="1:34" ht="13.5" thickBot="1">
      <c r="A31" s="2911" t="s">
        <v>2747</v>
      </c>
      <c r="B31" s="2932">
        <f t="shared" si="21"/>
        <v>276.29854502841971</v>
      </c>
      <c r="C31" s="2932">
        <f t="shared" si="21"/>
        <v>229.79023709833027</v>
      </c>
      <c r="D31" s="2932">
        <f t="shared" si="9"/>
        <v>229.79023709833027</v>
      </c>
      <c r="E31" s="2932">
        <f t="shared" si="22"/>
        <v>379.78759731655936</v>
      </c>
      <c r="F31" s="2932">
        <f t="shared" si="22"/>
        <v>211.32953905659235</v>
      </c>
      <c r="G31" s="3760">
        <v>2011</v>
      </c>
      <c r="H31" s="2916">
        <v>1</v>
      </c>
      <c r="I31" s="2916">
        <v>2.65</v>
      </c>
      <c r="J31" s="2916">
        <v>3.76</v>
      </c>
      <c r="K31" s="2916">
        <v>1.89</v>
      </c>
      <c r="L31" s="2933">
        <v>7.95</v>
      </c>
      <c r="N31" s="2935">
        <f t="shared" si="11"/>
        <v>2.6499999999999999E-2</v>
      </c>
      <c r="O31" s="2936">
        <f t="shared" si="11"/>
        <v>3.7599999999999995E-2</v>
      </c>
      <c r="P31" s="2936">
        <f t="shared" si="11"/>
        <v>1.89E-2</v>
      </c>
      <c r="Q31" s="2936">
        <f t="shared" si="11"/>
        <v>7.9500000000000001E-2</v>
      </c>
      <c r="R31" s="2929"/>
      <c r="S31" s="2935">
        <f>B31/B32-1</f>
        <v>2.713213765211786E-2</v>
      </c>
      <c r="T31" s="2936">
        <f>C31/C32-1</f>
        <v>3.9774828499231862E-2</v>
      </c>
      <c r="U31" s="2936">
        <f>E31/E32-1</f>
        <v>1.8197311840641772E-2</v>
      </c>
      <c r="V31" s="2936">
        <f>F31/F32-1</f>
        <v>7.8211933962205826E-2</v>
      </c>
      <c r="X31" s="2910"/>
      <c r="Y31" s="2910"/>
      <c r="Z31" s="2910"/>
    </row>
    <row r="32" spans="1:34" ht="13.5" thickBot="1">
      <c r="A32" s="2911" t="s">
        <v>2748</v>
      </c>
      <c r="B32" s="2924">
        <v>269</v>
      </c>
      <c r="C32" s="2924">
        <v>221</v>
      </c>
      <c r="D32" s="2924">
        <f t="shared" si="9"/>
        <v>221</v>
      </c>
      <c r="E32" s="2924">
        <v>373</v>
      </c>
      <c r="F32" s="2925">
        <v>196</v>
      </c>
      <c r="G32" s="3758">
        <v>2010</v>
      </c>
      <c r="H32" s="2937">
        <v>4</v>
      </c>
      <c r="I32" s="2937">
        <v>5.72</v>
      </c>
      <c r="J32" s="2937">
        <v>6.57</v>
      </c>
      <c r="K32" s="2937">
        <v>5.72</v>
      </c>
      <c r="L32" s="2938">
        <v>2.72</v>
      </c>
      <c r="N32" s="2927">
        <f t="shared" si="11"/>
        <v>5.7200000000000001E-2</v>
      </c>
      <c r="O32" s="2928">
        <f t="shared" si="11"/>
        <v>6.5700000000000008E-2</v>
      </c>
      <c r="P32" s="2928">
        <f t="shared" si="11"/>
        <v>5.7200000000000001E-2</v>
      </c>
      <c r="Q32" s="2928">
        <f t="shared" si="11"/>
        <v>2.7200000000000002E-2</v>
      </c>
      <c r="R32" s="2929"/>
      <c r="S32" s="2930"/>
      <c r="T32" s="2931"/>
      <c r="U32" s="2931"/>
      <c r="V32" s="2931"/>
      <c r="X32" s="2931"/>
      <c r="Y32" s="2931"/>
      <c r="Z32" s="2931"/>
    </row>
    <row r="33" spans="1:26">
      <c r="A33" s="2911" t="s">
        <v>2749</v>
      </c>
      <c r="B33" s="2932">
        <f t="shared" ref="B33:C35" si="23">B32/(1+N32)</f>
        <v>254.44570563753314</v>
      </c>
      <c r="C33" s="2932">
        <f t="shared" si="23"/>
        <v>207.37543398705074</v>
      </c>
      <c r="D33" s="2932">
        <f t="shared" si="9"/>
        <v>207.37543398705074</v>
      </c>
      <c r="E33" s="2932">
        <f t="shared" ref="E33:F35" si="24">E32/(1+P32)</f>
        <v>352.81876655315932</v>
      </c>
      <c r="F33" s="2932">
        <f t="shared" si="24"/>
        <v>190.809968847352</v>
      </c>
      <c r="G33" s="3759">
        <v>2010</v>
      </c>
      <c r="H33" s="2942">
        <v>3</v>
      </c>
      <c r="I33" s="2942">
        <v>4.7300000000000004</v>
      </c>
      <c r="J33" s="2942">
        <v>3.9</v>
      </c>
      <c r="K33" s="2942">
        <v>5.03</v>
      </c>
      <c r="L33" s="2943">
        <v>4.21</v>
      </c>
      <c r="N33" s="2927">
        <f t="shared" si="11"/>
        <v>4.7300000000000002E-2</v>
      </c>
      <c r="O33" s="2928">
        <f t="shared" si="11"/>
        <v>3.9E-2</v>
      </c>
      <c r="P33" s="2928">
        <f t="shared" si="11"/>
        <v>5.0300000000000004E-2</v>
      </c>
      <c r="Q33" s="2928">
        <f t="shared" si="11"/>
        <v>4.2099999999999999E-2</v>
      </c>
      <c r="R33" s="2929"/>
      <c r="S33" s="2927"/>
      <c r="T33" s="2928"/>
      <c r="U33" s="2928"/>
      <c r="V33" s="2928"/>
    </row>
    <row r="34" spans="1:26">
      <c r="A34" s="2911" t="s">
        <v>2750</v>
      </c>
      <c r="B34" s="2932">
        <f t="shared" si="23"/>
        <v>242.95398227588385</v>
      </c>
      <c r="C34" s="2932">
        <f t="shared" si="23"/>
        <v>199.59137053614126</v>
      </c>
      <c r="D34" s="2932">
        <f t="shared" si="9"/>
        <v>199.59137053614126</v>
      </c>
      <c r="E34" s="2932">
        <f t="shared" si="24"/>
        <v>335.92189522342125</v>
      </c>
      <c r="F34" s="2932">
        <f t="shared" si="24"/>
        <v>183.10139991109489</v>
      </c>
      <c r="G34" s="3759">
        <v>2010</v>
      </c>
      <c r="H34" s="2917">
        <v>2</v>
      </c>
      <c r="I34" s="2917">
        <v>4.6900000000000004</v>
      </c>
      <c r="J34" s="2917">
        <v>3.55</v>
      </c>
      <c r="K34" s="2917">
        <v>5.07</v>
      </c>
      <c r="L34" s="2934">
        <v>4.2300000000000004</v>
      </c>
      <c r="N34" s="2927">
        <f t="shared" si="11"/>
        <v>4.6900000000000004E-2</v>
      </c>
      <c r="O34" s="2928">
        <f t="shared" si="11"/>
        <v>3.5499999999999997E-2</v>
      </c>
      <c r="P34" s="2928">
        <f t="shared" si="11"/>
        <v>5.0700000000000002E-2</v>
      </c>
      <c r="Q34" s="2928">
        <f t="shared" si="11"/>
        <v>4.2300000000000004E-2</v>
      </c>
      <c r="R34" s="2929"/>
      <c r="S34" s="2927"/>
      <c r="T34" s="2928"/>
      <c r="U34" s="2928"/>
      <c r="V34" s="2928"/>
    </row>
    <row r="35" spans="1:26" ht="13.5" thickBot="1">
      <c r="A35" s="2911" t="s">
        <v>2751</v>
      </c>
      <c r="B35" s="2932">
        <f t="shared" si="23"/>
        <v>232.06990378821649</v>
      </c>
      <c r="C35" s="2932">
        <f t="shared" si="23"/>
        <v>192.74878854286936</v>
      </c>
      <c r="D35" s="2932">
        <f t="shared" si="9"/>
        <v>192.74878854286936</v>
      </c>
      <c r="E35" s="2932">
        <f t="shared" si="24"/>
        <v>319.71247284992984</v>
      </c>
      <c r="F35" s="2932">
        <f t="shared" si="24"/>
        <v>175.67053622862409</v>
      </c>
      <c r="G35" s="3760">
        <v>2010</v>
      </c>
      <c r="H35" s="2916">
        <v>1</v>
      </c>
      <c r="I35" s="2916">
        <v>5.4</v>
      </c>
      <c r="J35" s="2916">
        <v>3.2</v>
      </c>
      <c r="K35" s="2916">
        <v>6.16</v>
      </c>
      <c r="L35" s="2933">
        <v>4.51</v>
      </c>
      <c r="N35" s="2927">
        <f t="shared" si="11"/>
        <v>5.4000000000000006E-2</v>
      </c>
      <c r="O35" s="2928">
        <f t="shared" si="11"/>
        <v>3.2000000000000001E-2</v>
      </c>
      <c r="P35" s="2928">
        <f t="shared" si="11"/>
        <v>6.1600000000000002E-2</v>
      </c>
      <c r="Q35" s="2928">
        <f t="shared" si="11"/>
        <v>4.5100000000000001E-2</v>
      </c>
      <c r="R35" s="2929"/>
      <c r="S35" s="2935">
        <f>B35/B36-1</f>
        <v>5.4863199037347599E-2</v>
      </c>
      <c r="T35" s="2936">
        <f>C35/C36-1</f>
        <v>3.0742184721226584E-2</v>
      </c>
      <c r="U35" s="2936">
        <f>E35/E36-1</f>
        <v>6.2167683886810154E-2</v>
      </c>
      <c r="V35" s="2936">
        <f>F35/F36-1</f>
        <v>4.5657953741810031E-2</v>
      </c>
      <c r="X35" s="2910"/>
      <c r="Y35" s="2910"/>
      <c r="Z35" s="2910"/>
    </row>
    <row r="36" spans="1:26" ht="13.5" thickBot="1">
      <c r="A36" s="2911" t="s">
        <v>2752</v>
      </c>
      <c r="B36" s="2924">
        <v>220</v>
      </c>
      <c r="C36" s="2924">
        <v>187</v>
      </c>
      <c r="D36" s="2924">
        <f t="shared" si="9"/>
        <v>187</v>
      </c>
      <c r="E36" s="2924">
        <v>301</v>
      </c>
      <c r="F36" s="2925">
        <v>168</v>
      </c>
      <c r="G36" s="3758">
        <v>2009</v>
      </c>
      <c r="H36" s="2937">
        <v>4</v>
      </c>
      <c r="I36" s="2937">
        <v>2.2999999999999998</v>
      </c>
      <c r="J36" s="2937">
        <v>1.04</v>
      </c>
      <c r="K36" s="2937">
        <v>2.84</v>
      </c>
      <c r="L36" s="2938">
        <v>0.67</v>
      </c>
      <c r="N36" s="2939">
        <f t="shared" si="11"/>
        <v>2.3E-2</v>
      </c>
      <c r="O36" s="2940">
        <f t="shared" si="11"/>
        <v>1.04E-2</v>
      </c>
      <c r="P36" s="2940">
        <f t="shared" si="11"/>
        <v>2.8399999999999998E-2</v>
      </c>
      <c r="Q36" s="2940">
        <f t="shared" si="11"/>
        <v>6.7000000000000002E-3</v>
      </c>
      <c r="R36" s="2929"/>
      <c r="S36" s="2930"/>
      <c r="T36" s="2931"/>
      <c r="U36" s="2931"/>
      <c r="V36" s="2931"/>
      <c r="X36" s="2931"/>
      <c r="Y36" s="2931"/>
      <c r="Z36" s="2931"/>
    </row>
    <row r="37" spans="1:26">
      <c r="A37" s="2911" t="s">
        <v>2753</v>
      </c>
      <c r="B37" s="2932">
        <f t="shared" ref="B37:C39" si="25">B36/(1+N36)</f>
        <v>215.05376344086022</v>
      </c>
      <c r="C37" s="2932">
        <f t="shared" si="25"/>
        <v>185.0752177355503</v>
      </c>
      <c r="D37" s="2932">
        <f t="shared" si="9"/>
        <v>185.0752177355503</v>
      </c>
      <c r="E37" s="2932">
        <f t="shared" ref="E37:F39" si="26">E36/(1+P36)</f>
        <v>292.68767016725008</v>
      </c>
      <c r="F37" s="2932">
        <f t="shared" si="26"/>
        <v>166.88189132810174</v>
      </c>
      <c r="G37" s="3759">
        <v>2009</v>
      </c>
      <c r="H37" s="2942">
        <v>3</v>
      </c>
      <c r="I37" s="2942">
        <v>2.1</v>
      </c>
      <c r="J37" s="2942">
        <v>1.86</v>
      </c>
      <c r="K37" s="2942">
        <v>2.29</v>
      </c>
      <c r="L37" s="2943">
        <v>0.85</v>
      </c>
      <c r="N37" s="2927">
        <f t="shared" si="11"/>
        <v>2.1000000000000001E-2</v>
      </c>
      <c r="O37" s="2944">
        <f t="shared" si="11"/>
        <v>1.8600000000000002E-2</v>
      </c>
      <c r="P37" s="2944">
        <f t="shared" si="11"/>
        <v>2.29E-2</v>
      </c>
      <c r="Q37" s="2944">
        <f t="shared" si="11"/>
        <v>8.5000000000000006E-3</v>
      </c>
      <c r="R37" s="2929"/>
      <c r="S37" s="2927"/>
      <c r="T37" s="2928"/>
      <c r="U37" s="2928"/>
      <c r="V37" s="2928"/>
    </row>
    <row r="38" spans="1:26">
      <c r="A38" s="2911" t="s">
        <v>2754</v>
      </c>
      <c r="B38" s="2932">
        <f t="shared" si="25"/>
        <v>210.630522469011</v>
      </c>
      <c r="C38" s="2932">
        <f t="shared" si="25"/>
        <v>181.69567812247232</v>
      </c>
      <c r="D38" s="2932">
        <f t="shared" si="9"/>
        <v>181.69567812247232</v>
      </c>
      <c r="E38" s="2932">
        <f t="shared" si="26"/>
        <v>286.13517466736738</v>
      </c>
      <c r="F38" s="2932">
        <f t="shared" si="26"/>
        <v>165.47535084591149</v>
      </c>
      <c r="G38" s="3759">
        <v>2009</v>
      </c>
      <c r="H38" s="2917">
        <v>2</v>
      </c>
      <c r="I38" s="2917">
        <v>0.86</v>
      </c>
      <c r="J38" s="2917">
        <v>-1.1299999999999999</v>
      </c>
      <c r="K38" s="2917">
        <v>1.79</v>
      </c>
      <c r="L38" s="2934">
        <v>-2.0699999999999998</v>
      </c>
      <c r="N38" s="2927">
        <f t="shared" si="11"/>
        <v>8.6E-3</v>
      </c>
      <c r="O38" s="2944">
        <f t="shared" si="11"/>
        <v>-1.1299999999999999E-2</v>
      </c>
      <c r="P38" s="2944">
        <f t="shared" si="11"/>
        <v>1.7899999999999999E-2</v>
      </c>
      <c r="Q38" s="2944">
        <f t="shared" si="11"/>
        <v>-2.07E-2</v>
      </c>
      <c r="R38" s="2929"/>
      <c r="S38" s="2927"/>
      <c r="T38" s="2928"/>
      <c r="U38" s="2928"/>
      <c r="V38" s="2928"/>
    </row>
    <row r="39" spans="1:26">
      <c r="A39" s="2911" t="s">
        <v>2755</v>
      </c>
      <c r="B39" s="2932">
        <f t="shared" si="25"/>
        <v>208.83454537875372</v>
      </c>
      <c r="C39" s="2932">
        <f t="shared" si="25"/>
        <v>183.77230517090351</v>
      </c>
      <c r="D39" s="2932">
        <f t="shared" si="9"/>
        <v>183.77230517090351</v>
      </c>
      <c r="E39" s="2932">
        <f t="shared" si="26"/>
        <v>281.10342338870947</v>
      </c>
      <c r="F39" s="2932">
        <f t="shared" si="26"/>
        <v>168.97309388942256</v>
      </c>
      <c r="G39" s="3760">
        <v>2009</v>
      </c>
      <c r="H39" s="2916">
        <v>1</v>
      </c>
      <c r="I39" s="2916">
        <v>-2.64</v>
      </c>
      <c r="J39" s="2916">
        <v>-2.5299999999999998</v>
      </c>
      <c r="K39" s="2916">
        <v>-3.02</v>
      </c>
      <c r="L39" s="2933">
        <v>1.52</v>
      </c>
      <c r="N39" s="2935">
        <f t="shared" si="11"/>
        <v>-2.64E-2</v>
      </c>
      <c r="O39" s="2936">
        <f t="shared" si="11"/>
        <v>-2.53E-2</v>
      </c>
      <c r="P39" s="2936">
        <f t="shared" si="11"/>
        <v>-3.0200000000000001E-2</v>
      </c>
      <c r="Q39" s="2936">
        <f t="shared" si="11"/>
        <v>1.52E-2</v>
      </c>
      <c r="R39" s="2929"/>
      <c r="S39" s="2935">
        <f>B39/B40-1</f>
        <v>-2.4137638417038754E-2</v>
      </c>
      <c r="T39" s="2936">
        <f>C39/C40-1</f>
        <v>-2.248773845264096E-2</v>
      </c>
      <c r="U39" s="2936">
        <f>E39/E40-1</f>
        <v>-2.7323794502735366E-2</v>
      </c>
      <c r="V39" s="2936">
        <f>F39/F40-1</f>
        <v>1.7910204153148035E-2</v>
      </c>
      <c r="X39" s="2910"/>
      <c r="Y39" s="2910"/>
      <c r="Z39" s="2910"/>
    </row>
    <row r="40" spans="1:26" ht="13.5" thickBot="1">
      <c r="A40" s="2911" t="s">
        <v>2756</v>
      </c>
      <c r="B40" s="2966">
        <v>214</v>
      </c>
      <c r="C40" s="2966">
        <v>188</v>
      </c>
      <c r="D40" s="2966">
        <f t="shared" si="9"/>
        <v>188</v>
      </c>
      <c r="E40" s="2966">
        <v>289</v>
      </c>
      <c r="F40" s="2967">
        <v>166</v>
      </c>
      <c r="G40" s="3758">
        <v>2008</v>
      </c>
      <c r="H40" s="2937">
        <v>4</v>
      </c>
      <c r="I40" s="2937">
        <v>1.73</v>
      </c>
      <c r="J40" s="2937">
        <v>0.03</v>
      </c>
      <c r="K40" s="2937">
        <v>2.59</v>
      </c>
      <c r="L40" s="2938">
        <v>-1.66</v>
      </c>
      <c r="N40" s="2927">
        <f t="shared" si="11"/>
        <v>1.7299999999999999E-2</v>
      </c>
      <c r="O40" s="2928">
        <f t="shared" si="11"/>
        <v>2.9999999999999997E-4</v>
      </c>
      <c r="P40" s="2928">
        <f t="shared" si="11"/>
        <v>2.5899999999999999E-2</v>
      </c>
      <c r="Q40" s="2928">
        <f t="shared" si="11"/>
        <v>-1.66E-2</v>
      </c>
      <c r="R40" s="2929"/>
      <c r="S40" s="2930"/>
      <c r="T40" s="2931"/>
      <c r="U40" s="2931"/>
      <c r="V40" s="2931"/>
      <c r="X40" s="2931"/>
      <c r="Y40" s="2931"/>
      <c r="Z40" s="2931"/>
    </row>
    <row r="41" spans="1:26">
      <c r="A41" s="2911" t="s">
        <v>2757</v>
      </c>
      <c r="B41" s="2932">
        <f t="shared" ref="B41:C43" si="27">B40/(1+N40)</f>
        <v>210.36075887152265</v>
      </c>
      <c r="C41" s="2932">
        <f t="shared" si="27"/>
        <v>187.94361691492554</v>
      </c>
      <c r="D41" s="2932">
        <f t="shared" si="9"/>
        <v>187.94361691492554</v>
      </c>
      <c r="E41" s="2932">
        <f t="shared" ref="E41:F43" si="28">E40/(1+P40)</f>
        <v>281.70386977288234</v>
      </c>
      <c r="F41" s="2932">
        <f t="shared" si="28"/>
        <v>168.80211511083994</v>
      </c>
      <c r="G41" s="3759">
        <v>2008</v>
      </c>
      <c r="H41" s="2942">
        <v>3</v>
      </c>
      <c r="I41" s="2942">
        <v>1.96</v>
      </c>
      <c r="J41" s="2942">
        <v>2.36</v>
      </c>
      <c r="K41" s="2942">
        <v>1.82</v>
      </c>
      <c r="L41" s="2943">
        <v>2.2200000000000002</v>
      </c>
      <c r="N41" s="2927">
        <f t="shared" si="11"/>
        <v>1.9599999999999999E-2</v>
      </c>
      <c r="O41" s="2928">
        <f t="shared" si="11"/>
        <v>2.3599999999999999E-2</v>
      </c>
      <c r="P41" s="2928">
        <f t="shared" si="11"/>
        <v>1.8200000000000001E-2</v>
      </c>
      <c r="Q41" s="2928">
        <f t="shared" si="11"/>
        <v>2.2200000000000001E-2</v>
      </c>
      <c r="R41" s="2929"/>
      <c r="S41" s="2927"/>
      <c r="T41" s="2928"/>
      <c r="U41" s="2928"/>
      <c r="V41" s="2928"/>
    </row>
    <row r="42" spans="1:26">
      <c r="A42" s="2911" t="s">
        <v>2758</v>
      </c>
      <c r="B42" s="2932">
        <f t="shared" si="27"/>
        <v>206.31694671589116</v>
      </c>
      <c r="C42" s="2932">
        <f t="shared" si="27"/>
        <v>183.61041121036101</v>
      </c>
      <c r="D42" s="2932">
        <f t="shared" si="9"/>
        <v>183.61041121036101</v>
      </c>
      <c r="E42" s="2932">
        <f t="shared" si="28"/>
        <v>276.66850301795557</v>
      </c>
      <c r="F42" s="2932">
        <f t="shared" si="28"/>
        <v>165.1360938278614</v>
      </c>
      <c r="G42" s="3759">
        <v>2008</v>
      </c>
      <c r="H42" s="2917">
        <v>2</v>
      </c>
      <c r="I42" s="2917">
        <v>4.93</v>
      </c>
      <c r="J42" s="2917">
        <v>7.38</v>
      </c>
      <c r="K42" s="2917">
        <v>3.98</v>
      </c>
      <c r="L42" s="2934">
        <v>6.86</v>
      </c>
      <c r="N42" s="2927">
        <f t="shared" si="11"/>
        <v>4.9299999999999997E-2</v>
      </c>
      <c r="O42" s="2928">
        <f t="shared" si="11"/>
        <v>7.3800000000000004E-2</v>
      </c>
      <c r="P42" s="2928">
        <f t="shared" si="11"/>
        <v>3.9800000000000002E-2</v>
      </c>
      <c r="Q42" s="2928">
        <f t="shared" si="11"/>
        <v>6.8600000000000008E-2</v>
      </c>
      <c r="R42" s="2929"/>
      <c r="S42" s="2927"/>
      <c r="T42" s="2928"/>
      <c r="U42" s="2928"/>
      <c r="V42" s="2928"/>
    </row>
    <row r="43" spans="1:26" s="2972" customFormat="1" ht="13.5" thickBot="1">
      <c r="A43" s="2911" t="s">
        <v>2759</v>
      </c>
      <c r="B43" s="2969">
        <f t="shared" si="27"/>
        <v>196.62341248059772</v>
      </c>
      <c r="C43" s="2969">
        <f t="shared" si="27"/>
        <v>170.99125648199012</v>
      </c>
      <c r="D43" s="2969">
        <f t="shared" si="9"/>
        <v>170.99125648199012</v>
      </c>
      <c r="E43" s="2969">
        <f t="shared" si="28"/>
        <v>266.07857570490052</v>
      </c>
      <c r="F43" s="2969">
        <f t="shared" si="28"/>
        <v>154.53499328828505</v>
      </c>
      <c r="G43" s="3760">
        <v>2008</v>
      </c>
      <c r="H43" s="2970">
        <v>1</v>
      </c>
      <c r="I43" s="2970">
        <v>4.1399999999999997</v>
      </c>
      <c r="J43" s="2970">
        <v>3.45</v>
      </c>
      <c r="K43" s="2970">
        <v>4.95</v>
      </c>
      <c r="L43" s="2971">
        <v>4.82</v>
      </c>
      <c r="N43" s="2973">
        <f t="shared" si="11"/>
        <v>4.1399999999999999E-2</v>
      </c>
      <c r="O43" s="2974">
        <f t="shared" si="11"/>
        <v>3.4500000000000003E-2</v>
      </c>
      <c r="P43" s="2974">
        <f t="shared" si="11"/>
        <v>4.9500000000000002E-2</v>
      </c>
      <c r="Q43" s="2974">
        <f t="shared" si="11"/>
        <v>4.82E-2</v>
      </c>
      <c r="R43" s="2975"/>
      <c r="S43" s="2973">
        <f>B43/B44-1</f>
        <v>4.5869215322328349E-2</v>
      </c>
      <c r="T43" s="2974">
        <f>C43/C44-1</f>
        <v>3.6310645345394743E-2</v>
      </c>
      <c r="U43" s="2974">
        <f>E43/E44-1</f>
        <v>4.7553447657088688E-2</v>
      </c>
      <c r="V43" s="2974">
        <f>F43/F44-1</f>
        <v>4.4155360055980086E-2</v>
      </c>
      <c r="X43" s="2976"/>
      <c r="Y43" s="2976"/>
      <c r="Z43" s="2976"/>
    </row>
    <row r="44" spans="1:26" ht="13.5" thickBot="1">
      <c r="A44" s="2911" t="s">
        <v>2760</v>
      </c>
      <c r="B44" s="2924">
        <v>188</v>
      </c>
      <c r="C44" s="2924">
        <v>165</v>
      </c>
      <c r="D44" s="2924">
        <f t="shared" si="9"/>
        <v>165</v>
      </c>
      <c r="E44" s="2924">
        <v>254</v>
      </c>
      <c r="F44" s="2925">
        <v>148</v>
      </c>
      <c r="G44" s="3758">
        <v>2007</v>
      </c>
      <c r="H44" s="2977">
        <v>4</v>
      </c>
      <c r="I44" s="2977">
        <v>5.51</v>
      </c>
      <c r="J44" s="2977">
        <v>4.8899999999999997</v>
      </c>
      <c r="K44" s="2977">
        <v>6.43</v>
      </c>
      <c r="L44" s="2978">
        <v>5.36</v>
      </c>
      <c r="N44" s="2979">
        <f t="shared" ref="N44:O47" si="29">B44/B45-1</f>
        <v>4.1339718365245526E-2</v>
      </c>
      <c r="O44" s="2980">
        <f t="shared" si="29"/>
        <v>4.0324492593776018E-2</v>
      </c>
      <c r="P44" s="2980">
        <f t="shared" ref="P44:Q47" si="30">E44/E45-1</f>
        <v>6.1625555347990968E-2</v>
      </c>
      <c r="Q44" s="2980">
        <f t="shared" si="30"/>
        <v>4.6757569250590603E-2</v>
      </c>
      <c r="R44" s="2929"/>
      <c r="S44" s="2930"/>
      <c r="T44" s="2931"/>
      <c r="U44" s="2931"/>
      <c r="V44" s="2931"/>
      <c r="X44" s="2931"/>
      <c r="Y44" s="2931"/>
      <c r="Z44" s="2931"/>
    </row>
    <row r="45" spans="1:26">
      <c r="A45" s="2911" t="s">
        <v>2761</v>
      </c>
      <c r="B45" s="2932">
        <f t="shared" ref="B45:C47" si="31">B46+(B$44-B$48)*I45/SUM(I$44:I$47)</f>
        <v>180.5366651097618</v>
      </c>
      <c r="C45" s="2932">
        <f t="shared" si="31"/>
        <v>158.60435967302453</v>
      </c>
      <c r="D45" s="2932">
        <f t="shared" si="9"/>
        <v>158.60435967302453</v>
      </c>
      <c r="E45" s="2932">
        <f t="shared" ref="E45:F47" si="32">E46+(E$44-E$48)*K45/SUM(K$44:K$47)</f>
        <v>239.25573260785075</v>
      </c>
      <c r="F45" s="2932">
        <f t="shared" si="32"/>
        <v>141.38899430740037</v>
      </c>
      <c r="G45" s="3759">
        <v>2007</v>
      </c>
      <c r="H45" s="2942">
        <v>3</v>
      </c>
      <c r="I45" s="2942">
        <v>8.65</v>
      </c>
      <c r="J45" s="2942">
        <v>8.06</v>
      </c>
      <c r="K45" s="2942">
        <v>9.94</v>
      </c>
      <c r="L45" s="2943">
        <v>5.8</v>
      </c>
      <c r="N45" s="2979">
        <f t="shared" si="29"/>
        <v>6.940217571740015E-2</v>
      </c>
      <c r="O45" s="2980">
        <f t="shared" si="29"/>
        <v>7.1197482471153428E-2</v>
      </c>
      <c r="P45" s="2980">
        <f t="shared" si="30"/>
        <v>0.10529679922579582</v>
      </c>
      <c r="Q45" s="2980">
        <f t="shared" si="30"/>
        <v>5.3292245059512133E-2</v>
      </c>
      <c r="R45" s="2929"/>
      <c r="S45" s="2927"/>
      <c r="T45" s="2928"/>
      <c r="U45" s="2928"/>
      <c r="V45" s="2928"/>
      <c r="X45" s="2981"/>
      <c r="Y45" s="2981"/>
      <c r="Z45" s="2981"/>
    </row>
    <row r="46" spans="1:26">
      <c r="A46" s="2911" t="s">
        <v>2762</v>
      </c>
      <c r="B46" s="2932">
        <f t="shared" si="31"/>
        <v>168.82017748715555</v>
      </c>
      <c r="C46" s="2932">
        <f t="shared" si="31"/>
        <v>148.06267029972753</v>
      </c>
      <c r="D46" s="2932">
        <f t="shared" si="9"/>
        <v>148.06267029972753</v>
      </c>
      <c r="E46" s="2932">
        <f t="shared" si="32"/>
        <v>216.46288379323747</v>
      </c>
      <c r="F46" s="2932">
        <f t="shared" si="32"/>
        <v>134.23529411764704</v>
      </c>
      <c r="G46" s="3759">
        <v>2007</v>
      </c>
      <c r="H46" s="2917">
        <v>2</v>
      </c>
      <c r="I46" s="2917">
        <v>3.67</v>
      </c>
      <c r="J46" s="2917">
        <v>2.3199999999999998</v>
      </c>
      <c r="K46" s="2917">
        <v>5.0199999999999996</v>
      </c>
      <c r="L46" s="2934">
        <v>6.71</v>
      </c>
      <c r="N46" s="2979">
        <f t="shared" si="29"/>
        <v>3.0339138143848032E-2</v>
      </c>
      <c r="O46" s="2980">
        <f t="shared" si="29"/>
        <v>2.0922341588790472E-2</v>
      </c>
      <c r="P46" s="2980">
        <f t="shared" si="30"/>
        <v>5.6164796592717003E-2</v>
      </c>
      <c r="Q46" s="2980">
        <f t="shared" si="30"/>
        <v>6.5704536723887319E-2</v>
      </c>
      <c r="R46" s="2929"/>
      <c r="S46" s="2927"/>
      <c r="T46" s="2928"/>
      <c r="U46" s="2928"/>
      <c r="V46" s="2928"/>
      <c r="X46" s="2981"/>
      <c r="Y46" s="2981"/>
      <c r="Z46" s="2981"/>
    </row>
    <row r="47" spans="1:26">
      <c r="A47" s="2911" t="s">
        <v>2763</v>
      </c>
      <c r="B47" s="2932">
        <f t="shared" si="31"/>
        <v>163.84913591779542</v>
      </c>
      <c r="C47" s="2932">
        <f t="shared" si="31"/>
        <v>145.0283378746594</v>
      </c>
      <c r="D47" s="2932">
        <f t="shared" si="9"/>
        <v>145.0283378746594</v>
      </c>
      <c r="E47" s="2932">
        <f t="shared" si="32"/>
        <v>204.95180722891567</v>
      </c>
      <c r="F47" s="2932">
        <f t="shared" si="32"/>
        <v>125.95920303605313</v>
      </c>
      <c r="G47" s="3760">
        <v>2007</v>
      </c>
      <c r="H47" s="2916">
        <v>1</v>
      </c>
      <c r="I47" s="2916">
        <v>3.58</v>
      </c>
      <c r="J47" s="2916">
        <v>3.08</v>
      </c>
      <c r="K47" s="2916">
        <v>4.34</v>
      </c>
      <c r="L47" s="2933">
        <v>3.21</v>
      </c>
      <c r="N47" s="2982">
        <f t="shared" si="29"/>
        <v>3.0497710174814063E-2</v>
      </c>
      <c r="O47" s="2983">
        <f t="shared" si="29"/>
        <v>2.8569772160704998E-2</v>
      </c>
      <c r="P47" s="2983">
        <f t="shared" si="30"/>
        <v>5.1034908866234296E-2</v>
      </c>
      <c r="Q47" s="2983">
        <f t="shared" si="30"/>
        <v>3.245248390207478E-2</v>
      </c>
      <c r="R47" s="2929"/>
      <c r="S47" s="2935">
        <f>B47/B48-1</f>
        <v>3.0497710174814063E-2</v>
      </c>
      <c r="T47" s="2936">
        <f>C47/C48-1</f>
        <v>2.8569772160704998E-2</v>
      </c>
      <c r="U47" s="2936">
        <f>E47/E48-1</f>
        <v>5.1034908866234296E-2</v>
      </c>
      <c r="V47" s="2936">
        <f>F47/F48-1</f>
        <v>3.245248390207478E-2</v>
      </c>
      <c r="X47" s="2981"/>
      <c r="Y47" s="2981"/>
      <c r="Z47" s="2981"/>
    </row>
    <row r="48" spans="1:26" ht="13.5" thickBot="1">
      <c r="A48" s="2911" t="s">
        <v>2764</v>
      </c>
      <c r="B48" s="2945">
        <v>159</v>
      </c>
      <c r="C48" s="2945">
        <v>141</v>
      </c>
      <c r="D48" s="2945">
        <f t="shared" si="9"/>
        <v>141</v>
      </c>
      <c r="E48" s="2945">
        <v>195</v>
      </c>
      <c r="F48" s="2946">
        <v>122</v>
      </c>
      <c r="G48" s="3758">
        <v>2006</v>
      </c>
      <c r="H48" s="2937">
        <v>4</v>
      </c>
      <c r="I48" s="2937">
        <v>3.79</v>
      </c>
      <c r="J48" s="2937">
        <v>2.21</v>
      </c>
      <c r="K48" s="2937">
        <v>5.65</v>
      </c>
      <c r="L48" s="2938">
        <v>5.41</v>
      </c>
      <c r="N48" s="2979">
        <f t="shared" ref="N48:O51" si="33">I48/SUM(I$48:I$51)*(B$48/B$52-1)</f>
        <v>7.245466462748526E-2</v>
      </c>
      <c r="O48" s="2980">
        <f t="shared" si="33"/>
        <v>2.3237230038062766E-2</v>
      </c>
      <c r="P48" s="2980">
        <f t="shared" ref="P48:Q51" si="34">K48/SUM(K$48:K$51)*(E$48/E$52-1)</f>
        <v>0.16146893866323722</v>
      </c>
      <c r="Q48" s="2980">
        <f t="shared" si="34"/>
        <v>5.0755230321793784E-2</v>
      </c>
      <c r="R48" s="2929"/>
      <c r="S48" s="2930"/>
      <c r="T48" s="2931"/>
      <c r="U48" s="2931"/>
      <c r="V48" s="2931"/>
      <c r="X48" s="2981"/>
      <c r="Y48" s="2981"/>
      <c r="Z48" s="2981"/>
    </row>
    <row r="49" spans="1:26">
      <c r="A49" s="2911" t="s">
        <v>2765</v>
      </c>
      <c r="B49" s="2932">
        <f t="shared" ref="B49:C51" si="35">B50+(B$48-B$52)*I49/SUM(I$48:I$51)</f>
        <v>149.00125628140702</v>
      </c>
      <c r="C49" s="2932">
        <f t="shared" si="35"/>
        <v>137.95592286501378</v>
      </c>
      <c r="D49" s="2932">
        <f t="shared" si="9"/>
        <v>137.95592286501378</v>
      </c>
      <c r="E49" s="2932">
        <f t="shared" ref="E49:F51" si="36">E50+(E$48-E$52)*K49/SUM(K$48:K$51)</f>
        <v>169.97231450719823</v>
      </c>
      <c r="F49" s="2932">
        <f t="shared" si="36"/>
        <v>116.21390374331551</v>
      </c>
      <c r="G49" s="3759">
        <v>2006</v>
      </c>
      <c r="H49" s="2942">
        <v>3</v>
      </c>
      <c r="I49" s="2942">
        <v>0.92</v>
      </c>
      <c r="J49" s="2942">
        <v>1.08</v>
      </c>
      <c r="K49" s="2942">
        <v>0.73</v>
      </c>
      <c r="L49" s="2943">
        <v>1.08</v>
      </c>
      <c r="N49" s="2979">
        <f t="shared" si="33"/>
        <v>1.7587939698492462E-2</v>
      </c>
      <c r="O49" s="2980">
        <f t="shared" si="33"/>
        <v>1.1355750425840628E-2</v>
      </c>
      <c r="P49" s="2980">
        <f t="shared" si="34"/>
        <v>2.0862358446754544E-2</v>
      </c>
      <c r="Q49" s="2980">
        <f t="shared" si="34"/>
        <v>1.0132282578103011E-2</v>
      </c>
      <c r="R49" s="2929"/>
      <c r="S49" s="2927"/>
      <c r="T49" s="2928"/>
      <c r="U49" s="2928"/>
      <c r="V49" s="2928"/>
      <c r="X49" s="2981"/>
      <c r="Y49" s="2981"/>
      <c r="Z49" s="2981"/>
    </row>
    <row r="50" spans="1:26">
      <c r="A50" s="2911" t="s">
        <v>2766</v>
      </c>
      <c r="B50" s="2932">
        <f t="shared" si="35"/>
        <v>146.57412060301507</v>
      </c>
      <c r="C50" s="2932">
        <f t="shared" si="35"/>
        <v>136.46831955922866</v>
      </c>
      <c r="D50" s="2932">
        <f t="shared" si="9"/>
        <v>136.46831955922866</v>
      </c>
      <c r="E50" s="2932">
        <f t="shared" si="36"/>
        <v>166.73864894795128</v>
      </c>
      <c r="F50" s="2932">
        <f t="shared" si="36"/>
        <v>115.05882352941177</v>
      </c>
      <c r="G50" s="3759">
        <v>2006</v>
      </c>
      <c r="H50" s="2917">
        <v>2</v>
      </c>
      <c r="I50" s="2917">
        <v>0.96</v>
      </c>
      <c r="J50" s="2917">
        <v>0.25</v>
      </c>
      <c r="K50" s="2917">
        <v>1.9</v>
      </c>
      <c r="L50" s="2934">
        <v>0.95</v>
      </c>
      <c r="N50" s="2979">
        <f t="shared" si="33"/>
        <v>1.8352632728861701E-2</v>
      </c>
      <c r="O50" s="2980">
        <f t="shared" si="33"/>
        <v>2.6286459319075526E-3</v>
      </c>
      <c r="P50" s="2980">
        <f t="shared" si="34"/>
        <v>5.4299289107991269E-2</v>
      </c>
      <c r="Q50" s="2980">
        <f t="shared" si="34"/>
        <v>8.9126559714794995E-3</v>
      </c>
      <c r="R50" s="2929"/>
      <c r="S50" s="2927"/>
      <c r="T50" s="2928"/>
      <c r="U50" s="2928"/>
      <c r="V50" s="2928"/>
      <c r="X50" s="2981"/>
      <c r="Y50" s="2981"/>
      <c r="Z50" s="2981"/>
    </row>
    <row r="51" spans="1:26">
      <c r="A51" s="2911" t="s">
        <v>2767</v>
      </c>
      <c r="B51" s="2932">
        <f t="shared" si="35"/>
        <v>144.04145728643215</v>
      </c>
      <c r="C51" s="2932">
        <f t="shared" si="35"/>
        <v>136.12396694214877</v>
      </c>
      <c r="D51" s="2932">
        <f t="shared" si="9"/>
        <v>136.12396694214877</v>
      </c>
      <c r="E51" s="2932">
        <f t="shared" si="36"/>
        <v>158.32225913621264</v>
      </c>
      <c r="F51" s="2932">
        <f t="shared" si="36"/>
        <v>114.04278074866311</v>
      </c>
      <c r="G51" s="3760">
        <v>2006</v>
      </c>
      <c r="H51" s="2916">
        <v>1</v>
      </c>
      <c r="I51" s="2916">
        <v>2.29</v>
      </c>
      <c r="J51" s="2916">
        <v>3.72</v>
      </c>
      <c r="K51" s="2916">
        <v>0.75</v>
      </c>
      <c r="L51" s="2933">
        <v>0.04</v>
      </c>
      <c r="N51" s="2982">
        <f t="shared" si="33"/>
        <v>4.3778675988638847E-2</v>
      </c>
      <c r="O51" s="2983">
        <f t="shared" si="33"/>
        <v>3.9114251466784385E-2</v>
      </c>
      <c r="P51" s="2983">
        <f t="shared" si="34"/>
        <v>2.1433929911049188E-2</v>
      </c>
      <c r="Q51" s="2983">
        <f t="shared" si="34"/>
        <v>3.7526972511492629E-4</v>
      </c>
      <c r="R51" s="2929"/>
      <c r="S51" s="2935">
        <f>B51/B52-1</f>
        <v>4.3778675988638716E-2</v>
      </c>
      <c r="T51" s="2936">
        <f>C51/C52-1</f>
        <v>3.91142514667846E-2</v>
      </c>
      <c r="U51" s="2936">
        <f>E51/E52-1</f>
        <v>2.143392991104931E-2</v>
      </c>
      <c r="V51" s="2936">
        <f>F51/F52-1</f>
        <v>3.7526972511492396E-4</v>
      </c>
      <c r="X51" s="2981"/>
      <c r="Y51" s="2981"/>
      <c r="Z51" s="2981"/>
    </row>
    <row r="52" spans="1:26" ht="13.5" thickBot="1">
      <c r="A52" s="2911" t="s">
        <v>2768</v>
      </c>
      <c r="B52" s="2945">
        <v>138</v>
      </c>
      <c r="C52" s="2945">
        <v>131</v>
      </c>
      <c r="D52" s="2945">
        <f t="shared" si="9"/>
        <v>131</v>
      </c>
      <c r="E52" s="2945">
        <v>155</v>
      </c>
      <c r="F52" s="2946">
        <v>114</v>
      </c>
      <c r="G52" s="3758">
        <v>2005</v>
      </c>
      <c r="H52" s="2937">
        <v>4</v>
      </c>
      <c r="I52" s="2937">
        <v>3.29</v>
      </c>
      <c r="J52" s="2937">
        <v>1.44</v>
      </c>
      <c r="K52" s="2937">
        <v>0.66</v>
      </c>
      <c r="L52" s="2938">
        <v>7.78</v>
      </c>
      <c r="N52" s="2979">
        <f t="shared" ref="N52:O55" si="37">I52/SUM(I$52:I$55)*(B$52/B$56-1)</f>
        <v>9.9404603216919935E-2</v>
      </c>
      <c r="O52" s="2980">
        <f t="shared" si="37"/>
        <v>4.7636550760861554E-2</v>
      </c>
      <c r="P52" s="2980">
        <f t="shared" ref="P52:Q55" si="38">K52/SUM(K$52:K$55)*(E$52/E$56-1)</f>
        <v>8.3756345177664976E-2</v>
      </c>
      <c r="Q52" s="2980">
        <f t="shared" si="38"/>
        <v>5.2148766661559584E-2</v>
      </c>
      <c r="R52" s="2929"/>
      <c r="S52" s="2930"/>
      <c r="T52" s="2931"/>
      <c r="U52" s="2931"/>
      <c r="V52" s="2931"/>
      <c r="X52" s="2981"/>
      <c r="Y52" s="2981"/>
      <c r="Z52" s="2981"/>
    </row>
    <row r="53" spans="1:26">
      <c r="A53" s="2911" t="s">
        <v>2769</v>
      </c>
      <c r="B53" s="2932">
        <f t="shared" ref="B53:C55" si="39">B54+(B$52-B$56)*I53/SUM(I$52:I$55)</f>
        <v>125.9720430107527</v>
      </c>
      <c r="C53" s="2932">
        <f t="shared" si="39"/>
        <v>125.1883408071749</v>
      </c>
      <c r="D53" s="2932">
        <f t="shared" si="9"/>
        <v>125.1883408071749</v>
      </c>
      <c r="E53" s="2932">
        <f t="shared" ref="E53:F55" si="40">E54+(E$52-E$56)*K53/SUM(K$52:K$55)</f>
        <v>144.61421319796952</v>
      </c>
      <c r="F53" s="2932">
        <f t="shared" si="40"/>
        <v>108.42008196721311</v>
      </c>
      <c r="G53" s="3759">
        <v>2005</v>
      </c>
      <c r="H53" s="2942">
        <v>3</v>
      </c>
      <c r="I53" s="2942">
        <v>0.46</v>
      </c>
      <c r="J53" s="2942">
        <v>0.32</v>
      </c>
      <c r="K53" s="2942">
        <v>0.42</v>
      </c>
      <c r="L53" s="2943">
        <v>0.64</v>
      </c>
      <c r="N53" s="2979">
        <f t="shared" si="37"/>
        <v>1.3898515951301874E-2</v>
      </c>
      <c r="O53" s="2980">
        <f t="shared" si="37"/>
        <v>1.0585900169080346E-2</v>
      </c>
      <c r="P53" s="2980">
        <f t="shared" si="38"/>
        <v>5.3299492385786795E-2</v>
      </c>
      <c r="Q53" s="2980">
        <f t="shared" si="38"/>
        <v>4.2898728359123568E-3</v>
      </c>
      <c r="R53" s="2929"/>
      <c r="S53" s="2927"/>
      <c r="T53" s="2928"/>
      <c r="U53" s="2928"/>
      <c r="V53" s="2928"/>
      <c r="X53" s="2981"/>
      <c r="Y53" s="2981"/>
      <c r="Z53" s="2981"/>
    </row>
    <row r="54" spans="1:26">
      <c r="A54" s="2911" t="s">
        <v>2770</v>
      </c>
      <c r="B54" s="2932">
        <f t="shared" si="39"/>
        <v>124.29032258064517</v>
      </c>
      <c r="C54" s="2932">
        <f t="shared" si="39"/>
        <v>123.8968609865471</v>
      </c>
      <c r="D54" s="2932">
        <f t="shared" si="9"/>
        <v>123.8968609865471</v>
      </c>
      <c r="E54" s="2932">
        <f t="shared" si="40"/>
        <v>138.00507614213197</v>
      </c>
      <c r="F54" s="2932">
        <f t="shared" si="40"/>
        <v>107.96106557377048</v>
      </c>
      <c r="G54" s="3759">
        <v>2005</v>
      </c>
      <c r="H54" s="2917">
        <v>2</v>
      </c>
      <c r="I54" s="2917">
        <v>0.47</v>
      </c>
      <c r="J54" s="2917">
        <v>0.1</v>
      </c>
      <c r="K54" s="2917">
        <v>0.52</v>
      </c>
      <c r="L54" s="2934">
        <v>0.79</v>
      </c>
      <c r="N54" s="2979">
        <f t="shared" si="37"/>
        <v>1.420065760241713E-2</v>
      </c>
      <c r="O54" s="2980">
        <f t="shared" si="37"/>
        <v>3.3080938028376083E-3</v>
      </c>
      <c r="P54" s="2980">
        <f t="shared" si="38"/>
        <v>6.598984771573603E-2</v>
      </c>
      <c r="Q54" s="2980">
        <f t="shared" si="38"/>
        <v>5.2953117818293153E-3</v>
      </c>
      <c r="R54" s="2929"/>
      <c r="S54" s="2927"/>
      <c r="T54" s="2928"/>
      <c r="U54" s="2928"/>
      <c r="V54" s="2928"/>
      <c r="X54" s="2981"/>
      <c r="Y54" s="2981"/>
      <c r="Z54" s="2981"/>
    </row>
    <row r="55" spans="1:26">
      <c r="A55" s="2911" t="s">
        <v>2771</v>
      </c>
      <c r="B55" s="2932">
        <f t="shared" si="39"/>
        <v>122.57204301075269</v>
      </c>
      <c r="C55" s="2932">
        <f t="shared" si="39"/>
        <v>123.4932735426009</v>
      </c>
      <c r="D55" s="2932">
        <f t="shared" si="9"/>
        <v>123.4932735426009</v>
      </c>
      <c r="E55" s="2932">
        <f t="shared" si="40"/>
        <v>129.82233502538071</v>
      </c>
      <c r="F55" s="2932">
        <f t="shared" si="40"/>
        <v>107.39446721311475</v>
      </c>
      <c r="G55" s="3760">
        <v>2005</v>
      </c>
      <c r="H55" s="2916">
        <v>1</v>
      </c>
      <c r="I55" s="2916">
        <v>0.43</v>
      </c>
      <c r="J55" s="2916">
        <v>0.37</v>
      </c>
      <c r="K55" s="2916">
        <v>0.37</v>
      </c>
      <c r="L55" s="2933">
        <v>0.55000000000000004</v>
      </c>
      <c r="N55" s="2982">
        <f t="shared" si="37"/>
        <v>1.2992090997956099E-2</v>
      </c>
      <c r="O55" s="2983">
        <f t="shared" si="37"/>
        <v>1.2239947070499151E-2</v>
      </c>
      <c r="P55" s="2983">
        <f t="shared" si="38"/>
        <v>4.6954314720812178E-2</v>
      </c>
      <c r="Q55" s="2983">
        <f t="shared" si="38"/>
        <v>3.6866094683621815E-3</v>
      </c>
      <c r="R55" s="2929"/>
      <c r="S55" s="2935">
        <f>B55/B56-1</f>
        <v>1.2992090997956174E-2</v>
      </c>
      <c r="T55" s="2936">
        <f>C55/C56-1</f>
        <v>1.2239947070499246E-2</v>
      </c>
      <c r="U55" s="2936">
        <f>E55/E56-1</f>
        <v>4.695431472081224E-2</v>
      </c>
      <c r="V55" s="2936">
        <f>F55/F56-1</f>
        <v>3.6866094683620787E-3</v>
      </c>
      <c r="X55" s="2981"/>
      <c r="Y55" s="2981"/>
      <c r="Z55" s="2981"/>
    </row>
    <row r="56" spans="1:26" ht="13.5" thickBot="1">
      <c r="A56" s="2911" t="s">
        <v>2772</v>
      </c>
      <c r="B56" s="2966">
        <v>121</v>
      </c>
      <c r="C56" s="2966">
        <v>122</v>
      </c>
      <c r="D56" s="2966">
        <f t="shared" si="9"/>
        <v>122</v>
      </c>
      <c r="E56" s="2966">
        <v>124</v>
      </c>
      <c r="F56" s="2967">
        <v>107</v>
      </c>
      <c r="G56" s="3758">
        <v>2004</v>
      </c>
      <c r="H56" s="2937">
        <v>4</v>
      </c>
      <c r="I56" s="2937">
        <v>0.33</v>
      </c>
      <c r="J56" s="2937">
        <v>0.5</v>
      </c>
      <c r="K56" s="2937">
        <v>0.5</v>
      </c>
      <c r="L56" s="2938">
        <v>0</v>
      </c>
      <c r="N56" s="2979">
        <f t="shared" ref="N56:O59" si="41">I56/SUM(I$56:I$59)*(B$56/B$60-1)</f>
        <v>1.3391770148526898E-2</v>
      </c>
      <c r="O56" s="2980">
        <f t="shared" si="41"/>
        <v>1.063264221158958E-2</v>
      </c>
      <c r="P56" s="2980">
        <f t="shared" ref="P56:Q59" si="42">K56/SUM(K$56:K$59)*(E$56/E$60-1)</f>
        <v>2.2244466688911134E-2</v>
      </c>
      <c r="Q56" s="2980">
        <f t="shared" si="42"/>
        <v>0</v>
      </c>
      <c r="R56" s="2929"/>
      <c r="S56" s="2930"/>
      <c r="T56" s="2931"/>
      <c r="U56" s="2931"/>
      <c r="V56" s="2931"/>
      <c r="X56" s="2981"/>
      <c r="Y56" s="2981"/>
      <c r="Z56" s="2981"/>
    </row>
    <row r="57" spans="1:26">
      <c r="A57" s="2911" t="s">
        <v>2773</v>
      </c>
      <c r="B57" s="2932">
        <f t="shared" ref="B57:C59" si="43">B58+(B$56-B$60)*I57/SUM(I$56:I$59)</f>
        <v>119.51351351351352</v>
      </c>
      <c r="C57" s="2932">
        <f t="shared" si="43"/>
        <v>120.7878787878788</v>
      </c>
      <c r="D57" s="2932">
        <f t="shared" si="9"/>
        <v>120.7878787878788</v>
      </c>
      <c r="E57" s="2932">
        <f t="shared" ref="E57:F59" si="44">E58+(E$56-E$60)*K57/SUM(K$56:K$59)</f>
        <v>121.5975975975976</v>
      </c>
      <c r="F57" s="2932">
        <f t="shared" si="44"/>
        <v>107</v>
      </c>
      <c r="G57" s="3759">
        <v>2004</v>
      </c>
      <c r="H57" s="2942">
        <v>3</v>
      </c>
      <c r="I57" s="2942">
        <v>0.56000000000000005</v>
      </c>
      <c r="J57" s="2942">
        <v>0.8</v>
      </c>
      <c r="K57" s="2942">
        <v>0.83</v>
      </c>
      <c r="L57" s="2943">
        <v>0.06</v>
      </c>
      <c r="N57" s="2979">
        <f t="shared" si="41"/>
        <v>2.2725428130833527E-2</v>
      </c>
      <c r="O57" s="2980">
        <f t="shared" si="41"/>
        <v>1.7012227538543329E-2</v>
      </c>
      <c r="P57" s="2980">
        <f t="shared" si="42"/>
        <v>3.6925814703592477E-2</v>
      </c>
      <c r="Q57" s="2980">
        <f t="shared" si="42"/>
        <v>2.8846153846153744E-2</v>
      </c>
      <c r="R57" s="2929"/>
      <c r="S57" s="2927"/>
      <c r="T57" s="2928"/>
      <c r="U57" s="2928"/>
      <c r="V57" s="2928"/>
      <c r="X57" s="2981"/>
      <c r="Y57" s="2981"/>
      <c r="Z57" s="2981"/>
    </row>
    <row r="58" spans="1:26">
      <c r="A58" s="2911" t="s">
        <v>2774</v>
      </c>
      <c r="B58" s="2932">
        <f t="shared" si="43"/>
        <v>116.99099099099099</v>
      </c>
      <c r="C58" s="2932">
        <f t="shared" si="43"/>
        <v>118.84848484848486</v>
      </c>
      <c r="D58" s="2932">
        <f t="shared" si="9"/>
        <v>118.84848484848486</v>
      </c>
      <c r="E58" s="2932">
        <f t="shared" si="44"/>
        <v>117.60960960960961</v>
      </c>
      <c r="F58" s="2932">
        <f t="shared" si="44"/>
        <v>104</v>
      </c>
      <c r="G58" s="3759">
        <v>2004</v>
      </c>
      <c r="H58" s="2917">
        <v>2</v>
      </c>
      <c r="I58" s="2917">
        <v>1</v>
      </c>
      <c r="J58" s="2917">
        <v>1.5</v>
      </c>
      <c r="K58" s="2917">
        <v>1.5</v>
      </c>
      <c r="L58" s="2934">
        <v>0</v>
      </c>
      <c r="N58" s="2979">
        <f t="shared" si="41"/>
        <v>4.0581121662202721E-2</v>
      </c>
      <c r="O58" s="2980">
        <f t="shared" si="41"/>
        <v>3.1897926634768738E-2</v>
      </c>
      <c r="P58" s="2980">
        <f t="shared" si="42"/>
        <v>6.6733400066733395E-2</v>
      </c>
      <c r="Q58" s="2980">
        <f t="shared" si="42"/>
        <v>0</v>
      </c>
      <c r="R58" s="2929"/>
      <c r="S58" s="2927"/>
      <c r="T58" s="2928"/>
      <c r="U58" s="2928"/>
      <c r="V58" s="2928"/>
      <c r="X58" s="2981"/>
      <c r="Y58" s="2981"/>
      <c r="Z58" s="2981"/>
    </row>
    <row r="59" spans="1:26" s="2972" customFormat="1" ht="13.5" thickBot="1">
      <c r="A59" s="2911" t="s">
        <v>2775</v>
      </c>
      <c r="B59" s="2969">
        <f t="shared" si="43"/>
        <v>112.48648648648648</v>
      </c>
      <c r="C59" s="2969">
        <f t="shared" si="43"/>
        <v>115.21212121212122</v>
      </c>
      <c r="D59" s="2969">
        <f t="shared" si="9"/>
        <v>115.21212121212122</v>
      </c>
      <c r="E59" s="2969">
        <f t="shared" si="44"/>
        <v>110.4024024024024</v>
      </c>
      <c r="F59" s="2969">
        <f t="shared" si="44"/>
        <v>104</v>
      </c>
      <c r="G59" s="3760">
        <v>2004</v>
      </c>
      <c r="H59" s="2970">
        <v>1</v>
      </c>
      <c r="I59" s="2970">
        <v>0.33</v>
      </c>
      <c r="J59" s="2970">
        <v>0.5</v>
      </c>
      <c r="K59" s="2970">
        <v>0.5</v>
      </c>
      <c r="L59" s="2971">
        <v>0</v>
      </c>
      <c r="N59" s="2984">
        <f t="shared" si="41"/>
        <v>1.3391770148526898E-2</v>
      </c>
      <c r="O59" s="2985">
        <f t="shared" si="41"/>
        <v>1.063264221158958E-2</v>
      </c>
      <c r="P59" s="2985">
        <f t="shared" si="42"/>
        <v>2.2244466688911134E-2</v>
      </c>
      <c r="Q59" s="2985">
        <f t="shared" si="42"/>
        <v>0</v>
      </c>
      <c r="R59" s="2975"/>
      <c r="S59" s="2973">
        <f>B59/B60-1</f>
        <v>1.3391770148526883E-2</v>
      </c>
      <c r="T59" s="2974">
        <f>C59/C60-1</f>
        <v>1.063264221158966E-2</v>
      </c>
      <c r="U59" s="2974">
        <f>E59/E60-1</f>
        <v>2.2244466688911224E-2</v>
      </c>
      <c r="V59" s="2974">
        <f>F59/F60-1</f>
        <v>0</v>
      </c>
      <c r="X59" s="2986"/>
      <c r="Y59" s="2986"/>
      <c r="Z59" s="2986"/>
    </row>
    <row r="60" spans="1:26" ht="13.5" thickBot="1">
      <c r="A60" s="2911" t="s">
        <v>2776</v>
      </c>
      <c r="B60" s="2987">
        <v>111</v>
      </c>
      <c r="C60" s="2987">
        <v>114</v>
      </c>
      <c r="D60" s="2987">
        <f t="shared" si="9"/>
        <v>114</v>
      </c>
      <c r="E60" s="2987">
        <v>108</v>
      </c>
      <c r="F60" s="2988">
        <v>104</v>
      </c>
      <c r="G60" s="3758">
        <v>2003</v>
      </c>
      <c r="H60" s="2977">
        <v>4</v>
      </c>
      <c r="I60" s="2989"/>
      <c r="J60" s="2989"/>
      <c r="K60" s="2989"/>
      <c r="L60" s="2989"/>
      <c r="N60" s="2990"/>
      <c r="O60" s="2989"/>
      <c r="P60" s="2989"/>
      <c r="Q60" s="2989"/>
      <c r="S60" s="2990"/>
      <c r="T60" s="2989"/>
      <c r="U60" s="2989"/>
      <c r="V60" s="2989"/>
      <c r="X60" s="2981"/>
      <c r="Y60" s="2981"/>
      <c r="Z60" s="2981"/>
    </row>
    <row r="61" spans="1:26">
      <c r="A61" s="2911" t="s">
        <v>2777</v>
      </c>
      <c r="B61" s="2991">
        <f t="shared" ref="B61:C63" si="45">B62+(B$60-B$64)/4</f>
        <v>109.75</v>
      </c>
      <c r="C61" s="2991">
        <f t="shared" si="45"/>
        <v>112.25</v>
      </c>
      <c r="D61" s="2991">
        <f t="shared" si="9"/>
        <v>112.25</v>
      </c>
      <c r="E61" s="2991">
        <f t="shared" ref="E61:F63" si="46">E62+(E$60-E$64)/4</f>
        <v>107.25</v>
      </c>
      <c r="F61" s="2991">
        <f t="shared" si="46"/>
        <v>103.5</v>
      </c>
      <c r="G61" s="3759">
        <v>2003</v>
      </c>
      <c r="H61" s="2942">
        <v>3</v>
      </c>
      <c r="I61" s="2989"/>
      <c r="J61" s="2989"/>
      <c r="K61" s="2989"/>
      <c r="L61" s="2989"/>
      <c r="X61" s="2981"/>
      <c r="Y61" s="2981"/>
      <c r="Z61" s="2981"/>
    </row>
    <row r="62" spans="1:26">
      <c r="A62" s="2911" t="s">
        <v>2778</v>
      </c>
      <c r="B62" s="2991">
        <f t="shared" si="45"/>
        <v>108.5</v>
      </c>
      <c r="C62" s="2991">
        <f t="shared" si="45"/>
        <v>110.5</v>
      </c>
      <c r="D62" s="2991">
        <f t="shared" si="9"/>
        <v>110.5</v>
      </c>
      <c r="E62" s="2991">
        <f t="shared" si="46"/>
        <v>106.5</v>
      </c>
      <c r="F62" s="2991">
        <f t="shared" si="46"/>
        <v>103</v>
      </c>
      <c r="G62" s="3759">
        <v>2003</v>
      </c>
      <c r="H62" s="2917">
        <v>2</v>
      </c>
      <c r="I62" s="2989"/>
      <c r="J62" s="2989"/>
      <c r="K62" s="2989"/>
      <c r="L62" s="2989"/>
      <c r="X62" s="2981"/>
      <c r="Y62" s="2981"/>
      <c r="Z62" s="2981"/>
    </row>
    <row r="63" spans="1:26" ht="13.5" thickBot="1">
      <c r="A63" s="2911" t="s">
        <v>2779</v>
      </c>
      <c r="B63" s="2991">
        <f t="shared" si="45"/>
        <v>107.25</v>
      </c>
      <c r="C63" s="2991">
        <f t="shared" si="45"/>
        <v>108.75</v>
      </c>
      <c r="D63" s="2991">
        <f t="shared" si="9"/>
        <v>108.75</v>
      </c>
      <c r="E63" s="2991">
        <f t="shared" si="46"/>
        <v>105.75</v>
      </c>
      <c r="F63" s="2991">
        <f t="shared" si="46"/>
        <v>102.5</v>
      </c>
      <c r="G63" s="3760">
        <v>2003</v>
      </c>
      <c r="H63" s="2992">
        <v>1</v>
      </c>
      <c r="I63" s="2989"/>
      <c r="J63" s="2989"/>
      <c r="K63" s="2989"/>
      <c r="L63" s="2989"/>
      <c r="S63" s="2927"/>
      <c r="T63" s="2928"/>
      <c r="U63" s="2928"/>
      <c r="X63" s="2981"/>
      <c r="Y63" s="2981"/>
      <c r="Z63" s="2981"/>
    </row>
    <row r="64" spans="1:26" ht="13.5" thickBot="1">
      <c r="A64" s="2911" t="s">
        <v>2780</v>
      </c>
      <c r="B64" s="2993">
        <v>106</v>
      </c>
      <c r="C64" s="2993">
        <v>107</v>
      </c>
      <c r="D64" s="2993">
        <f t="shared" si="9"/>
        <v>107</v>
      </c>
      <c r="E64" s="2993">
        <v>105</v>
      </c>
      <c r="F64" s="2994">
        <v>102</v>
      </c>
      <c r="G64" s="3758">
        <v>2002</v>
      </c>
      <c r="H64" s="2937">
        <v>4</v>
      </c>
      <c r="I64" s="2989"/>
      <c r="J64" s="2989"/>
      <c r="K64" s="2989"/>
      <c r="L64" s="2989"/>
      <c r="N64" s="2990"/>
      <c r="O64" s="2989"/>
      <c r="P64" s="2989"/>
      <c r="Q64" s="2989"/>
      <c r="S64" s="2990"/>
      <c r="T64" s="2989"/>
      <c r="U64" s="2989"/>
      <c r="V64" s="2989"/>
      <c r="X64" s="2981"/>
      <c r="Y64" s="2981"/>
      <c r="Z64" s="2981"/>
    </row>
    <row r="65" spans="1:26">
      <c r="A65" s="2911" t="s">
        <v>2781</v>
      </c>
      <c r="B65" s="2991">
        <f t="shared" ref="B65:C67" si="47">B66+(B$64-B$68)/4</f>
        <v>105</v>
      </c>
      <c r="C65" s="2991">
        <f t="shared" si="47"/>
        <v>106</v>
      </c>
      <c r="D65" s="2991">
        <f t="shared" si="9"/>
        <v>106</v>
      </c>
      <c r="E65" s="2991">
        <f t="shared" ref="E65:F67" si="48">E66+(E$64-E$68)/4</f>
        <v>104.5</v>
      </c>
      <c r="F65" s="2991">
        <f t="shared" si="48"/>
        <v>101.5</v>
      </c>
      <c r="G65" s="3759">
        <v>2002</v>
      </c>
      <c r="H65" s="2942">
        <v>3</v>
      </c>
      <c r="I65" s="2989"/>
      <c r="J65" s="2989"/>
      <c r="K65" s="2989"/>
      <c r="L65" s="2989"/>
      <c r="X65" s="2981"/>
      <c r="Y65" s="2981"/>
      <c r="Z65" s="2981"/>
    </row>
    <row r="66" spans="1:26">
      <c r="A66" s="2911" t="s">
        <v>2782</v>
      </c>
      <c r="B66" s="2991">
        <f t="shared" si="47"/>
        <v>104</v>
      </c>
      <c r="C66" s="2991">
        <f t="shared" si="47"/>
        <v>105</v>
      </c>
      <c r="D66" s="2991">
        <f t="shared" si="9"/>
        <v>105</v>
      </c>
      <c r="E66" s="2991">
        <f t="shared" si="48"/>
        <v>104</v>
      </c>
      <c r="F66" s="2991">
        <f t="shared" si="48"/>
        <v>101</v>
      </c>
      <c r="G66" s="3759">
        <v>2002</v>
      </c>
      <c r="H66" s="2917">
        <v>2</v>
      </c>
      <c r="I66" s="2989"/>
      <c r="J66" s="2989"/>
      <c r="K66" s="2989"/>
      <c r="L66" s="2989"/>
      <c r="X66" s="2981"/>
      <c r="Y66" s="2981"/>
      <c r="Z66" s="2981"/>
    </row>
    <row r="67" spans="1:26" s="2953" customFormat="1" ht="13.5" thickBot="1">
      <c r="A67" s="2949" t="s">
        <v>2783</v>
      </c>
      <c r="B67" s="2995">
        <f t="shared" si="47"/>
        <v>103</v>
      </c>
      <c r="C67" s="2995">
        <f t="shared" si="47"/>
        <v>104</v>
      </c>
      <c r="D67" s="2995">
        <f t="shared" si="9"/>
        <v>104</v>
      </c>
      <c r="E67" s="2995">
        <f t="shared" si="48"/>
        <v>103.5</v>
      </c>
      <c r="F67" s="2995">
        <f t="shared" si="48"/>
        <v>100.5</v>
      </c>
      <c r="G67" s="3760">
        <v>2002</v>
      </c>
      <c r="H67" s="2996">
        <v>1</v>
      </c>
      <c r="I67" s="2997"/>
      <c r="J67" s="2997"/>
      <c r="K67" s="2997"/>
      <c r="L67" s="2997"/>
      <c r="N67" s="2998"/>
      <c r="S67" s="2998"/>
      <c r="X67" s="2999"/>
      <c r="Y67" s="2999"/>
      <c r="Z67" s="2999"/>
    </row>
    <row r="68" spans="1:26" ht="13.5" thickBot="1">
      <c r="B68" s="3000">
        <v>102</v>
      </c>
      <c r="C68" s="3001">
        <v>103</v>
      </c>
      <c r="D68" s="3001">
        <f t="shared" si="9"/>
        <v>103</v>
      </c>
      <c r="E68" s="3001">
        <v>103</v>
      </c>
      <c r="F68" s="3002">
        <v>100</v>
      </c>
      <c r="I68" s="2989"/>
      <c r="J68" s="2989"/>
      <c r="K68" s="2989"/>
      <c r="L68" s="2989"/>
      <c r="N68" s="2990"/>
      <c r="O68" s="2989"/>
      <c r="P68" s="2989"/>
      <c r="Q68" s="2989"/>
      <c r="S68" s="2990"/>
      <c r="T68" s="2989"/>
      <c r="U68" s="2989"/>
      <c r="V68" s="2989"/>
      <c r="X68" s="2931"/>
      <c r="Y68" s="2931"/>
      <c r="Z68" s="2931"/>
    </row>
    <row r="70" spans="1:26" s="3004" customFormat="1">
      <c r="A70" s="3003" t="s">
        <v>2784</v>
      </c>
      <c r="G70" s="3005"/>
      <c r="N70" s="3005"/>
      <c r="S70" s="3005"/>
    </row>
    <row r="71" spans="1:26" s="3004" customFormat="1">
      <c r="A71" s="3004" t="s">
        <v>2785</v>
      </c>
      <c r="G71" s="3005"/>
      <c r="N71" s="3005"/>
      <c r="S71" s="3005"/>
    </row>
    <row r="72" spans="1:26" s="3004" customFormat="1">
      <c r="A72" s="3004" t="s">
        <v>2786</v>
      </c>
      <c r="G72" s="3005"/>
      <c r="I72" s="3006"/>
      <c r="J72" s="3006"/>
      <c r="K72" s="3006"/>
      <c r="L72" s="3006"/>
      <c r="N72" s="3007"/>
      <c r="O72" s="3006"/>
      <c r="P72" s="3006"/>
      <c r="Q72" s="3006"/>
      <c r="S72" s="3007"/>
      <c r="T72" s="3006"/>
      <c r="U72" s="3006"/>
      <c r="V72" s="3006"/>
    </row>
    <row r="73" spans="1:26" s="3004" customFormat="1">
      <c r="A73" s="3004" t="s">
        <v>2787</v>
      </c>
      <c r="G73" s="3005"/>
      <c r="N73" s="3005"/>
      <c r="S73" s="3005"/>
    </row>
    <row r="80" spans="1:26" ht="13.5" thickBot="1"/>
    <row r="81" spans="14:22" s="2926" customFormat="1">
      <c r="N81" s="2941"/>
      <c r="S81" s="3008" t="s">
        <v>2788</v>
      </c>
      <c r="T81" s="3009" t="s">
        <v>2789</v>
      </c>
      <c r="U81" s="3009" t="s">
        <v>2790</v>
      </c>
      <c r="V81" s="3009" t="s">
        <v>2791</v>
      </c>
    </row>
    <row r="82" spans="14:22" s="2926" customFormat="1">
      <c r="N82" s="2930"/>
      <c r="O82" s="2931"/>
      <c r="P82" s="2931"/>
      <c r="Q82" s="2931"/>
      <c r="S82" s="3010">
        <v>2006</v>
      </c>
      <c r="T82" s="3011">
        <v>15.1</v>
      </c>
      <c r="U82" s="3011">
        <v>7.43</v>
      </c>
      <c r="V82" s="3011">
        <v>26.26</v>
      </c>
    </row>
    <row r="83" spans="14:22" s="2926" customFormat="1">
      <c r="N83" s="2930"/>
      <c r="O83" s="2931"/>
      <c r="P83" s="2931"/>
      <c r="Q83" s="2931"/>
      <c r="S83" s="3012">
        <v>2005</v>
      </c>
      <c r="T83" s="3013">
        <v>13.9</v>
      </c>
      <c r="U83" s="3013">
        <v>7.49</v>
      </c>
      <c r="V83" s="3013">
        <v>24.92</v>
      </c>
    </row>
    <row r="84" spans="14:22" s="2926" customFormat="1">
      <c r="N84" s="2930"/>
      <c r="O84" s="2931"/>
      <c r="P84" s="2931"/>
      <c r="Q84" s="2931"/>
      <c r="S84" s="3010">
        <v>2004</v>
      </c>
      <c r="T84" s="3011">
        <v>9.48</v>
      </c>
      <c r="U84" s="3011">
        <v>7.2</v>
      </c>
      <c r="V84" s="3011">
        <v>14.68</v>
      </c>
    </row>
    <row r="85" spans="14:22" s="2926" customFormat="1">
      <c r="N85" s="2930"/>
      <c r="O85" s="2931"/>
      <c r="P85" s="2931"/>
      <c r="Q85" s="2931"/>
      <c r="S85" s="3012">
        <v>2003</v>
      </c>
      <c r="T85" s="3013">
        <v>4.5</v>
      </c>
      <c r="U85" s="3013">
        <v>6.12</v>
      </c>
      <c r="V85" s="3013">
        <v>2.34</v>
      </c>
    </row>
    <row r="86" spans="14:22" s="2926" customFormat="1" ht="13.5" thickBot="1">
      <c r="N86" s="2930"/>
      <c r="O86" s="2931"/>
      <c r="P86" s="2931"/>
      <c r="Q86" s="2931"/>
      <c r="S86" s="3014">
        <v>2002</v>
      </c>
      <c r="T86" s="3015">
        <v>3.59</v>
      </c>
      <c r="U86" s="3015">
        <v>4.54</v>
      </c>
      <c r="V86" s="3015">
        <v>2.5499999999999998</v>
      </c>
    </row>
    <row r="87" spans="14:22" s="2926" customFormat="1">
      <c r="N87" s="2930"/>
      <c r="O87" s="2931"/>
      <c r="P87" s="2931"/>
      <c r="Q87" s="2931"/>
      <c r="S87" s="2941"/>
    </row>
    <row r="88" spans="14:22" s="2926" customFormat="1">
      <c r="N88" s="2930"/>
      <c r="O88" s="2931"/>
      <c r="P88" s="2931"/>
      <c r="Q88" s="2931"/>
      <c r="S88" s="2941"/>
    </row>
    <row r="89" spans="14:22" s="2926" customFormat="1">
      <c r="N89" s="2930"/>
      <c r="O89" s="2931"/>
      <c r="P89" s="2931"/>
      <c r="Q89" s="2931"/>
      <c r="S89" s="2941"/>
    </row>
    <row r="90" spans="14:22" s="2926" customFormat="1">
      <c r="N90" s="2930"/>
      <c r="O90" s="2931"/>
      <c r="P90" s="2931"/>
      <c r="Q90" s="2931"/>
      <c r="S90" s="2941"/>
    </row>
    <row r="91" spans="14:22" s="2926" customFormat="1">
      <c r="N91" s="2930"/>
      <c r="O91" s="2931"/>
      <c r="P91" s="2931"/>
      <c r="Q91" s="2931"/>
      <c r="S91" s="2941"/>
    </row>
    <row r="92" spans="14:22" s="2926" customFormat="1">
      <c r="N92" s="2930"/>
      <c r="O92" s="2931"/>
      <c r="P92" s="2931"/>
      <c r="Q92" s="2931"/>
      <c r="S92" s="2941"/>
    </row>
    <row r="93" spans="14:22" s="2926" customFormat="1">
      <c r="N93" s="2930"/>
      <c r="O93" s="2931"/>
      <c r="P93" s="2931"/>
      <c r="Q93" s="2931"/>
      <c r="S93" s="2941"/>
    </row>
    <row r="94" spans="14:22" s="2926" customFormat="1">
      <c r="N94" s="2930"/>
      <c r="O94" s="2931"/>
      <c r="P94" s="2931"/>
      <c r="Q94" s="2931"/>
      <c r="S94" s="2941"/>
    </row>
    <row r="95" spans="14:22" s="2926" customFormat="1">
      <c r="N95" s="2930"/>
      <c r="O95" s="2931"/>
      <c r="P95" s="2931"/>
      <c r="Q95" s="2931"/>
      <c r="S95" s="2941"/>
    </row>
    <row r="96" spans="14:22" s="2926" customFormat="1">
      <c r="N96" s="2930"/>
      <c r="O96" s="2931"/>
      <c r="P96" s="2931"/>
      <c r="Q96" s="2931"/>
      <c r="S96" s="2941"/>
    </row>
    <row r="97" spans="14:17" s="2926" customFormat="1">
      <c r="N97" s="2930"/>
      <c r="O97" s="2931"/>
      <c r="P97" s="2931"/>
      <c r="Q97" s="2931"/>
    </row>
    <row r="98" spans="14:17" s="2926" customFormat="1">
      <c r="N98" s="2930"/>
      <c r="O98" s="2931"/>
      <c r="P98" s="2931"/>
      <c r="Q98" s="2931"/>
    </row>
    <row r="99" spans="14:17" s="2926" customFormat="1">
      <c r="N99" s="2930"/>
      <c r="O99" s="2931"/>
      <c r="P99" s="2931"/>
      <c r="Q99" s="2931"/>
    </row>
    <row r="100" spans="14:17" s="2926" customFormat="1">
      <c r="N100" s="2930"/>
      <c r="O100" s="2931"/>
      <c r="P100" s="2931"/>
      <c r="Q100" s="2931"/>
    </row>
    <row r="101" spans="14:17" s="2926" customFormat="1">
      <c r="N101" s="2930"/>
      <c r="O101" s="2931"/>
      <c r="P101" s="2931"/>
      <c r="Q101" s="2931"/>
    </row>
    <row r="102" spans="14:17" s="2926" customFormat="1">
      <c r="N102" s="2930"/>
      <c r="O102" s="2931"/>
      <c r="P102" s="2931"/>
      <c r="Q102" s="2931"/>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 sqref="C5:J6"/>
      <selection pane="bottomLeft" activeCell="C5" sqref="C5:J6"/>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34" t="s">
        <v>2390</v>
      </c>
      <c r="C1" s="3771" t="s">
        <v>2391</v>
      </c>
      <c r="D1" s="3772"/>
      <c r="E1" s="3772"/>
      <c r="F1" s="3772"/>
      <c r="G1" s="3772"/>
      <c r="H1" s="3772"/>
      <c r="I1" s="3772"/>
      <c r="J1" s="3772"/>
      <c r="K1" s="3772"/>
      <c r="L1" s="3772"/>
      <c r="M1" s="3772"/>
      <c r="N1" s="3772"/>
      <c r="O1" s="3772"/>
      <c r="P1" s="3772"/>
      <c r="Q1" s="3772"/>
      <c r="R1" s="3772"/>
      <c r="S1" s="3773"/>
      <c r="T1" s="2434" t="s">
        <v>2392</v>
      </c>
    </row>
    <row r="2" spans="1:45" s="1115" customFormat="1">
      <c r="A2" s="2435"/>
      <c r="B2" s="1111" t="s">
        <v>2393</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36"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37"/>
      <c r="B3" s="1116"/>
      <c r="C3" s="1117"/>
      <c r="D3" s="1118"/>
      <c r="E3" s="1118"/>
      <c r="F3" s="3205"/>
      <c r="G3" s="3205"/>
      <c r="H3" s="3205"/>
      <c r="I3" s="3205"/>
      <c r="J3" s="3205"/>
      <c r="K3" s="3205"/>
      <c r="L3" s="3206"/>
      <c r="M3" s="3207"/>
      <c r="N3" s="3207"/>
      <c r="O3" s="3205"/>
      <c r="P3" s="3205"/>
      <c r="Q3" s="3205"/>
      <c r="R3" s="3205"/>
      <c r="S3" s="3208"/>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38"/>
      <c r="B4" s="2439"/>
      <c r="C4" s="2440"/>
      <c r="D4" s="2441"/>
      <c r="E4" s="2441"/>
      <c r="F4" s="3209"/>
      <c r="G4" s="3209"/>
      <c r="H4" s="3209"/>
      <c r="I4" s="3209"/>
      <c r="J4" s="3209"/>
      <c r="K4" s="3209"/>
      <c r="L4" s="3209"/>
      <c r="M4" s="3210"/>
      <c r="N4" s="3210"/>
      <c r="O4" s="3209"/>
      <c r="P4" s="3209"/>
      <c r="Q4" s="3209"/>
      <c r="R4" s="3209"/>
      <c r="S4" s="3211"/>
      <c r="T4" s="244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45"/>
      <c r="B5" s="3304" t="s">
        <v>3040</v>
      </c>
      <c r="C5" s="2446"/>
      <c r="D5" s="2447"/>
      <c r="E5" s="2447"/>
      <c r="F5" s="3212"/>
      <c r="G5" s="3212"/>
      <c r="H5" s="3212"/>
      <c r="I5" s="3212"/>
      <c r="J5" s="3212"/>
      <c r="K5" s="3212"/>
      <c r="L5" s="3213"/>
      <c r="M5" s="3214"/>
      <c r="N5" s="3214"/>
      <c r="O5" s="3212"/>
      <c r="P5" s="3212"/>
      <c r="Q5" s="3212"/>
      <c r="R5" s="3212"/>
      <c r="S5" s="3215"/>
      <c r="T5" s="2449"/>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45"/>
      <c r="B6" s="2196"/>
      <c r="C6" s="2202">
        <v>100</v>
      </c>
      <c r="D6" s="2199">
        <f>C6-$T5</f>
        <v>100</v>
      </c>
      <c r="E6" s="2199">
        <f t="shared" ref="E6:S6" si="7">D6-$T5</f>
        <v>100</v>
      </c>
      <c r="F6" s="3216">
        <f t="shared" si="7"/>
        <v>100</v>
      </c>
      <c r="G6" s="3216">
        <f t="shared" si="7"/>
        <v>100</v>
      </c>
      <c r="H6" s="3216">
        <f t="shared" si="7"/>
        <v>100</v>
      </c>
      <c r="I6" s="3216">
        <f t="shared" si="7"/>
        <v>100</v>
      </c>
      <c r="J6" s="3216">
        <f t="shared" si="7"/>
        <v>100</v>
      </c>
      <c r="K6" s="3216">
        <f t="shared" si="7"/>
        <v>100</v>
      </c>
      <c r="L6" s="3216">
        <f t="shared" si="7"/>
        <v>100</v>
      </c>
      <c r="M6" s="3216">
        <f t="shared" si="7"/>
        <v>100</v>
      </c>
      <c r="N6" s="3216">
        <f t="shared" si="7"/>
        <v>100</v>
      </c>
      <c r="O6" s="3216">
        <f t="shared" si="7"/>
        <v>100</v>
      </c>
      <c r="P6" s="3216">
        <f t="shared" si="7"/>
        <v>100</v>
      </c>
      <c r="Q6" s="3216">
        <f t="shared" si="7"/>
        <v>100</v>
      </c>
      <c r="R6" s="3216">
        <f t="shared" si="7"/>
        <v>100</v>
      </c>
      <c r="S6" s="3216">
        <f t="shared" si="7"/>
        <v>100</v>
      </c>
      <c r="T6" s="2198"/>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45"/>
      <c r="B7" s="3305" t="s">
        <v>3039</v>
      </c>
      <c r="C7" s="2201"/>
      <c r="D7" s="2195"/>
      <c r="E7" s="2195"/>
      <c r="F7" s="3217"/>
      <c r="G7" s="3217"/>
      <c r="H7" s="3217"/>
      <c r="I7" s="3217"/>
      <c r="J7" s="3217"/>
      <c r="K7" s="3217"/>
      <c r="L7" s="3217"/>
      <c r="M7" s="3218"/>
      <c r="N7" s="3219"/>
      <c r="O7" s="3220"/>
      <c r="P7" s="3221"/>
      <c r="Q7" s="3222"/>
      <c r="R7" s="3223"/>
      <c r="S7" s="3224"/>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45"/>
      <c r="B8" s="2196"/>
      <c r="C8" s="2202">
        <v>100</v>
      </c>
      <c r="D8" s="2199">
        <f>C8-$T7</f>
        <v>100</v>
      </c>
      <c r="E8" s="2199">
        <f t="shared" ref="E8:S8" si="8">D8-$T7</f>
        <v>100</v>
      </c>
      <c r="F8" s="3216">
        <f t="shared" si="8"/>
        <v>100</v>
      </c>
      <c r="G8" s="3216">
        <f t="shared" si="8"/>
        <v>100</v>
      </c>
      <c r="H8" s="3216">
        <f t="shared" si="8"/>
        <v>100</v>
      </c>
      <c r="I8" s="3216">
        <f t="shared" si="8"/>
        <v>100</v>
      </c>
      <c r="J8" s="3216">
        <f t="shared" si="8"/>
        <v>100</v>
      </c>
      <c r="K8" s="3216">
        <f t="shared" si="8"/>
        <v>100</v>
      </c>
      <c r="L8" s="3216">
        <f t="shared" si="8"/>
        <v>100</v>
      </c>
      <c r="M8" s="3216">
        <f t="shared" si="8"/>
        <v>100</v>
      </c>
      <c r="N8" s="3216">
        <f t="shared" si="8"/>
        <v>100</v>
      </c>
      <c r="O8" s="3216">
        <f t="shared" si="8"/>
        <v>100</v>
      </c>
      <c r="P8" s="3216">
        <f t="shared" si="8"/>
        <v>100</v>
      </c>
      <c r="Q8" s="3216">
        <f t="shared" si="8"/>
        <v>100</v>
      </c>
      <c r="R8" s="3216">
        <f t="shared" si="8"/>
        <v>100</v>
      </c>
      <c r="S8" s="3216">
        <f t="shared" si="8"/>
        <v>100</v>
      </c>
      <c r="T8" s="2198"/>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45"/>
      <c r="B9" s="3305" t="s">
        <v>3038</v>
      </c>
      <c r="C9" s="2201"/>
      <c r="D9" s="2195"/>
      <c r="E9" s="2195"/>
      <c r="F9" s="3217"/>
      <c r="G9" s="3217"/>
      <c r="H9" s="3217"/>
      <c r="I9" s="3217"/>
      <c r="J9" s="3217"/>
      <c r="K9" s="3217"/>
      <c r="L9" s="3225"/>
      <c r="M9" s="3218"/>
      <c r="N9" s="3219"/>
      <c r="O9" s="3220"/>
      <c r="P9" s="3221"/>
      <c r="Q9" s="3222"/>
      <c r="R9" s="3223"/>
      <c r="S9" s="3224"/>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45"/>
      <c r="B10" s="2439"/>
      <c r="C10" s="2450">
        <v>100</v>
      </c>
      <c r="D10" s="2451">
        <f>C10-$T9</f>
        <v>100</v>
      </c>
      <c r="E10" s="2451">
        <f t="shared" ref="E10:S10" si="9">D10-$T9</f>
        <v>100</v>
      </c>
      <c r="F10" s="3226">
        <f t="shared" si="9"/>
        <v>100</v>
      </c>
      <c r="G10" s="3226">
        <f t="shared" si="9"/>
        <v>100</v>
      </c>
      <c r="H10" s="3226">
        <f t="shared" si="9"/>
        <v>100</v>
      </c>
      <c r="I10" s="3226">
        <f t="shared" si="9"/>
        <v>100</v>
      </c>
      <c r="J10" s="3226">
        <f t="shared" si="9"/>
        <v>100</v>
      </c>
      <c r="K10" s="3226">
        <f t="shared" si="9"/>
        <v>100</v>
      </c>
      <c r="L10" s="3226">
        <f t="shared" si="9"/>
        <v>100</v>
      </c>
      <c r="M10" s="3226">
        <f t="shared" si="9"/>
        <v>100</v>
      </c>
      <c r="N10" s="3226">
        <f t="shared" si="9"/>
        <v>100</v>
      </c>
      <c r="O10" s="3226">
        <f t="shared" si="9"/>
        <v>100</v>
      </c>
      <c r="P10" s="3226">
        <f t="shared" si="9"/>
        <v>100</v>
      </c>
      <c r="Q10" s="3226">
        <f t="shared" si="9"/>
        <v>100</v>
      </c>
      <c r="R10" s="3226">
        <f t="shared" si="9"/>
        <v>100</v>
      </c>
      <c r="S10" s="3226">
        <f t="shared" si="9"/>
        <v>100</v>
      </c>
      <c r="T10" s="2444"/>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45"/>
      <c r="B11" s="3304" t="s">
        <v>3037</v>
      </c>
      <c r="C11" s="2446"/>
      <c r="D11" s="2447"/>
      <c r="E11" s="2447"/>
      <c r="F11" s="2447"/>
      <c r="G11" s="2447"/>
      <c r="H11" s="2447"/>
      <c r="I11" s="2447"/>
      <c r="J11" s="2447"/>
      <c r="K11" s="2447"/>
      <c r="L11" s="2447"/>
      <c r="M11" s="2448"/>
      <c r="N11" s="2452"/>
      <c r="O11" s="2453"/>
      <c r="P11" s="2454"/>
      <c r="Q11" s="2455"/>
      <c r="R11" s="2456"/>
      <c r="S11" s="2457"/>
      <c r="T11" s="2449"/>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45"/>
      <c r="B12" s="2196"/>
      <c r="C12" s="2202">
        <v>100</v>
      </c>
      <c r="D12" s="2199">
        <f>C12-$T11</f>
        <v>100</v>
      </c>
      <c r="E12" s="2199">
        <f t="shared" ref="E12:S12" si="10">D12-$T11</f>
        <v>100</v>
      </c>
      <c r="F12" s="2199">
        <f t="shared" si="10"/>
        <v>100</v>
      </c>
      <c r="G12" s="2199">
        <f t="shared" si="10"/>
        <v>100</v>
      </c>
      <c r="H12" s="2199">
        <f t="shared" si="10"/>
        <v>100</v>
      </c>
      <c r="I12" s="2199">
        <f t="shared" si="10"/>
        <v>100</v>
      </c>
      <c r="J12" s="2199">
        <f t="shared" si="10"/>
        <v>100</v>
      </c>
      <c r="K12" s="2199">
        <f t="shared" si="10"/>
        <v>100</v>
      </c>
      <c r="L12" s="2199">
        <f t="shared" si="10"/>
        <v>100</v>
      </c>
      <c r="M12" s="2199">
        <f t="shared" si="10"/>
        <v>100</v>
      </c>
      <c r="N12" s="2199">
        <f t="shared" si="10"/>
        <v>100</v>
      </c>
      <c r="O12" s="2199">
        <f t="shared" si="10"/>
        <v>100</v>
      </c>
      <c r="P12" s="2199">
        <f t="shared" si="10"/>
        <v>100</v>
      </c>
      <c r="Q12" s="2199">
        <f t="shared" si="10"/>
        <v>100</v>
      </c>
      <c r="R12" s="2199">
        <f>Q12-$T11</f>
        <v>100</v>
      </c>
      <c r="S12" s="2199">
        <f t="shared" si="10"/>
        <v>100</v>
      </c>
      <c r="T12" s="2198"/>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45"/>
      <c r="B13" s="3304" t="s">
        <v>3036</v>
      </c>
      <c r="C13" s="2446"/>
      <c r="D13" s="2447"/>
      <c r="E13" s="2447"/>
      <c r="F13" s="2447"/>
      <c r="G13" s="2447"/>
      <c r="H13" s="2447"/>
      <c r="I13" s="2447"/>
      <c r="J13" s="2447"/>
      <c r="K13" s="2447"/>
      <c r="L13" s="2447"/>
      <c r="M13" s="2448"/>
      <c r="N13" s="2452"/>
      <c r="O13" s="2453"/>
      <c r="P13" s="2454"/>
      <c r="Q13" s="2455"/>
      <c r="R13" s="2456"/>
      <c r="S13" s="2457"/>
      <c r="T13" s="2458"/>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45"/>
      <c r="B14" s="2196"/>
      <c r="C14" s="2200"/>
      <c r="D14" s="2197"/>
      <c r="E14" s="2197"/>
      <c r="F14" s="2197"/>
      <c r="G14" s="2197"/>
      <c r="H14" s="2197"/>
      <c r="I14" s="2197"/>
      <c r="J14" s="2197"/>
      <c r="K14" s="2197"/>
      <c r="L14" s="2197"/>
      <c r="M14" s="2459"/>
      <c r="N14" s="2459"/>
      <c r="O14" s="2197"/>
      <c r="P14" s="2197"/>
      <c r="Q14" s="2197"/>
      <c r="R14" s="2197"/>
      <c r="S14" s="2460"/>
      <c r="T14" s="2198"/>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45"/>
      <c r="B15" s="3304" t="s">
        <v>3035</v>
      </c>
      <c r="C15" s="2446"/>
      <c r="D15" s="2447"/>
      <c r="E15" s="2447"/>
      <c r="F15" s="2447"/>
      <c r="G15" s="2447"/>
      <c r="H15" s="2447"/>
      <c r="I15" s="2447"/>
      <c r="J15" s="2447"/>
      <c r="K15" s="2447"/>
      <c r="L15" s="2447"/>
      <c r="M15" s="2448"/>
      <c r="N15" s="2452"/>
      <c r="O15" s="2453"/>
      <c r="P15" s="2454"/>
      <c r="Q15" s="2455"/>
      <c r="R15" s="2456"/>
      <c r="S15" s="2457"/>
      <c r="T15" s="2458"/>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45"/>
      <c r="B16" s="2439"/>
      <c r="C16" s="2440"/>
      <c r="D16" s="2441"/>
      <c r="E16" s="2441"/>
      <c r="F16" s="2441"/>
      <c r="G16" s="2441"/>
      <c r="H16" s="2441"/>
      <c r="I16" s="2441"/>
      <c r="J16" s="2441"/>
      <c r="K16" s="2441"/>
      <c r="L16" s="2441"/>
      <c r="M16" s="2442"/>
      <c r="N16" s="2442"/>
      <c r="O16" s="2441"/>
      <c r="P16" s="2441"/>
      <c r="Q16" s="2441"/>
      <c r="R16" s="2441"/>
      <c r="S16" s="2443"/>
      <c r="T16" s="2444"/>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77" t="s">
        <v>2394</v>
      </c>
      <c r="B17" s="2478" t="s">
        <v>2395</v>
      </c>
      <c r="C17" s="2461"/>
      <c r="D17" s="2462"/>
      <c r="E17" s="2462"/>
      <c r="F17" s="2462"/>
      <c r="G17" s="2462"/>
      <c r="H17" s="2462"/>
      <c r="I17" s="2462"/>
      <c r="J17" s="2462"/>
      <c r="K17" s="2462"/>
      <c r="L17" s="2463"/>
      <c r="M17" s="2464"/>
      <c r="N17" s="2465"/>
      <c r="O17" s="2466"/>
      <c r="P17" s="2467"/>
      <c r="Q17" s="2468"/>
      <c r="R17" s="2469"/>
      <c r="S17" s="2470"/>
      <c r="T17" s="2470"/>
      <c r="U17" s="2470"/>
      <c r="V17" s="2470"/>
      <c r="W17" s="2470"/>
      <c r="X17" s="2470"/>
      <c r="Y17" s="2470"/>
      <c r="Z17" s="2470"/>
      <c r="AA17" s="2470"/>
      <c r="AB17" s="2470"/>
      <c r="AC17" s="2470"/>
      <c r="AD17" s="2470"/>
      <c r="AE17" s="2470"/>
      <c r="AF17" s="2470"/>
      <c r="AG17" s="2470"/>
      <c r="AH17" s="2470"/>
      <c r="AI17" s="2470"/>
      <c r="AJ17" s="2470"/>
      <c r="AK17" s="2470"/>
      <c r="AL17" s="2470"/>
      <c r="AM17" s="2470"/>
      <c r="AN17" s="2470"/>
      <c r="AO17" s="2470"/>
      <c r="AP17" s="2470"/>
      <c r="AQ17" s="2470"/>
      <c r="AR17" s="1463"/>
      <c r="AS17" s="1463"/>
    </row>
    <row r="18" spans="1:45" s="1115" customFormat="1" ht="13.5" thickBot="1">
      <c r="A18" s="2471"/>
      <c r="B18" s="2472"/>
      <c r="C18" s="2473"/>
      <c r="D18" s="2474"/>
      <c r="E18" s="2474"/>
      <c r="F18" s="2474"/>
      <c r="G18" s="2474"/>
      <c r="H18" s="2474"/>
      <c r="I18" s="2474"/>
      <c r="J18" s="2474"/>
      <c r="K18" s="2474"/>
      <c r="L18" s="2474"/>
      <c r="M18" s="2475"/>
      <c r="N18" s="2475"/>
      <c r="O18" s="2474"/>
      <c r="P18" s="2474"/>
      <c r="Q18" s="2474"/>
      <c r="R18" s="2474"/>
      <c r="S18" s="2476"/>
      <c r="T18" s="2476"/>
      <c r="U18" s="2476"/>
      <c r="V18" s="2476"/>
      <c r="W18" s="2476"/>
      <c r="X18" s="2476"/>
      <c r="Y18" s="2476"/>
      <c r="Z18" s="2476"/>
      <c r="AA18" s="2476"/>
      <c r="AB18" s="2476"/>
      <c r="AC18" s="2476"/>
      <c r="AD18" s="2476"/>
      <c r="AE18" s="2476"/>
      <c r="AF18" s="2476"/>
      <c r="AG18" s="2476"/>
      <c r="AH18" s="2476"/>
      <c r="AI18" s="2476"/>
      <c r="AJ18" s="2476"/>
      <c r="AK18" s="2476"/>
      <c r="AL18" s="2476"/>
      <c r="AM18" s="2476"/>
      <c r="AN18" s="2476"/>
      <c r="AO18" s="2476"/>
      <c r="AP18" s="2476"/>
      <c r="AQ18" s="2476"/>
      <c r="AR18" s="1463"/>
      <c r="AS18" s="1463"/>
    </row>
    <row r="19" spans="1:45">
      <c r="A19" s="468"/>
      <c r="B19" s="499"/>
      <c r="C19" s="499"/>
      <c r="D19" s="499"/>
      <c r="E19" s="499"/>
      <c r="F19" s="499"/>
      <c r="G19" s="499"/>
      <c r="H19" s="499"/>
      <c r="I19" s="499"/>
      <c r="J19" s="499"/>
      <c r="K19" s="499"/>
      <c r="L19" s="499"/>
      <c r="M19" s="499"/>
      <c r="N19" s="499"/>
      <c r="O19" s="499"/>
      <c r="P19" s="499"/>
      <c r="Q19" s="499"/>
      <c r="R19" s="1415"/>
      <c r="S19" s="468"/>
    </row>
    <row r="20" spans="1:45" ht="15.75">
      <c r="A20" s="1123" t="s">
        <v>519</v>
      </c>
      <c r="B20" s="672">
        <f>S22</f>
        <v>100</v>
      </c>
      <c r="C20" s="499"/>
      <c r="D20" s="499"/>
      <c r="E20" s="499"/>
      <c r="F20" s="499"/>
      <c r="G20" s="499"/>
      <c r="H20" s="499"/>
      <c r="I20" s="499"/>
      <c r="J20" s="499"/>
      <c r="K20" s="499"/>
      <c r="L20" s="499"/>
      <c r="M20" s="499"/>
      <c r="N20" s="499"/>
      <c r="O20" s="499"/>
      <c r="P20" s="499"/>
      <c r="Q20" s="499"/>
      <c r="R20" s="1415"/>
      <c r="S20" s="468"/>
    </row>
    <row r="21" spans="1:45" ht="15.75">
      <c r="A21" s="1123" t="s">
        <v>520</v>
      </c>
      <c r="B21" s="672">
        <f>R22</f>
        <v>10000</v>
      </c>
      <c r="C21" s="499"/>
      <c r="D21" s="499"/>
      <c r="E21" s="499"/>
      <c r="F21" s="499"/>
      <c r="G21" s="499"/>
      <c r="H21" s="499"/>
      <c r="I21" s="499"/>
      <c r="J21" s="499"/>
      <c r="K21" s="499"/>
      <c r="L21" s="499"/>
      <c r="M21" s="499"/>
      <c r="N21" s="499"/>
      <c r="O21" s="499"/>
      <c r="P21" s="499"/>
      <c r="Q21" s="499"/>
      <c r="R21" s="1415"/>
      <c r="S21" s="468"/>
    </row>
    <row r="22" spans="1:45">
      <c r="A22" s="697" t="s">
        <v>521</v>
      </c>
      <c r="B22" s="313">
        <f>SUM(B24:B10000)</f>
        <v>100</v>
      </c>
      <c r="C22" s="3768" t="s">
        <v>168</v>
      </c>
      <c r="D22" s="3769"/>
      <c r="E22" s="3769"/>
      <c r="F22" s="3769"/>
      <c r="G22" s="3769"/>
      <c r="H22" s="3769"/>
      <c r="I22" s="3769"/>
      <c r="J22" s="3769"/>
      <c r="K22" s="3769"/>
      <c r="L22" s="3769"/>
      <c r="M22" s="3769"/>
      <c r="N22" s="3769"/>
      <c r="O22" s="3769"/>
      <c r="P22" s="3769"/>
      <c r="Q22" s="3770"/>
      <c r="R22" s="1124">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818</v>
      </c>
      <c r="B1" s="572"/>
      <c r="C1" s="573"/>
      <c r="D1" s="573"/>
      <c r="E1" s="573"/>
      <c r="F1" s="573"/>
      <c r="G1" s="574"/>
    </row>
    <row r="2" spans="1:7" s="575" customFormat="1" ht="18" customHeight="1">
      <c r="A2" s="576" t="s">
        <v>819</v>
      </c>
      <c r="B2" s="577">
        <f ca="1">C52</f>
        <v>37912</v>
      </c>
      <c r="C2" s="85" t="s">
        <v>868</v>
      </c>
      <c r="D2" s="574"/>
      <c r="E2" s="574"/>
      <c r="F2" s="574"/>
      <c r="G2" s="574"/>
    </row>
    <row r="3" spans="1:7" s="575" customFormat="1" ht="18" customHeight="1" thickBot="1">
      <c r="A3" s="578" t="s">
        <v>820</v>
      </c>
      <c r="B3" s="579">
        <f ca="1">ROUND(B2*10000/'数据-汇总表'!E3,0)</f>
        <v>4307</v>
      </c>
      <c r="C3" s="85" t="s">
        <v>869</v>
      </c>
      <c r="D3" s="574"/>
      <c r="E3" s="574"/>
      <c r="F3" s="574"/>
      <c r="G3" s="574"/>
    </row>
    <row r="4" spans="1:7" s="583" customFormat="1" ht="15.75">
      <c r="A4" s="580" t="s">
        <v>821</v>
      </c>
      <c r="B4" s="581"/>
      <c r="C4" s="581"/>
      <c r="D4" s="581"/>
      <c r="E4" s="581"/>
      <c r="F4" s="581"/>
      <c r="G4" s="582"/>
    </row>
    <row r="5" spans="1:7" s="589" customFormat="1" ht="13.5" customHeight="1">
      <c r="A5" s="630" t="s">
        <v>2512</v>
      </c>
      <c r="B5" s="585" t="s">
        <v>822</v>
      </c>
      <c r="C5" s="586">
        <f>C6+C7+C8</f>
        <v>20610</v>
      </c>
      <c r="D5" s="586" t="s">
        <v>823</v>
      </c>
      <c r="E5" s="587" t="s">
        <v>824</v>
      </c>
      <c r="F5" s="587" t="s">
        <v>825</v>
      </c>
      <c r="G5" s="588"/>
    </row>
    <row r="6" spans="1:7" s="589" customFormat="1" ht="13.5" customHeight="1">
      <c r="A6" s="1796" t="s">
        <v>1923</v>
      </c>
      <c r="B6" s="590" t="s">
        <v>826</v>
      </c>
      <c r="C6" s="591">
        <v>20000</v>
      </c>
      <c r="D6" s="592"/>
      <c r="E6" s="593"/>
      <c r="F6" s="593"/>
      <c r="G6" s="594"/>
    </row>
    <row r="7" spans="1:7" s="589" customFormat="1" ht="13.5" customHeight="1">
      <c r="A7" s="1796" t="s">
        <v>1924</v>
      </c>
      <c r="B7" s="590" t="s">
        <v>345</v>
      </c>
      <c r="C7" s="595">
        <f>ROUND(C6*F7,0)</f>
        <v>610</v>
      </c>
      <c r="D7" s="595"/>
      <c r="E7" s="593"/>
      <c r="F7" s="596">
        <f>'数据-取费表'!B48+'数据-取费表'!B49</f>
        <v>3.0499999999999999E-2</v>
      </c>
      <c r="G7" s="594"/>
    </row>
    <row r="8" spans="1:7" s="598" customFormat="1">
      <c r="A8" s="1796" t="s">
        <v>1925</v>
      </c>
      <c r="B8" s="590" t="s">
        <v>827</v>
      </c>
      <c r="C8" s="595" t="str">
        <f>IF(G8="已包含在土地购买价格中","0",'数据-取费表'!B29)</f>
        <v>0</v>
      </c>
      <c r="D8" s="597"/>
      <c r="E8" s="595"/>
      <c r="F8" s="596"/>
      <c r="G8" s="84" t="s">
        <v>2690</v>
      </c>
    </row>
    <row r="9" spans="1:7" s="589" customFormat="1" ht="13.5" customHeight="1">
      <c r="A9" s="1797" t="s">
        <v>1932</v>
      </c>
      <c r="B9" s="599" t="s">
        <v>828</v>
      </c>
      <c r="C9" s="600">
        <f>ROUND(D9*E9/10000,0)</f>
        <v>0</v>
      </c>
      <c r="D9" s="1901">
        <f>'数据-汇总表'!E5</f>
        <v>0</v>
      </c>
      <c r="E9" s="600">
        <f>'数据-取费表'!B27</f>
        <v>0</v>
      </c>
      <c r="F9" s="596"/>
      <c r="G9" s="601"/>
    </row>
    <row r="10" spans="1:7" s="589" customFormat="1" ht="13.5" customHeight="1">
      <c r="A10" s="1797" t="s">
        <v>1933</v>
      </c>
      <c r="B10" s="599" t="s">
        <v>829</v>
      </c>
      <c r="C10" s="600">
        <f>ROUND(D10*E10/10000,0)</f>
        <v>1303</v>
      </c>
      <c r="D10" s="1901">
        <f>'数据-汇总表'!E6</f>
        <v>88021.11</v>
      </c>
      <c r="E10" s="600">
        <f>'数据-取费表'!B28</f>
        <v>148</v>
      </c>
      <c r="F10" s="596"/>
      <c r="G10" s="601"/>
    </row>
    <row r="11" spans="1:7" s="589" customFormat="1" ht="13.5" hidden="1" customHeight="1">
      <c r="A11" s="602" t="s">
        <v>42</v>
      </c>
      <c r="B11" s="590" t="s">
        <v>830</v>
      </c>
      <c r="C11" s="586"/>
      <c r="D11" s="1903"/>
      <c r="E11" s="593"/>
      <c r="F11" s="593"/>
      <c r="G11" s="594"/>
    </row>
    <row r="12" spans="1:7" s="589" customFormat="1" ht="13.5" hidden="1" customHeight="1">
      <c r="A12" s="602" t="s">
        <v>43</v>
      </c>
      <c r="B12" s="590" t="s">
        <v>831</v>
      </c>
      <c r="C12" s="586">
        <v>0</v>
      </c>
      <c r="D12" s="1903"/>
      <c r="E12" s="603"/>
      <c r="F12" s="596">
        <v>3.0499999999999999E-2</v>
      </c>
      <c r="G12" s="594"/>
    </row>
    <row r="13" spans="1:7" s="589" customFormat="1" ht="13.5" hidden="1" customHeight="1">
      <c r="A13" s="602" t="s">
        <v>44</v>
      </c>
      <c r="B13" s="590" t="s">
        <v>832</v>
      </c>
      <c r="C13" s="586"/>
      <c r="D13" s="1903"/>
      <c r="E13" s="593"/>
      <c r="F13" s="593"/>
      <c r="G13" s="594"/>
    </row>
    <row r="14" spans="1:7" s="589" customFormat="1" ht="13.5" hidden="1" customHeight="1">
      <c r="A14" s="602" t="s">
        <v>45</v>
      </c>
      <c r="B14" s="590" t="s">
        <v>827</v>
      </c>
      <c r="C14" s="586"/>
      <c r="D14" s="1903"/>
      <c r="E14" s="593"/>
      <c r="F14" s="593"/>
      <c r="G14" s="594" t="s">
        <v>833</v>
      </c>
    </row>
    <row r="15" spans="1:7" s="589" customFormat="1" ht="13.5" hidden="1" customHeight="1">
      <c r="A15" s="602" t="s">
        <v>46</v>
      </c>
      <c r="B15" s="590" t="s">
        <v>834</v>
      </c>
      <c r="C15" s="595"/>
      <c r="D15" s="1903"/>
      <c r="E15" s="593"/>
      <c r="F15" s="593"/>
      <c r="G15" s="594" t="s">
        <v>835</v>
      </c>
    </row>
    <row r="16" spans="1:7"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2513</v>
      </c>
      <c r="B19" s="585" t="s">
        <v>846</v>
      </c>
      <c r="C19" s="586">
        <f>IF(G19="已包含在土地取得成本中","0",ROUND(D19*E19/10000,0))</f>
        <v>1320</v>
      </c>
      <c r="D19" s="1905">
        <f>'数据-汇总表'!E3</f>
        <v>88021.11</v>
      </c>
      <c r="E19" s="586">
        <f>'数据-取费表'!B31</f>
        <v>150</v>
      </c>
      <c r="F19" s="606"/>
      <c r="G19" s="84" t="s">
        <v>2535</v>
      </c>
    </row>
    <row r="20" spans="1:7" s="589" customFormat="1" ht="13.5" customHeight="1">
      <c r="A20" s="1795" t="s">
        <v>2515</v>
      </c>
      <c r="B20" s="585" t="s">
        <v>839</v>
      </c>
      <c r="C20" s="607">
        <f>ROUND((C5+C19)*F20,0)</f>
        <v>329</v>
      </c>
      <c r="D20" s="607"/>
      <c r="E20" s="607"/>
      <c r="F20" s="608">
        <f>'数据-取费表'!B37</f>
        <v>1.4999999999999999E-2</v>
      </c>
      <c r="G20" s="2613" t="s">
        <v>2526</v>
      </c>
    </row>
    <row r="21" spans="1:7" s="589" customFormat="1" ht="13.5" customHeight="1">
      <c r="A21" s="1795" t="s">
        <v>2517</v>
      </c>
      <c r="B21" s="585" t="s">
        <v>840</v>
      </c>
      <c r="C21" s="610">
        <f>F21</f>
        <v>2.5000000000000001E-2</v>
      </c>
      <c r="D21" s="611" t="s">
        <v>861</v>
      </c>
      <c r="E21" s="607"/>
      <c r="F21" s="608">
        <f>'数据-取费表'!B38</f>
        <v>2.5000000000000001E-2</v>
      </c>
      <c r="G21" s="609" t="s">
        <v>841</v>
      </c>
    </row>
    <row r="22" spans="1:7" s="589" customFormat="1" ht="13.5" customHeight="1">
      <c r="A22" s="1795" t="s">
        <v>1918</v>
      </c>
      <c r="B22" s="585" t="s">
        <v>842</v>
      </c>
      <c r="C22" s="2692">
        <f ca="1">ROUND(SUM(C23:C25),0)</f>
        <v>1265</v>
      </c>
      <c r="D22" s="610">
        <f ca="1">C26</f>
        <v>6.9999999999999999E-4</v>
      </c>
      <c r="E22" s="611" t="s">
        <v>861</v>
      </c>
      <c r="F22" s="612">
        <f ca="1">'数据-取费表'!B40</f>
        <v>4.7500000000000001E-2</v>
      </c>
      <c r="G22" s="2613" t="str">
        <f>IF('数据-取费表'!B22&lt;=1,"单利计息","复利计息")</f>
        <v>复利计息</v>
      </c>
    </row>
    <row r="23" spans="1:7" s="589" customFormat="1" ht="13.5" customHeight="1">
      <c r="A23" s="1798" t="s">
        <v>1926</v>
      </c>
      <c r="B23" s="590" t="s">
        <v>2519</v>
      </c>
      <c r="C23" s="2693">
        <f ca="1">ROUND(IF('数据-取费表'!B22&lt;=1,C5*F22*'数据-取费表'!B23,C5*(POWER((1+F22),'数据-取费表'!B23)-1)),0)</f>
        <v>1180</v>
      </c>
      <c r="D23" s="613"/>
      <c r="E23" s="613"/>
      <c r="F23" s="614"/>
      <c r="G23" s="615" t="s">
        <v>843</v>
      </c>
    </row>
    <row r="24" spans="1:7" s="589" customFormat="1" ht="13.5" customHeight="1">
      <c r="A24" s="1798" t="s">
        <v>1924</v>
      </c>
      <c r="B24" s="590" t="s">
        <v>2514</v>
      </c>
      <c r="C24" s="2693">
        <f ca="1">ROUND(IF('数据-取费表'!B22&lt;=1,C19*F22*('数据-取费表'!B19/2+'数据-取费表'!B21),C19*(POWER((1+F22),('数据-取费表'!B19/2+'数据-取费表'!B21))-1)),0)</f>
        <v>76</v>
      </c>
      <c r="D24" s="613"/>
      <c r="E24" s="613"/>
      <c r="F24" s="614"/>
      <c r="G24" s="615" t="s">
        <v>844</v>
      </c>
    </row>
    <row r="25" spans="1:7" s="589" customFormat="1" ht="24">
      <c r="A25" s="1798" t="s">
        <v>1925</v>
      </c>
      <c r="B25" s="590" t="s">
        <v>2516</v>
      </c>
      <c r="C25" s="2693">
        <f ca="1">ROUND(IF('数据-取费表'!B22&lt;=1,C20*F22*'数据-取费表'!B23/2,C20*(POWER((1+F22),'数据-取费表'!B23/2)-1)),0)</f>
        <v>9</v>
      </c>
      <c r="D25" s="613"/>
      <c r="E25" s="616"/>
      <c r="F25" s="614"/>
      <c r="G25" s="617" t="s">
        <v>845</v>
      </c>
    </row>
    <row r="26" spans="1:7" s="589" customFormat="1">
      <c r="A26" s="1798" t="s">
        <v>1927</v>
      </c>
      <c r="B26" s="590" t="s">
        <v>2518</v>
      </c>
      <c r="C26" s="613">
        <f ca="1">ROUND(IF('数据-取费表'!B22&lt;=1,F21*F22*'数据-取费表'!B23/2,F21*(POWER((1+F22),'数据-取费表'!B23/2)-1)),4)</f>
        <v>6.9999999999999999E-4</v>
      </c>
      <c r="D26" s="613"/>
      <c r="E26" s="616"/>
      <c r="F26" s="614"/>
      <c r="G26" s="618"/>
    </row>
    <row r="27" spans="1:7" s="589" customFormat="1" ht="24.75">
      <c r="A27" s="1795" t="s">
        <v>1919</v>
      </c>
      <c r="B27" s="619" t="s">
        <v>847</v>
      </c>
      <c r="C27" s="620">
        <f>C28</f>
        <v>1781</v>
      </c>
      <c r="D27" s="610">
        <f>C29</f>
        <v>2E-3</v>
      </c>
      <c r="E27" s="611" t="s">
        <v>861</v>
      </c>
      <c r="F27" s="621">
        <f>'数据-取费表'!Q16</f>
        <v>0.1</v>
      </c>
      <c r="G27" s="622" t="s">
        <v>2527</v>
      </c>
    </row>
    <row r="28" spans="1:7" s="589" customFormat="1" ht="13.5" customHeight="1">
      <c r="A28" s="1798" t="s">
        <v>1926</v>
      </c>
      <c r="B28" s="623" t="s">
        <v>2520</v>
      </c>
      <c r="C28" s="624">
        <f>ROUND((C5+C19+C20)*F27*'数据-取费表'!B21/'数据-取费表'!B20,0)</f>
        <v>1781</v>
      </c>
      <c r="D28" s="610"/>
      <c r="E28" s="611"/>
      <c r="F28" s="621"/>
      <c r="G28" s="622"/>
    </row>
    <row r="29" spans="1:7" s="589" customFormat="1" ht="13.5" customHeight="1">
      <c r="A29" s="1798" t="s">
        <v>1924</v>
      </c>
      <c r="B29" s="623" t="s">
        <v>2521</v>
      </c>
      <c r="C29" s="613">
        <f>ROUND(C21*F27*'数据-取费表'!B21/'数据-取费表'!B20,4)</f>
        <v>2E-3</v>
      </c>
      <c r="D29" s="610"/>
      <c r="E29" s="611"/>
      <c r="F29" s="621"/>
      <c r="G29" s="622"/>
    </row>
    <row r="30" spans="1:7" s="589" customFormat="1" ht="13.5" customHeight="1">
      <c r="A30" s="1795" t="s">
        <v>1920</v>
      </c>
      <c r="B30" s="585" t="s">
        <v>346</v>
      </c>
      <c r="C30" s="610">
        <f>F30</f>
        <v>5.6000000000000001E-2</v>
      </c>
      <c r="D30" s="611" t="s">
        <v>862</v>
      </c>
      <c r="E30" s="616"/>
      <c r="F30" s="612">
        <f>'数据-取费表'!B41</f>
        <v>5.6000000000000001E-2</v>
      </c>
      <c r="G30" s="609" t="s">
        <v>848</v>
      </c>
    </row>
    <row r="31" spans="1:7" ht="16.5" customHeight="1">
      <c r="A31" s="584">
        <v>1</v>
      </c>
      <c r="B31" s="585" t="s">
        <v>863</v>
      </c>
      <c r="C31" s="586">
        <f ca="1">ROUND((C5+C19+C20+C22+C27)/(1-C21-D22-D27-C30/(1+'数据-取费表'!B42)),0)</f>
        <v>27536</v>
      </c>
      <c r="D31" s="605"/>
      <c r="E31" s="586"/>
      <c r="F31" s="625"/>
      <c r="G31" s="609" t="s">
        <v>2528</v>
      </c>
    </row>
    <row r="32" spans="1:7" s="583" customFormat="1" ht="15.75">
      <c r="A32" s="627" t="s">
        <v>849</v>
      </c>
      <c r="B32" s="628"/>
      <c r="C32" s="628"/>
      <c r="D32" s="628"/>
      <c r="E32" s="628"/>
      <c r="F32" s="628"/>
      <c r="G32" s="629"/>
    </row>
    <row r="33" spans="1:7" s="589" customFormat="1" ht="13.5" customHeight="1">
      <c r="A33" s="630" t="s">
        <v>1914</v>
      </c>
      <c r="B33" s="585" t="s">
        <v>850</v>
      </c>
      <c r="C33" s="631">
        <f>SUM(C34:C38)</f>
        <v>8321</v>
      </c>
      <c r="D33" s="607"/>
      <c r="E33" s="587"/>
      <c r="F33" s="616"/>
      <c r="G33" s="609"/>
    </row>
    <row r="34" spans="1:7" s="633" customFormat="1" ht="13.5" customHeight="1">
      <c r="A34" s="1798" t="s">
        <v>1926</v>
      </c>
      <c r="B34" s="590" t="s">
        <v>347</v>
      </c>
      <c r="C34" s="595">
        <f>IF(F34=100%,'数据-取费表'!M16-SUMIF('数据-取费表'!C:C,"公共配套",'数据-取费表'!M:M),'数据-取费表'!O16-SUMIF('数据-取费表'!C:C,"公共配套",'数据-取费表'!O:O))</f>
        <v>6964</v>
      </c>
      <c r="D34" s="592"/>
      <c r="E34" s="595"/>
      <c r="F34" s="632">
        <f>IF('数据-取费表'!B24=0,1,'数据-取费表'!N16)</f>
        <v>0.79100000000000004</v>
      </c>
      <c r="G34" s="594" t="s">
        <v>851</v>
      </c>
    </row>
    <row r="35" spans="1:7" ht="13.5" customHeight="1">
      <c r="A35" s="1798" t="s">
        <v>1928</v>
      </c>
      <c r="B35" s="590" t="s">
        <v>348</v>
      </c>
      <c r="C35" s="595">
        <f>ROUND(C34*F35,0)</f>
        <v>209</v>
      </c>
      <c r="D35" s="595"/>
      <c r="E35" s="595"/>
      <c r="F35" s="634">
        <f>'数据-取费表'!B33</f>
        <v>0.03</v>
      </c>
      <c r="G35" s="594" t="s">
        <v>852</v>
      </c>
    </row>
    <row r="36" spans="1:7" ht="24">
      <c r="A36" s="1798" t="s">
        <v>1929</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0.05</v>
      </c>
      <c r="G36" s="635" t="s">
        <v>350</v>
      </c>
    </row>
    <row r="37" spans="1:7" s="633" customFormat="1" ht="13.5" customHeight="1">
      <c r="A37" s="1798" t="s">
        <v>1930</v>
      </c>
      <c r="B37" s="590" t="s">
        <v>853</v>
      </c>
      <c r="C37" s="624">
        <f>ROUND(E37*D37*F34/10000,0)</f>
        <v>1044</v>
      </c>
      <c r="D37" s="592">
        <f>'数据-汇总表'!E3</f>
        <v>88021.11</v>
      </c>
      <c r="E37" s="624">
        <f>'数据-取费表'!B35</f>
        <v>150</v>
      </c>
      <c r="F37" s="634"/>
      <c r="G37" s="636" t="s">
        <v>854</v>
      </c>
    </row>
    <row r="38" spans="1:7" ht="13.5" customHeight="1">
      <c r="A38" s="1798" t="s">
        <v>1931</v>
      </c>
      <c r="B38" s="590" t="s">
        <v>351</v>
      </c>
      <c r="C38" s="595">
        <f>ROUND(C34*F38,0)</f>
        <v>104</v>
      </c>
      <c r="D38" s="595"/>
      <c r="E38" s="595"/>
      <c r="F38" s="634">
        <f>'数据-取费表'!B36</f>
        <v>1.4999999999999999E-2</v>
      </c>
      <c r="G38" s="594" t="s">
        <v>852</v>
      </c>
    </row>
    <row r="39" spans="1:7" s="589" customFormat="1" ht="13.5" customHeight="1">
      <c r="A39" s="1795" t="s">
        <v>1915</v>
      </c>
      <c r="B39" s="585" t="s">
        <v>839</v>
      </c>
      <c r="C39" s="607">
        <f>ROUND(C33*F20,0)</f>
        <v>125</v>
      </c>
      <c r="D39" s="607"/>
      <c r="E39" s="607"/>
      <c r="F39" s="608"/>
      <c r="G39" s="2613" t="s">
        <v>2529</v>
      </c>
    </row>
    <row r="40" spans="1:7" s="589" customFormat="1" ht="13.5" customHeight="1">
      <c r="A40" s="1795" t="s">
        <v>1916</v>
      </c>
      <c r="B40" s="585" t="s">
        <v>840</v>
      </c>
      <c r="C40" s="637">
        <f>F21</f>
        <v>2.5000000000000001E-2</v>
      </c>
      <c r="D40" s="611" t="s">
        <v>864</v>
      </c>
      <c r="E40" s="607"/>
      <c r="F40" s="608"/>
      <c r="G40" s="609" t="s">
        <v>855</v>
      </c>
    </row>
    <row r="41" spans="1:7" s="589" customFormat="1" ht="13.5" customHeight="1">
      <c r="A41" s="1795" t="s">
        <v>1917</v>
      </c>
      <c r="B41" s="585" t="s">
        <v>842</v>
      </c>
      <c r="C41" s="607">
        <f ca="1">ROUND(SUM(C42:C43),0)</f>
        <v>239</v>
      </c>
      <c r="D41" s="610">
        <f ca="1">C44</f>
        <v>6.9999999999999999E-4</v>
      </c>
      <c r="E41" s="611" t="s">
        <v>864</v>
      </c>
      <c r="F41" s="612"/>
      <c r="G41" s="2613" t="str">
        <f>IF('数据-取费表'!B22&lt;=1,"单利计息","复利计息")</f>
        <v>复利计息</v>
      </c>
    </row>
    <row r="42" spans="1:7" ht="13.5" customHeight="1">
      <c r="A42" s="1798" t="s">
        <v>1926</v>
      </c>
      <c r="B42" s="590" t="s">
        <v>2519</v>
      </c>
      <c r="C42" s="613">
        <f ca="1">ROUND(IF('数据-取费表'!B22&lt;=1,C33*F22*'数据-取费表'!B21/2,C33*(POWER((1+F22),'数据-取费表'!B21/2)-1)),0)</f>
        <v>235</v>
      </c>
      <c r="D42" s="613"/>
      <c r="E42" s="613"/>
      <c r="F42" s="614"/>
      <c r="G42" s="3597" t="s">
        <v>856</v>
      </c>
    </row>
    <row r="43" spans="1:7" ht="13.5" customHeight="1">
      <c r="A43" s="1798" t="s">
        <v>1924</v>
      </c>
      <c r="B43" s="590" t="s">
        <v>2522</v>
      </c>
      <c r="C43" s="613">
        <f ca="1">ROUND(IF('数据-取费表'!B22&lt;=1,C39*F22*'数据-取费表'!B21/2,C39*(POWER((1+F22),'数据-取费表'!B21/2)-1)),0)</f>
        <v>4</v>
      </c>
      <c r="D43" s="613"/>
      <c r="E43" s="613"/>
      <c r="F43" s="614"/>
      <c r="G43" s="3598"/>
    </row>
    <row r="44" spans="1:7" ht="13.5" customHeight="1">
      <c r="A44" s="1798" t="s">
        <v>1925</v>
      </c>
      <c r="B44" s="590" t="s">
        <v>2524</v>
      </c>
      <c r="C44" s="613">
        <f ca="1">ROUND(IF('数据-取费表'!B22&lt;=1,C40*F22*'数据-取费表'!B21/2,C40*(POWER((1+F22),'数据-取费表'!B21/2)-1)),4)</f>
        <v>6.9999999999999999E-4</v>
      </c>
      <c r="D44" s="613"/>
      <c r="E44" s="613"/>
      <c r="F44" s="614"/>
      <c r="G44" s="3599"/>
    </row>
    <row r="45" spans="1:7" s="589" customFormat="1" ht="13.5" customHeight="1">
      <c r="A45" s="1795" t="s">
        <v>1918</v>
      </c>
      <c r="B45" s="619" t="s">
        <v>847</v>
      </c>
      <c r="C45" s="620">
        <f>C46</f>
        <v>845</v>
      </c>
      <c r="D45" s="610">
        <f>C47</f>
        <v>2.5000000000000001E-3</v>
      </c>
      <c r="E45" s="611" t="s">
        <v>864</v>
      </c>
      <c r="F45" s="621"/>
      <c r="G45" s="622" t="s">
        <v>2530</v>
      </c>
    </row>
    <row r="46" spans="1:7" s="589" customFormat="1" ht="13.5" customHeight="1">
      <c r="A46" s="1798" t="s">
        <v>1926</v>
      </c>
      <c r="B46" s="623" t="s">
        <v>2523</v>
      </c>
      <c r="C46" s="624">
        <f>ROUND((C33+C39)*F27,0)</f>
        <v>845</v>
      </c>
      <c r="D46" s="638"/>
      <c r="E46" s="611"/>
      <c r="F46" s="621"/>
      <c r="G46" s="622"/>
    </row>
    <row r="47" spans="1:7" s="589" customFormat="1" ht="13.5" customHeight="1">
      <c r="A47" s="1798" t="s">
        <v>1924</v>
      </c>
      <c r="B47" s="623" t="s">
        <v>2525</v>
      </c>
      <c r="C47" s="613">
        <f>ROUND(C40*F27,4)</f>
        <v>2.5000000000000001E-3</v>
      </c>
      <c r="D47" s="638"/>
      <c r="E47" s="611"/>
      <c r="F47" s="621"/>
      <c r="G47" s="622"/>
    </row>
    <row r="48" spans="1:7" s="589" customFormat="1" ht="13.5" customHeight="1">
      <c r="A48" s="1795" t="s">
        <v>1919</v>
      </c>
      <c r="B48" s="585" t="s">
        <v>857</v>
      </c>
      <c r="C48" s="637">
        <f>F30</f>
        <v>5.6000000000000001E-2</v>
      </c>
      <c r="D48" s="611" t="s">
        <v>865</v>
      </c>
      <c r="E48" s="607"/>
      <c r="F48" s="612"/>
      <c r="G48" s="609" t="s">
        <v>858</v>
      </c>
    </row>
    <row r="49" spans="1:7" ht="16.5" customHeight="1">
      <c r="A49" s="1795" t="s">
        <v>1920</v>
      </c>
      <c r="B49" s="585" t="s">
        <v>866</v>
      </c>
      <c r="C49" s="607">
        <f ca="1">ROUND((C33+C39+C41+C45)/(1-C40-D41-D45-C48/(1+'数据-取费表'!B42)),0)</f>
        <v>10376</v>
      </c>
      <c r="D49" s="607"/>
      <c r="E49" s="607"/>
      <c r="F49" s="639"/>
      <c r="G49" s="609" t="s">
        <v>2531</v>
      </c>
    </row>
    <row r="50" spans="1:7" s="633" customFormat="1" ht="24">
      <c r="A50" s="1795" t="s">
        <v>1921</v>
      </c>
      <c r="B50" s="585" t="s">
        <v>859</v>
      </c>
      <c r="C50" s="607"/>
      <c r="D50" s="607"/>
      <c r="E50" s="607"/>
      <c r="F50" s="639">
        <f>IF('数据-取费表'!B24=0,'数据-取费表'!N16,1)</f>
        <v>1</v>
      </c>
      <c r="G50" s="622" t="s">
        <v>860</v>
      </c>
    </row>
    <row r="51" spans="1:7" ht="16.5" customHeight="1">
      <c r="A51" s="1795" t="s">
        <v>1922</v>
      </c>
      <c r="B51" s="585" t="s">
        <v>867</v>
      </c>
      <c r="C51" s="607">
        <f ca="1">ROUND(C49*F50,0)</f>
        <v>10376</v>
      </c>
      <c r="D51" s="607"/>
      <c r="E51" s="607"/>
      <c r="F51" s="639"/>
      <c r="G51" s="609" t="s">
        <v>352</v>
      </c>
    </row>
    <row r="52" spans="1:7" s="583" customFormat="1" ht="16.5" thickBot="1">
      <c r="A52" s="640" t="s">
        <v>353</v>
      </c>
      <c r="B52" s="641"/>
      <c r="C52" s="642">
        <f ca="1">C31+C51</f>
        <v>37912</v>
      </c>
      <c r="D52" s="641"/>
      <c r="E52" s="641"/>
      <c r="F52" s="641"/>
      <c r="G52" s="643"/>
    </row>
    <row r="55" spans="1:7" ht="15">
      <c r="B55" s="645" t="s">
        <v>354</v>
      </c>
      <c r="C55" s="646"/>
    </row>
    <row r="56" spans="1:7">
      <c r="B56" s="648" t="s">
        <v>355</v>
      </c>
      <c r="C56" s="649">
        <f ca="1">ROUND(C51/C52,3)</f>
        <v>0.27400000000000002</v>
      </c>
    </row>
    <row r="57" spans="1:7">
      <c r="B57" s="648" t="s">
        <v>356</v>
      </c>
      <c r="C57" s="650">
        <f ca="1">1-C56</f>
        <v>0.72599999999999998</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37" customWidth="1"/>
    <col min="2" max="5" width="10.25" style="1482" customWidth="1"/>
    <col min="6" max="6" width="9" style="1482"/>
    <col min="7" max="8" width="9" style="1510"/>
    <col min="9" max="16384" width="9" style="1482"/>
  </cols>
  <sheetData>
    <row r="1" spans="1:19">
      <c r="A1" s="3774" t="s">
        <v>1172</v>
      </c>
      <c r="B1" s="3774"/>
      <c r="C1" s="3774"/>
      <c r="D1" s="3774"/>
      <c r="E1" s="3774"/>
      <c r="F1" s="3774"/>
      <c r="H1" s="1512" t="s">
        <v>1173</v>
      </c>
      <c r="I1" s="1513" t="s">
        <v>1174</v>
      </c>
      <c r="J1" s="1513" t="s">
        <v>1175</v>
      </c>
      <c r="K1" s="1513" t="s">
        <v>1176</v>
      </c>
      <c r="L1" s="1513" t="s">
        <v>1177</v>
      </c>
      <c r="M1" s="1513" t="s">
        <v>1178</v>
      </c>
      <c r="N1" s="1513" t="s">
        <v>1179</v>
      </c>
      <c r="O1" s="1513" t="s">
        <v>1180</v>
      </c>
      <c r="P1" s="1513" t="s">
        <v>1181</v>
      </c>
      <c r="Q1" s="1513" t="s">
        <v>1182</v>
      </c>
      <c r="R1" s="1513" t="s">
        <v>1183</v>
      </c>
      <c r="S1" s="1514" t="s">
        <v>1184</v>
      </c>
    </row>
    <row r="2" spans="1:19" ht="14.25" thickBot="1">
      <c r="A2" s="3775" t="s">
        <v>1185</v>
      </c>
      <c r="B2" s="3775"/>
      <c r="C2" s="3775"/>
      <c r="D2" s="3775"/>
      <c r="E2" s="3775"/>
      <c r="F2" s="3775"/>
      <c r="H2" s="1515" t="s">
        <v>1186</v>
      </c>
      <c r="I2" s="1516" t="s">
        <v>1187</v>
      </c>
      <c r="J2" s="1516" t="s">
        <v>1188</v>
      </c>
      <c r="K2" s="1516" t="s">
        <v>1189</v>
      </c>
      <c r="L2" s="1516" t="s">
        <v>1190</v>
      </c>
      <c r="M2" s="1516" t="s">
        <v>1191</v>
      </c>
      <c r="N2" s="1516" t="s">
        <v>1192</v>
      </c>
      <c r="O2" s="1516" t="s">
        <v>1193</v>
      </c>
      <c r="P2" s="1516" t="s">
        <v>1194</v>
      </c>
      <c r="Q2" s="1516" t="s">
        <v>1195</v>
      </c>
      <c r="R2" s="1516" t="s">
        <v>1196</v>
      </c>
      <c r="S2" s="1516" t="s">
        <v>1197</v>
      </c>
    </row>
    <row r="3" spans="1:19" s="1511" customFormat="1" ht="19.5" customHeight="1">
      <c r="A3" s="3776" t="s">
        <v>1198</v>
      </c>
      <c r="B3" s="1517"/>
      <c r="C3" s="1518" t="s">
        <v>1199</v>
      </c>
      <c r="D3" s="1518" t="s">
        <v>1200</v>
      </c>
      <c r="E3" s="1518" t="s">
        <v>1847</v>
      </c>
      <c r="F3" s="1518" t="s">
        <v>1202</v>
      </c>
      <c r="G3" s="1519"/>
      <c r="H3" s="1515" t="s">
        <v>1203</v>
      </c>
      <c r="I3" s="1516" t="s">
        <v>1204</v>
      </c>
      <c r="J3" s="1516" t="s">
        <v>1205</v>
      </c>
      <c r="K3" s="1516" t="s">
        <v>1206</v>
      </c>
      <c r="L3" s="1516" t="s">
        <v>1207</v>
      </c>
      <c r="M3" s="1516" t="s">
        <v>1208</v>
      </c>
      <c r="N3" s="1516" t="s">
        <v>1209</v>
      </c>
      <c r="O3" s="1516" t="s">
        <v>1210</v>
      </c>
      <c r="P3" s="1516" t="s">
        <v>1211</v>
      </c>
      <c r="Q3" s="1516" t="s">
        <v>1212</v>
      </c>
      <c r="R3" s="1516" t="s">
        <v>1213</v>
      </c>
      <c r="S3" s="1516" t="s">
        <v>1214</v>
      </c>
    </row>
    <row r="4" spans="1:19" s="1511" customFormat="1" ht="19.5" customHeight="1" thickBot="1">
      <c r="A4" s="3777"/>
      <c r="B4" s="1520" t="s">
        <v>1215</v>
      </c>
      <c r="C4" s="1520" t="s">
        <v>1216</v>
      </c>
      <c r="D4" s="1520" t="s">
        <v>1216</v>
      </c>
      <c r="E4" s="1520" t="s">
        <v>1216</v>
      </c>
      <c r="F4" s="1521" t="s">
        <v>1216</v>
      </c>
      <c r="G4" s="1519"/>
      <c r="H4" s="1515" t="s">
        <v>1217</v>
      </c>
      <c r="I4" s="1516" t="s">
        <v>1140</v>
      </c>
      <c r="J4" s="1516" t="s">
        <v>1218</v>
      </c>
      <c r="K4" s="1516" t="s">
        <v>1219</v>
      </c>
      <c r="L4" s="1516" t="s">
        <v>1220</v>
      </c>
      <c r="M4" s="1516" t="s">
        <v>1221</v>
      </c>
      <c r="N4" s="1516" t="s">
        <v>1222</v>
      </c>
      <c r="O4" s="1516" t="s">
        <v>1223</v>
      </c>
      <c r="P4" s="1516" t="s">
        <v>1224</v>
      </c>
      <c r="Q4" s="1516" t="s">
        <v>1225</v>
      </c>
      <c r="R4" s="1516" t="s">
        <v>1226</v>
      </c>
      <c r="S4" s="1516" t="s">
        <v>1227</v>
      </c>
    </row>
    <row r="5" spans="1:19" ht="14.25" customHeight="1" thickBot="1">
      <c r="A5" s="1522" t="s">
        <v>1954</v>
      </c>
      <c r="B5" s="1523" t="s">
        <v>1955</v>
      </c>
      <c r="C5" s="1523">
        <v>29530</v>
      </c>
      <c r="D5" s="1523">
        <v>28130</v>
      </c>
      <c r="E5" s="1523">
        <v>27930</v>
      </c>
      <c r="F5" s="1524">
        <v>11300</v>
      </c>
      <c r="G5" s="1519"/>
      <c r="H5" s="1515" t="s">
        <v>1229</v>
      </c>
      <c r="I5" s="1516" t="s">
        <v>1230</v>
      </c>
      <c r="J5" s="1516" t="s">
        <v>1231</v>
      </c>
      <c r="K5" s="1516" t="s">
        <v>1232</v>
      </c>
      <c r="L5" s="1516" t="s">
        <v>1233</v>
      </c>
      <c r="M5" s="1516" t="s">
        <v>1234</v>
      </c>
      <c r="N5" s="1516" t="s">
        <v>1235</v>
      </c>
      <c r="O5" s="1516" t="s">
        <v>1236</v>
      </c>
      <c r="P5" s="1516" t="s">
        <v>1237</v>
      </c>
      <c r="Q5" s="1516" t="s">
        <v>1238</v>
      </c>
      <c r="R5" s="1516" t="s">
        <v>1239</v>
      </c>
      <c r="S5" s="1516" t="s">
        <v>1240</v>
      </c>
    </row>
    <row r="6" spans="1:19" ht="14.25" customHeight="1" thickBot="1">
      <c r="A6" s="1522" t="s">
        <v>1228</v>
      </c>
      <c r="B6" s="1516" t="s">
        <v>1203</v>
      </c>
      <c r="C6" s="1516">
        <v>30290</v>
      </c>
      <c r="D6" s="1516">
        <v>29210</v>
      </c>
      <c r="E6" s="1516">
        <v>28860</v>
      </c>
      <c r="F6" s="1525">
        <v>12600</v>
      </c>
      <c r="G6" s="1519"/>
      <c r="H6" s="1515" t="s">
        <v>1241</v>
      </c>
      <c r="I6" s="1516" t="s">
        <v>1242</v>
      </c>
      <c r="J6" s="1516" t="s">
        <v>1243</v>
      </c>
      <c r="K6" s="1516" t="s">
        <v>1244</v>
      </c>
      <c r="L6" s="1516" t="s">
        <v>1245</v>
      </c>
      <c r="M6" s="1516" t="s">
        <v>1246</v>
      </c>
      <c r="N6" s="1516" t="s">
        <v>1247</v>
      </c>
      <c r="O6" s="1516" t="s">
        <v>1248</v>
      </c>
      <c r="P6" s="1516" t="s">
        <v>1249</v>
      </c>
      <c r="Q6" s="1516" t="s">
        <v>1250</v>
      </c>
      <c r="R6" s="1516" t="s">
        <v>1251</v>
      </c>
      <c r="S6" s="1516" t="s">
        <v>1252</v>
      </c>
    </row>
    <row r="7" spans="1:19" ht="14.25" customHeight="1" thickBot="1">
      <c r="A7" s="1522" t="s">
        <v>1228</v>
      </c>
      <c r="B7" s="1526" t="s">
        <v>1217</v>
      </c>
      <c r="C7" s="1516">
        <v>29350</v>
      </c>
      <c r="D7" s="1516">
        <v>28410</v>
      </c>
      <c r="E7" s="1516">
        <v>27990</v>
      </c>
      <c r="F7" s="1525">
        <v>12300</v>
      </c>
      <c r="G7" s="1519"/>
      <c r="I7" s="1516" t="s">
        <v>1253</v>
      </c>
      <c r="J7" s="1516" t="s">
        <v>1254</v>
      </c>
      <c r="K7" s="1516" t="s">
        <v>1255</v>
      </c>
      <c r="L7" s="1516" t="s">
        <v>1256</v>
      </c>
      <c r="M7" s="1516" t="s">
        <v>1257</v>
      </c>
      <c r="N7" s="1516" t="s">
        <v>1258</v>
      </c>
      <c r="O7" s="1516" t="s">
        <v>1259</v>
      </c>
      <c r="P7" s="1516" t="s">
        <v>1260</v>
      </c>
      <c r="Q7" s="1516" t="s">
        <v>1261</v>
      </c>
      <c r="R7" s="1516" t="s">
        <v>1262</v>
      </c>
      <c r="S7" s="1526" t="s">
        <v>1263</v>
      </c>
    </row>
    <row r="8" spans="1:19" ht="14.25" customHeight="1" thickBot="1">
      <c r="A8" s="1522" t="s">
        <v>1228</v>
      </c>
      <c r="B8" s="1516" t="s">
        <v>1229</v>
      </c>
      <c r="C8" s="1516">
        <v>30890</v>
      </c>
      <c r="D8" s="1516">
        <v>29780</v>
      </c>
      <c r="E8" s="1516">
        <v>29270</v>
      </c>
      <c r="F8" s="1525">
        <v>11600</v>
      </c>
      <c r="G8" s="1519"/>
      <c r="I8" s="1516" t="s">
        <v>1264</v>
      </c>
      <c r="J8" s="1516" t="s">
        <v>1265</v>
      </c>
      <c r="K8" s="1516" t="s">
        <v>1266</v>
      </c>
      <c r="L8" s="1516" t="s">
        <v>1267</v>
      </c>
      <c r="M8" s="1516" t="s">
        <v>1268</v>
      </c>
      <c r="N8" s="1516" t="s">
        <v>1269</v>
      </c>
      <c r="O8" s="1516" t="s">
        <v>1270</v>
      </c>
      <c r="P8" s="1516" t="s">
        <v>1271</v>
      </c>
      <c r="Q8" s="1516" t="s">
        <v>1272</v>
      </c>
      <c r="R8" s="1516" t="s">
        <v>1273</v>
      </c>
      <c r="S8" s="1516" t="s">
        <v>1274</v>
      </c>
    </row>
    <row r="9" spans="1:19" ht="14.25" customHeight="1" thickBot="1">
      <c r="A9" s="1522" t="s">
        <v>1228</v>
      </c>
      <c r="B9" s="1527" t="s">
        <v>1241</v>
      </c>
      <c r="C9" s="1528">
        <v>28140</v>
      </c>
      <c r="D9" s="1528"/>
      <c r="E9" s="1528"/>
      <c r="F9" s="1529"/>
      <c r="G9" s="1519"/>
      <c r="I9" s="1516" t="s">
        <v>1275</v>
      </c>
      <c r="J9" s="1516" t="s">
        <v>1276</v>
      </c>
      <c r="K9" s="1516" t="s">
        <v>1277</v>
      </c>
      <c r="L9" s="1516" t="s">
        <v>1278</v>
      </c>
      <c r="M9" s="1516" t="s">
        <v>1279</v>
      </c>
      <c r="N9" s="1516" t="s">
        <v>1280</v>
      </c>
      <c r="O9" s="1516" t="s">
        <v>1281</v>
      </c>
      <c r="P9" s="1516" t="s">
        <v>1282</v>
      </c>
      <c r="Q9" s="1516" t="s">
        <v>1283</v>
      </c>
      <c r="R9" s="1516" t="s">
        <v>1284</v>
      </c>
    </row>
    <row r="10" spans="1:19" ht="14.25" customHeight="1" thickBot="1">
      <c r="A10" s="1522" t="s">
        <v>1285</v>
      </c>
      <c r="B10" s="1523" t="s">
        <v>1286</v>
      </c>
      <c r="C10" s="1523">
        <v>27450</v>
      </c>
      <c r="D10" s="1523">
        <v>26180</v>
      </c>
      <c r="E10" s="1523">
        <v>25980</v>
      </c>
      <c r="F10" s="1524">
        <v>8910</v>
      </c>
      <c r="G10" s="1519"/>
      <c r="I10" s="1516" t="s">
        <v>1287</v>
      </c>
      <c r="J10" s="1516" t="s">
        <v>1288</v>
      </c>
      <c r="K10" s="1516" t="s">
        <v>1289</v>
      </c>
      <c r="L10" s="1516" t="s">
        <v>1290</v>
      </c>
      <c r="M10" s="1516" t="s">
        <v>1291</v>
      </c>
      <c r="N10" s="1516" t="s">
        <v>1292</v>
      </c>
      <c r="O10" s="1516" t="s">
        <v>1293</v>
      </c>
      <c r="P10" s="1516" t="s">
        <v>1294</v>
      </c>
      <c r="Q10" s="1516" t="s">
        <v>1295</v>
      </c>
      <c r="R10" s="1516" t="s">
        <v>1296</v>
      </c>
    </row>
    <row r="11" spans="1:19" ht="14.25" customHeight="1" thickBot="1">
      <c r="A11" s="1522" t="s">
        <v>1285</v>
      </c>
      <c r="B11" s="1526" t="s">
        <v>1204</v>
      </c>
      <c r="C11" s="1516">
        <v>22950</v>
      </c>
      <c r="D11" s="1516">
        <v>22630</v>
      </c>
      <c r="E11" s="1516">
        <v>22030</v>
      </c>
      <c r="F11" s="1530">
        <v>8330</v>
      </c>
      <c r="G11" s="1519"/>
      <c r="I11" s="1516" t="s">
        <v>1297</v>
      </c>
      <c r="J11" s="1516" t="s">
        <v>1298</v>
      </c>
      <c r="K11" s="1516" t="s">
        <v>1299</v>
      </c>
      <c r="L11" s="1516" t="s">
        <v>1300</v>
      </c>
      <c r="M11" s="1516" t="s">
        <v>1301</v>
      </c>
      <c r="N11" s="1516" t="s">
        <v>1302</v>
      </c>
      <c r="O11" s="1516" t="s">
        <v>1303</v>
      </c>
      <c r="P11" s="1516" t="s">
        <v>1304</v>
      </c>
      <c r="Q11" s="1516" t="s">
        <v>1305</v>
      </c>
      <c r="R11" s="1516" t="s">
        <v>1306</v>
      </c>
    </row>
    <row r="12" spans="1:19" ht="14.25" customHeight="1" thickBot="1">
      <c r="A12" s="1522" t="s">
        <v>1285</v>
      </c>
      <c r="B12" s="1526" t="s">
        <v>1140</v>
      </c>
      <c r="C12" s="1516">
        <v>24940</v>
      </c>
      <c r="D12" s="1516">
        <v>23180</v>
      </c>
      <c r="E12" s="1516">
        <v>22910</v>
      </c>
      <c r="F12" s="1530">
        <v>7180</v>
      </c>
      <c r="G12" s="1519"/>
      <c r="I12" s="1516" t="s">
        <v>1307</v>
      </c>
      <c r="J12" s="1516" t="s">
        <v>1308</v>
      </c>
      <c r="K12" s="1516" t="s">
        <v>1309</v>
      </c>
      <c r="L12" s="1516" t="s">
        <v>1310</v>
      </c>
      <c r="M12" s="1516" t="s">
        <v>1311</v>
      </c>
      <c r="N12" s="1516" t="s">
        <v>1312</v>
      </c>
      <c r="O12" s="1516" t="s">
        <v>1313</v>
      </c>
      <c r="P12" s="1516" t="s">
        <v>1314</v>
      </c>
      <c r="Q12" s="1516" t="s">
        <v>1315</v>
      </c>
      <c r="R12" s="1516" t="s">
        <v>1316</v>
      </c>
    </row>
    <row r="13" spans="1:19" ht="14.25" customHeight="1" thickBot="1">
      <c r="A13" s="1522" t="s">
        <v>1285</v>
      </c>
      <c r="B13" s="1526" t="s">
        <v>1230</v>
      </c>
      <c r="C13" s="1516">
        <v>24140</v>
      </c>
      <c r="D13" s="1516">
        <v>22270</v>
      </c>
      <c r="E13" s="1516">
        <v>21950</v>
      </c>
      <c r="F13" s="1530">
        <v>7600</v>
      </c>
      <c r="G13" s="1519"/>
      <c r="I13" s="1516" t="s">
        <v>1317</v>
      </c>
      <c r="J13" s="1516" t="s">
        <v>1318</v>
      </c>
      <c r="K13" s="1516" t="s">
        <v>1319</v>
      </c>
      <c r="L13" s="1516" t="s">
        <v>1320</v>
      </c>
      <c r="M13" s="1516" t="s">
        <v>1321</v>
      </c>
      <c r="N13" s="1516" t="s">
        <v>1322</v>
      </c>
      <c r="O13" s="1516" t="s">
        <v>1323</v>
      </c>
      <c r="P13" s="1516" t="s">
        <v>1324</v>
      </c>
      <c r="Q13" s="1516" t="s">
        <v>1325</v>
      </c>
      <c r="R13" s="1516" t="s">
        <v>1326</v>
      </c>
    </row>
    <row r="14" spans="1:19" ht="14.25" customHeight="1" thickBot="1">
      <c r="A14" s="1522" t="s">
        <v>1285</v>
      </c>
      <c r="B14" s="1526" t="s">
        <v>1242</v>
      </c>
      <c r="C14" s="1516">
        <v>25600</v>
      </c>
      <c r="D14" s="1516">
        <v>22260</v>
      </c>
      <c r="E14" s="1516">
        <v>22110</v>
      </c>
      <c r="F14" s="1530">
        <v>7630</v>
      </c>
      <c r="G14" s="1519"/>
      <c r="I14" s="1516" t="s">
        <v>1327</v>
      </c>
      <c r="J14" s="1516" t="s">
        <v>1328</v>
      </c>
      <c r="K14" s="1516" t="s">
        <v>1329</v>
      </c>
      <c r="L14" s="1516" t="s">
        <v>1330</v>
      </c>
      <c r="M14" s="1516" t="s">
        <v>1331</v>
      </c>
      <c r="N14" s="1516" t="s">
        <v>1332</v>
      </c>
      <c r="O14" s="1516" t="s">
        <v>1333</v>
      </c>
      <c r="P14" s="1516" t="s">
        <v>1334</v>
      </c>
      <c r="Q14" s="1516" t="s">
        <v>1335</v>
      </c>
      <c r="R14" s="1516" t="s">
        <v>1336</v>
      </c>
    </row>
    <row r="15" spans="1:19" ht="14.25" customHeight="1" thickBot="1">
      <c r="A15" s="1522" t="s">
        <v>1285</v>
      </c>
      <c r="B15" s="1526" t="s">
        <v>1253</v>
      </c>
      <c r="C15" s="1516">
        <v>24760</v>
      </c>
      <c r="D15" s="1516">
        <v>24440</v>
      </c>
      <c r="E15" s="1516">
        <v>24130</v>
      </c>
      <c r="F15" s="1530">
        <v>9480</v>
      </c>
      <c r="G15" s="1519"/>
      <c r="I15" s="1516" t="s">
        <v>1338</v>
      </c>
      <c r="J15" s="1516" t="s">
        <v>1339</v>
      </c>
      <c r="K15" s="1516" t="s">
        <v>1340</v>
      </c>
      <c r="L15" s="1516" t="s">
        <v>1341</v>
      </c>
      <c r="M15" s="1516" t="s">
        <v>1342</v>
      </c>
      <c r="N15" s="1516" t="s">
        <v>1343</v>
      </c>
      <c r="O15" s="1516" t="s">
        <v>1344</v>
      </c>
      <c r="P15" s="1516" t="s">
        <v>1345</v>
      </c>
      <c r="Q15" s="1516" t="s">
        <v>1346</v>
      </c>
      <c r="R15" s="1516" t="s">
        <v>1347</v>
      </c>
    </row>
    <row r="16" spans="1:19" ht="14.25" customHeight="1" thickBot="1">
      <c r="A16" s="1522" t="s">
        <v>1285</v>
      </c>
      <c r="B16" s="1526" t="s">
        <v>1264</v>
      </c>
      <c r="C16" s="1516">
        <v>22220</v>
      </c>
      <c r="D16" s="1516">
        <v>22310</v>
      </c>
      <c r="E16" s="1516">
        <v>22000</v>
      </c>
      <c r="F16" s="1530">
        <v>8900</v>
      </c>
      <c r="G16" s="1519"/>
      <c r="I16" s="1516" t="s">
        <v>1349</v>
      </c>
      <c r="J16" s="1516" t="s">
        <v>1350</v>
      </c>
      <c r="K16" s="1516" t="s">
        <v>1351</v>
      </c>
      <c r="L16" s="1516" t="s">
        <v>1352</v>
      </c>
      <c r="M16" s="1516" t="s">
        <v>1353</v>
      </c>
      <c r="N16" s="1516" t="s">
        <v>1354</v>
      </c>
      <c r="O16" s="1516" t="s">
        <v>1355</v>
      </c>
      <c r="P16" s="1516" t="s">
        <v>1356</v>
      </c>
      <c r="Q16" s="1516" t="s">
        <v>1357</v>
      </c>
      <c r="R16" s="1516" t="s">
        <v>1358</v>
      </c>
    </row>
    <row r="17" spans="1:18" ht="14.25" customHeight="1" thickBot="1">
      <c r="A17" s="1522" t="s">
        <v>1285</v>
      </c>
      <c r="B17" s="1526" t="s">
        <v>1275</v>
      </c>
      <c r="C17" s="1516">
        <v>24700</v>
      </c>
      <c r="D17" s="1516">
        <v>25150</v>
      </c>
      <c r="E17" s="1516">
        <v>24700</v>
      </c>
      <c r="F17" s="1531"/>
      <c r="G17" s="1519"/>
      <c r="I17" s="1516" t="s">
        <v>1359</v>
      </c>
      <c r="J17" s="1516" t="s">
        <v>1360</v>
      </c>
      <c r="K17" s="1516" t="s">
        <v>1361</v>
      </c>
      <c r="L17" s="1516" t="s">
        <v>1362</v>
      </c>
      <c r="M17" s="1516" t="s">
        <v>1363</v>
      </c>
      <c r="N17" s="1516" t="s">
        <v>1364</v>
      </c>
      <c r="O17" s="1516" t="s">
        <v>1365</v>
      </c>
      <c r="P17" s="1516" t="s">
        <v>1366</v>
      </c>
      <c r="Q17" s="1516" t="s">
        <v>1367</v>
      </c>
      <c r="R17" s="1516" t="s">
        <v>1368</v>
      </c>
    </row>
    <row r="18" spans="1:18" ht="14.25" customHeight="1" thickBot="1">
      <c r="A18" s="1522" t="s">
        <v>1285</v>
      </c>
      <c r="B18" s="1526" t="s">
        <v>1287</v>
      </c>
      <c r="C18" s="1516">
        <v>22350</v>
      </c>
      <c r="D18" s="1516">
        <v>24340</v>
      </c>
      <c r="E18" s="1516">
        <v>24100</v>
      </c>
      <c r="F18" s="1531"/>
      <c r="G18" s="1519"/>
      <c r="I18" s="1516" t="s">
        <v>1369</v>
      </c>
      <c r="J18" s="1516" t="s">
        <v>1370</v>
      </c>
      <c r="K18" s="1516" t="s">
        <v>1371</v>
      </c>
      <c r="L18" s="1516" t="s">
        <v>1372</v>
      </c>
      <c r="M18" s="1516" t="s">
        <v>1373</v>
      </c>
      <c r="N18" s="1516" t="s">
        <v>1374</v>
      </c>
      <c r="O18" s="1516" t="s">
        <v>1375</v>
      </c>
      <c r="P18" s="1516" t="s">
        <v>1376</v>
      </c>
      <c r="Q18" s="1516" t="s">
        <v>1377</v>
      </c>
      <c r="R18" s="1516" t="s">
        <v>1378</v>
      </c>
    </row>
    <row r="19" spans="1:18" ht="14.25" customHeight="1" thickBot="1">
      <c r="A19" s="1522" t="s">
        <v>1285</v>
      </c>
      <c r="B19" s="1526" t="s">
        <v>1297</v>
      </c>
      <c r="C19" s="1516">
        <v>23430</v>
      </c>
      <c r="D19" s="1516">
        <v>21580</v>
      </c>
      <c r="E19" s="1516">
        <v>21350</v>
      </c>
      <c r="F19" s="1531"/>
      <c r="G19" s="1519"/>
      <c r="I19" s="1516" t="s">
        <v>1379</v>
      </c>
      <c r="J19" s="1516" t="s">
        <v>1380</v>
      </c>
      <c r="K19" s="1516" t="s">
        <v>1381</v>
      </c>
      <c r="L19" s="1516" t="s">
        <v>1382</v>
      </c>
      <c r="M19" s="1516" t="s">
        <v>1383</v>
      </c>
      <c r="N19" s="1516" t="s">
        <v>1384</v>
      </c>
      <c r="O19" s="1516" t="s">
        <v>1385</v>
      </c>
      <c r="P19" s="1516" t="s">
        <v>1386</v>
      </c>
      <c r="Q19" s="1516" t="s">
        <v>1387</v>
      </c>
      <c r="R19" s="1516" t="s">
        <v>1388</v>
      </c>
    </row>
    <row r="20" spans="1:18" ht="14.25" customHeight="1" thickBot="1">
      <c r="A20" s="1522" t="s">
        <v>1285</v>
      </c>
      <c r="B20" s="1526" t="s">
        <v>1307</v>
      </c>
      <c r="C20" s="1516">
        <v>27660</v>
      </c>
      <c r="D20" s="1516">
        <v>24240</v>
      </c>
      <c r="E20" s="1516">
        <v>24020</v>
      </c>
      <c r="F20" s="1531"/>
      <c r="I20" s="1516" t="s">
        <v>1389</v>
      </c>
      <c r="J20" s="1516" t="s">
        <v>1390</v>
      </c>
      <c r="K20" s="1516" t="s">
        <v>1391</v>
      </c>
      <c r="L20" s="1516" t="s">
        <v>1392</v>
      </c>
      <c r="M20" s="1516" t="s">
        <v>1393</v>
      </c>
      <c r="N20" s="1516" t="s">
        <v>1394</v>
      </c>
      <c r="O20" s="1516" t="s">
        <v>1395</v>
      </c>
      <c r="P20" s="1516" t="s">
        <v>1396</v>
      </c>
      <c r="Q20" s="1516" t="s">
        <v>1397</v>
      </c>
      <c r="R20" s="1516" t="s">
        <v>1398</v>
      </c>
    </row>
    <row r="21" spans="1:18" ht="14.25" customHeight="1" thickBot="1">
      <c r="A21" s="1522" t="s">
        <v>1285</v>
      </c>
      <c r="B21" s="1526" t="s">
        <v>1317</v>
      </c>
      <c r="C21" s="1516">
        <v>24720</v>
      </c>
      <c r="D21" s="1516">
        <v>21670</v>
      </c>
      <c r="E21" s="1516">
        <v>21510</v>
      </c>
      <c r="F21" s="1531"/>
      <c r="J21" s="1516" t="s">
        <v>1399</v>
      </c>
      <c r="K21" s="1516" t="s">
        <v>1400</v>
      </c>
      <c r="L21" s="1516" t="s">
        <v>1401</v>
      </c>
      <c r="M21" s="1516" t="s">
        <v>1402</v>
      </c>
      <c r="N21" s="1516" t="s">
        <v>1403</v>
      </c>
      <c r="O21" s="1516" t="s">
        <v>1404</v>
      </c>
      <c r="P21" s="1516" t="s">
        <v>1405</v>
      </c>
      <c r="Q21" s="1516" t="s">
        <v>1406</v>
      </c>
      <c r="R21" s="1516" t="s">
        <v>1407</v>
      </c>
    </row>
    <row r="22" spans="1:18" ht="14.25" customHeight="1" thickBot="1">
      <c r="A22" s="1522" t="s">
        <v>1285</v>
      </c>
      <c r="B22" s="1526" t="s">
        <v>1408</v>
      </c>
      <c r="C22" s="1516">
        <v>26530</v>
      </c>
      <c r="D22" s="1516">
        <v>22980</v>
      </c>
      <c r="E22" s="1516">
        <v>22650</v>
      </c>
      <c r="F22" s="1531"/>
      <c r="K22" s="1516" t="s">
        <v>1409</v>
      </c>
      <c r="L22" s="1516" t="s">
        <v>1410</v>
      </c>
      <c r="M22" s="1516" t="s">
        <v>1411</v>
      </c>
      <c r="N22" s="1516" t="s">
        <v>1412</v>
      </c>
      <c r="O22" s="1516" t="s">
        <v>1413</v>
      </c>
      <c r="P22" s="1516" t="s">
        <v>1414</v>
      </c>
      <c r="Q22" s="1516" t="s">
        <v>1415</v>
      </c>
      <c r="R22" s="1526" t="s">
        <v>1416</v>
      </c>
    </row>
    <row r="23" spans="1:18" ht="14.25" customHeight="1" thickBot="1">
      <c r="A23" s="1522" t="s">
        <v>1285</v>
      </c>
      <c r="B23" s="1526" t="s">
        <v>1338</v>
      </c>
      <c r="C23" s="1516">
        <v>24700</v>
      </c>
      <c r="D23" s="1516">
        <v>27290</v>
      </c>
      <c r="E23" s="1516">
        <v>26710</v>
      </c>
      <c r="F23" s="1531"/>
      <c r="K23" s="1516" t="s">
        <v>1417</v>
      </c>
      <c r="L23" s="1516" t="s">
        <v>1418</v>
      </c>
      <c r="M23" s="1516" t="s">
        <v>1419</v>
      </c>
      <c r="N23" s="1516" t="s">
        <v>1420</v>
      </c>
      <c r="O23" s="1516" t="s">
        <v>1421</v>
      </c>
      <c r="P23" s="1516" t="s">
        <v>1422</v>
      </c>
      <c r="Q23" s="1516" t="s">
        <v>1423</v>
      </c>
    </row>
    <row r="24" spans="1:18" ht="14.25" customHeight="1" thickBot="1">
      <c r="A24" s="1522" t="s">
        <v>1285</v>
      </c>
      <c r="B24" s="1526" t="s">
        <v>1349</v>
      </c>
      <c r="C24" s="1516">
        <v>23070</v>
      </c>
      <c r="D24" s="1516">
        <v>24130</v>
      </c>
      <c r="E24" s="1516">
        <v>23860</v>
      </c>
      <c r="F24" s="1531"/>
      <c r="K24" s="1516" t="s">
        <v>1424</v>
      </c>
      <c r="L24" s="1516" t="s">
        <v>1425</v>
      </c>
      <c r="M24" s="1516" t="s">
        <v>1426</v>
      </c>
      <c r="N24" s="1516" t="s">
        <v>1427</v>
      </c>
      <c r="O24" s="1516" t="s">
        <v>1428</v>
      </c>
      <c r="P24" s="1516" t="s">
        <v>1429</v>
      </c>
      <c r="Q24" s="1516" t="s">
        <v>1430</v>
      </c>
    </row>
    <row r="25" spans="1:18" ht="14.25" customHeight="1" thickBot="1">
      <c r="A25" s="1522" t="s">
        <v>1285</v>
      </c>
      <c r="B25" s="1526" t="s">
        <v>1359</v>
      </c>
      <c r="C25" s="1516">
        <v>27550</v>
      </c>
      <c r="D25" s="1516">
        <v>25850</v>
      </c>
      <c r="E25" s="1516">
        <v>25340</v>
      </c>
      <c r="F25" s="1531"/>
      <c r="K25" s="1516" t="s">
        <v>1431</v>
      </c>
      <c r="L25" s="1516" t="s">
        <v>1432</v>
      </c>
      <c r="M25" s="1516" t="s">
        <v>1433</v>
      </c>
      <c r="N25" s="1516" t="s">
        <v>1434</v>
      </c>
      <c r="O25" s="1516" t="s">
        <v>1435</v>
      </c>
      <c r="P25" s="1516" t="s">
        <v>1436</v>
      </c>
      <c r="Q25" s="1516" t="s">
        <v>1437</v>
      </c>
    </row>
    <row r="26" spans="1:18" ht="14.25" customHeight="1" thickBot="1">
      <c r="A26" s="1522" t="s">
        <v>1285</v>
      </c>
      <c r="B26" s="1526" t="s">
        <v>1369</v>
      </c>
      <c r="C26" s="1516"/>
      <c r="D26" s="1516">
        <v>23900</v>
      </c>
      <c r="E26" s="1516">
        <v>23590</v>
      </c>
      <c r="F26" s="1531"/>
      <c r="K26" s="1516" t="s">
        <v>1438</v>
      </c>
      <c r="L26" s="1516" t="s">
        <v>1439</v>
      </c>
      <c r="M26" s="1516" t="s">
        <v>1440</v>
      </c>
      <c r="N26" s="1516" t="s">
        <v>1441</v>
      </c>
      <c r="O26" s="1516" t="s">
        <v>1442</v>
      </c>
      <c r="P26" s="1516" t="s">
        <v>1443</v>
      </c>
      <c r="Q26" s="1516" t="s">
        <v>1444</v>
      </c>
    </row>
    <row r="27" spans="1:18" ht="14.25" customHeight="1" thickBot="1">
      <c r="A27" s="1522" t="s">
        <v>1285</v>
      </c>
      <c r="B27" s="1526" t="s">
        <v>1379</v>
      </c>
      <c r="C27" s="1516"/>
      <c r="D27" s="1516">
        <v>22850</v>
      </c>
      <c r="E27" s="1516">
        <v>21920</v>
      </c>
      <c r="F27" s="1531"/>
      <c r="K27" s="1516" t="s">
        <v>1445</v>
      </c>
      <c r="L27" s="1516" t="s">
        <v>1446</v>
      </c>
      <c r="M27" s="1516" t="s">
        <v>1447</v>
      </c>
      <c r="N27" s="1516" t="s">
        <v>1448</v>
      </c>
      <c r="O27" s="1516" t="s">
        <v>1449</v>
      </c>
      <c r="P27" s="1516" t="s">
        <v>1450</v>
      </c>
      <c r="Q27" s="1516" t="s">
        <v>1451</v>
      </c>
    </row>
    <row r="28" spans="1:18" ht="14.25" customHeight="1" thickBot="1">
      <c r="A28" s="1532" t="s">
        <v>1285</v>
      </c>
      <c r="B28" s="1527" t="s">
        <v>1389</v>
      </c>
      <c r="C28" s="1528"/>
      <c r="D28" s="1528">
        <v>26610</v>
      </c>
      <c r="E28" s="1528">
        <v>26370</v>
      </c>
      <c r="F28" s="1529"/>
      <c r="K28" s="1516" t="s">
        <v>1452</v>
      </c>
      <c r="L28" s="1516" t="s">
        <v>1453</v>
      </c>
      <c r="M28" s="1516" t="s">
        <v>1454</v>
      </c>
      <c r="N28" s="1516" t="s">
        <v>1455</v>
      </c>
      <c r="O28" s="1516" t="s">
        <v>1456</v>
      </c>
      <c r="P28" s="1516" t="s">
        <v>1457</v>
      </c>
    </row>
    <row r="29" spans="1:18" ht="14.25" customHeight="1" thickBot="1">
      <c r="A29" s="1522" t="s">
        <v>1458</v>
      </c>
      <c r="B29" s="1523" t="s">
        <v>1459</v>
      </c>
      <c r="C29" s="1523">
        <v>22090</v>
      </c>
      <c r="D29" s="1523">
        <v>21860</v>
      </c>
      <c r="E29" s="1523">
        <v>19380</v>
      </c>
      <c r="F29" s="1524">
        <v>6610</v>
      </c>
      <c r="L29" s="1516" t="s">
        <v>1460</v>
      </c>
      <c r="M29" s="1516" t="s">
        <v>1461</v>
      </c>
      <c r="N29" s="1516" t="s">
        <v>1462</v>
      </c>
      <c r="O29" s="1516" t="s">
        <v>1463</v>
      </c>
      <c r="P29" s="1516" t="s">
        <v>1464</v>
      </c>
    </row>
    <row r="30" spans="1:18" ht="14.25" customHeight="1" thickBot="1">
      <c r="A30" s="1522" t="s">
        <v>1458</v>
      </c>
      <c r="B30" s="1526" t="s">
        <v>1205</v>
      </c>
      <c r="C30" s="1516">
        <v>21380</v>
      </c>
      <c r="D30" s="1516">
        <v>19930</v>
      </c>
      <c r="E30" s="1516">
        <v>19860</v>
      </c>
      <c r="F30" s="1530">
        <v>6010</v>
      </c>
      <c r="L30" s="1516" t="s">
        <v>1465</v>
      </c>
      <c r="M30" s="1516" t="s">
        <v>1466</v>
      </c>
      <c r="N30" s="1516" t="s">
        <v>1467</v>
      </c>
      <c r="O30" s="1516" t="s">
        <v>2504</v>
      </c>
      <c r="P30" s="1516" t="s">
        <v>1468</v>
      </c>
    </row>
    <row r="31" spans="1:18" ht="14.25" customHeight="1" thickBot="1">
      <c r="A31" s="1522" t="s">
        <v>1458</v>
      </c>
      <c r="B31" s="1526" t="s">
        <v>1218</v>
      </c>
      <c r="C31" s="1516">
        <v>21670</v>
      </c>
      <c r="D31" s="1516">
        <v>20660</v>
      </c>
      <c r="E31" s="1516">
        <v>20290</v>
      </c>
      <c r="F31" s="1530">
        <v>5840</v>
      </c>
      <c r="L31" s="1516" t="s">
        <v>1469</v>
      </c>
      <c r="M31" s="1516" t="s">
        <v>1470</v>
      </c>
      <c r="N31" s="1516" t="s">
        <v>1471</v>
      </c>
      <c r="O31" s="1516" t="s">
        <v>1472</v>
      </c>
      <c r="P31" s="1516" t="s">
        <v>1473</v>
      </c>
    </row>
    <row r="32" spans="1:18" ht="14.25" customHeight="1" thickBot="1">
      <c r="A32" s="1522" t="s">
        <v>1458</v>
      </c>
      <c r="B32" s="1526" t="s">
        <v>1231</v>
      </c>
      <c r="C32" s="1516">
        <v>22280</v>
      </c>
      <c r="D32" s="1516">
        <v>21800</v>
      </c>
      <c r="E32" s="1516">
        <v>17650</v>
      </c>
      <c r="F32" s="1530">
        <v>4690</v>
      </c>
      <c r="L32" s="1516" t="s">
        <v>1474</v>
      </c>
      <c r="M32" s="1516" t="s">
        <v>1475</v>
      </c>
      <c r="N32" s="1516" t="s">
        <v>1476</v>
      </c>
      <c r="O32" s="1516" t="s">
        <v>1477</v>
      </c>
      <c r="P32" s="1516" t="s">
        <v>1478</v>
      </c>
    </row>
    <row r="33" spans="1:16" ht="14.25" customHeight="1" thickBot="1">
      <c r="A33" s="1522" t="s">
        <v>1458</v>
      </c>
      <c r="B33" s="1526" t="s">
        <v>1243</v>
      </c>
      <c r="C33" s="1516">
        <v>22130</v>
      </c>
      <c r="D33" s="1516">
        <v>20460</v>
      </c>
      <c r="E33" s="1516">
        <v>18500</v>
      </c>
      <c r="F33" s="1530">
        <v>5340</v>
      </c>
      <c r="L33" s="1516" t="s">
        <v>1479</v>
      </c>
      <c r="M33" s="1516" t="s">
        <v>1480</v>
      </c>
      <c r="N33" s="1516" t="s">
        <v>1481</v>
      </c>
      <c r="O33" s="1516" t="s">
        <v>1482</v>
      </c>
      <c r="P33" s="1516" t="s">
        <v>1483</v>
      </c>
    </row>
    <row r="34" spans="1:16" ht="14.25" customHeight="1" thickBot="1">
      <c r="A34" s="1522" t="s">
        <v>1458</v>
      </c>
      <c r="B34" s="1526" t="s">
        <v>1254</v>
      </c>
      <c r="C34" s="1516">
        <v>22070</v>
      </c>
      <c r="D34" s="1516">
        <v>20110</v>
      </c>
      <c r="E34" s="1516">
        <v>18830</v>
      </c>
      <c r="F34" s="1530">
        <v>5190</v>
      </c>
      <c r="L34" s="1516" t="s">
        <v>1484</v>
      </c>
      <c r="M34" s="1516" t="s">
        <v>1485</v>
      </c>
      <c r="N34" s="1516" t="s">
        <v>1486</v>
      </c>
      <c r="O34" s="1516" t="s">
        <v>1487</v>
      </c>
      <c r="P34" s="1516" t="s">
        <v>1488</v>
      </c>
    </row>
    <row r="35" spans="1:16" ht="14.25" customHeight="1" thickBot="1">
      <c r="A35" s="1522" t="s">
        <v>1458</v>
      </c>
      <c r="B35" s="1526" t="s">
        <v>1265</v>
      </c>
      <c r="C35" s="1516">
        <v>22240</v>
      </c>
      <c r="D35" s="1516">
        <v>19550</v>
      </c>
      <c r="E35" s="1516">
        <v>19220</v>
      </c>
      <c r="F35" s="1530">
        <v>5800</v>
      </c>
      <c r="L35" s="1516" t="s">
        <v>1489</v>
      </c>
      <c r="M35" s="1516" t="s">
        <v>1490</v>
      </c>
      <c r="N35" s="1516" t="s">
        <v>1491</v>
      </c>
      <c r="O35" s="1516" t="s">
        <v>1492</v>
      </c>
      <c r="P35" s="1516" t="s">
        <v>1493</v>
      </c>
    </row>
    <row r="36" spans="1:16" ht="14.25" customHeight="1" thickBot="1">
      <c r="A36" s="1522" t="s">
        <v>1458</v>
      </c>
      <c r="B36" s="1526" t="s">
        <v>1276</v>
      </c>
      <c r="C36" s="1516">
        <v>19750</v>
      </c>
      <c r="D36" s="1516">
        <v>19790</v>
      </c>
      <c r="E36" s="1516">
        <v>18510</v>
      </c>
      <c r="F36" s="1530">
        <v>6520</v>
      </c>
      <c r="M36" s="1516" t="s">
        <v>1494</v>
      </c>
      <c r="N36" s="1516" t="s">
        <v>1495</v>
      </c>
      <c r="O36" s="1516" t="s">
        <v>1496</v>
      </c>
      <c r="P36" s="1516" t="s">
        <v>1497</v>
      </c>
    </row>
    <row r="37" spans="1:16" ht="14.25" customHeight="1" thickBot="1">
      <c r="A37" s="1522" t="s">
        <v>1458</v>
      </c>
      <c r="B37" s="1526" t="s">
        <v>1288</v>
      </c>
      <c r="C37" s="1516">
        <v>22380</v>
      </c>
      <c r="D37" s="1516">
        <v>18530</v>
      </c>
      <c r="E37" s="1516">
        <v>17930</v>
      </c>
      <c r="F37" s="1530">
        <v>6270</v>
      </c>
      <c r="M37" s="1516" t="s">
        <v>1498</v>
      </c>
      <c r="N37" s="1516" t="s">
        <v>1499</v>
      </c>
      <c r="O37" s="1516" t="s">
        <v>1500</v>
      </c>
      <c r="P37" s="1516" t="s">
        <v>1501</v>
      </c>
    </row>
    <row r="38" spans="1:16" ht="14.25" customHeight="1" thickBot="1">
      <c r="A38" s="1522" t="s">
        <v>1458</v>
      </c>
      <c r="B38" s="1526" t="s">
        <v>1298</v>
      </c>
      <c r="C38" s="1516">
        <v>20200</v>
      </c>
      <c r="D38" s="1516">
        <v>20070</v>
      </c>
      <c r="E38" s="1516">
        <v>19950</v>
      </c>
      <c r="F38" s="1530"/>
      <c r="M38" s="1516" t="s">
        <v>1502</v>
      </c>
      <c r="N38" s="1516" t="s">
        <v>1503</v>
      </c>
      <c r="O38" s="1516" t="s">
        <v>1504</v>
      </c>
      <c r="P38" s="1516" t="s">
        <v>1505</v>
      </c>
    </row>
    <row r="39" spans="1:16" ht="14.25" customHeight="1" thickBot="1">
      <c r="A39" s="1522" t="s">
        <v>1458</v>
      </c>
      <c r="B39" s="1526" t="s">
        <v>1308</v>
      </c>
      <c r="C39" s="1516">
        <v>19300</v>
      </c>
      <c r="D39" s="1516">
        <v>20360</v>
      </c>
      <c r="E39" s="1516">
        <v>20230</v>
      </c>
      <c r="F39" s="1530"/>
      <c r="M39" s="1516" t="s">
        <v>1506</v>
      </c>
      <c r="N39" s="1516" t="s">
        <v>1507</v>
      </c>
      <c r="O39" s="1516" t="s">
        <v>1508</v>
      </c>
      <c r="P39" s="1516" t="s">
        <v>1509</v>
      </c>
    </row>
    <row r="40" spans="1:16" ht="14.25" customHeight="1" thickBot="1">
      <c r="A40" s="1522" t="s">
        <v>1458</v>
      </c>
      <c r="B40" s="1526" t="s">
        <v>1318</v>
      </c>
      <c r="C40" s="1516">
        <v>20210</v>
      </c>
      <c r="D40" s="1516">
        <v>19060</v>
      </c>
      <c r="E40" s="1516">
        <v>18890</v>
      </c>
      <c r="F40" s="1530"/>
      <c r="M40" s="1516" t="s">
        <v>1510</v>
      </c>
      <c r="N40" s="1516" t="s">
        <v>1511</v>
      </c>
      <c r="O40" s="1516" t="s">
        <v>1512</v>
      </c>
      <c r="P40" s="1516" t="s">
        <v>1513</v>
      </c>
    </row>
    <row r="41" spans="1:16" ht="14.25" customHeight="1" thickBot="1">
      <c r="A41" s="1522" t="s">
        <v>1458</v>
      </c>
      <c r="B41" s="1526" t="s">
        <v>1328</v>
      </c>
      <c r="C41" s="1516">
        <v>20560</v>
      </c>
      <c r="D41" s="1516">
        <v>21040</v>
      </c>
      <c r="E41" s="1516">
        <v>20740</v>
      </c>
      <c r="F41" s="1530"/>
      <c r="M41" s="1526" t="s">
        <v>1514</v>
      </c>
      <c r="N41" s="1526" t="s">
        <v>1515</v>
      </c>
      <c r="P41" s="1526" t="s">
        <v>1516</v>
      </c>
    </row>
    <row r="42" spans="1:16" ht="14.25" customHeight="1" thickBot="1">
      <c r="A42" s="1522" t="s">
        <v>1458</v>
      </c>
      <c r="B42" s="1526" t="s">
        <v>1339</v>
      </c>
      <c r="C42" s="1516">
        <v>19280</v>
      </c>
      <c r="D42" s="1516">
        <v>22940</v>
      </c>
      <c r="E42" s="1516">
        <v>22500</v>
      </c>
      <c r="F42" s="1530"/>
      <c r="M42" s="1516" t="s">
        <v>1517</v>
      </c>
      <c r="N42" s="1516" t="s">
        <v>1518</v>
      </c>
      <c r="P42" s="1516" t="s">
        <v>1519</v>
      </c>
    </row>
    <row r="43" spans="1:16" ht="14.25" customHeight="1" thickBot="1">
      <c r="A43" s="1522" t="s">
        <v>1458</v>
      </c>
      <c r="B43" s="1526" t="s">
        <v>1350</v>
      </c>
      <c r="C43" s="1516">
        <v>21520</v>
      </c>
      <c r="D43" s="1516">
        <v>19230</v>
      </c>
      <c r="E43" s="1516">
        <v>18540</v>
      </c>
      <c r="F43" s="1530"/>
      <c r="M43" s="1516" t="s">
        <v>1520</v>
      </c>
      <c r="N43" s="1516" t="s">
        <v>1521</v>
      </c>
      <c r="P43" s="1516" t="s">
        <v>1522</v>
      </c>
    </row>
    <row r="44" spans="1:16" ht="14.25" customHeight="1" thickBot="1">
      <c r="A44" s="1522" t="s">
        <v>1458</v>
      </c>
      <c r="B44" s="1526" t="s">
        <v>1360</v>
      </c>
      <c r="C44" s="1516">
        <v>23260</v>
      </c>
      <c r="D44" s="1516">
        <v>21180</v>
      </c>
      <c r="E44" s="1516">
        <v>20730</v>
      </c>
      <c r="F44" s="1530"/>
      <c r="M44" s="1516" t="s">
        <v>1523</v>
      </c>
      <c r="N44" s="1516" t="s">
        <v>1524</v>
      </c>
      <c r="P44" s="1516" t="s">
        <v>1525</v>
      </c>
    </row>
    <row r="45" spans="1:16" ht="14.25" customHeight="1" thickBot="1">
      <c r="A45" s="1522" t="s">
        <v>1458</v>
      </c>
      <c r="B45" s="1526" t="s">
        <v>1370</v>
      </c>
      <c r="C45" s="1516">
        <v>19610</v>
      </c>
      <c r="D45" s="1516">
        <v>18090</v>
      </c>
      <c r="E45" s="1516">
        <v>17970</v>
      </c>
      <c r="F45" s="1530"/>
      <c r="M45" s="1516" t="s">
        <v>1526</v>
      </c>
      <c r="N45" s="1516" t="s">
        <v>1527</v>
      </c>
      <c r="P45" s="1516" t="s">
        <v>1528</v>
      </c>
    </row>
    <row r="46" spans="1:16" ht="14.25" customHeight="1" thickBot="1">
      <c r="A46" s="1522" t="s">
        <v>1458</v>
      </c>
      <c r="B46" s="1526" t="s">
        <v>1380</v>
      </c>
      <c r="C46" s="1516">
        <v>21660</v>
      </c>
      <c r="D46" s="1516">
        <v>19190</v>
      </c>
      <c r="E46" s="1516">
        <v>19790</v>
      </c>
      <c r="F46" s="1530"/>
      <c r="M46" s="1516" t="s">
        <v>1529</v>
      </c>
      <c r="N46" s="1516" t="s">
        <v>1530</v>
      </c>
      <c r="P46" s="1516" t="s">
        <v>1531</v>
      </c>
    </row>
    <row r="47" spans="1:16" ht="14.25" customHeight="1" thickBot="1">
      <c r="A47" s="1522" t="s">
        <v>1458</v>
      </c>
      <c r="B47" s="1526" t="s">
        <v>1390</v>
      </c>
      <c r="C47" s="1516">
        <v>18220</v>
      </c>
      <c r="D47" s="1516"/>
      <c r="E47" s="1516">
        <v>17220</v>
      </c>
      <c r="F47" s="1530"/>
      <c r="M47" s="1516" t="s">
        <v>1532</v>
      </c>
      <c r="N47" s="1516" t="s">
        <v>1533</v>
      </c>
    </row>
    <row r="48" spans="1:16" ht="14.25" customHeight="1" thickBot="1">
      <c r="A48" s="1522" t="s">
        <v>1458</v>
      </c>
      <c r="B48" s="1527" t="s">
        <v>1399</v>
      </c>
      <c r="C48" s="1528">
        <v>19430</v>
      </c>
      <c r="D48" s="1528"/>
      <c r="E48" s="1528">
        <v>17830</v>
      </c>
      <c r="F48" s="1533"/>
      <c r="M48" s="1516" t="s">
        <v>1534</v>
      </c>
      <c r="N48" s="1516" t="s">
        <v>1535</v>
      </c>
    </row>
    <row r="49" spans="1:14" ht="14.25" customHeight="1" thickBot="1">
      <c r="A49" s="1522" t="s">
        <v>1139</v>
      </c>
      <c r="B49" s="1523" t="s">
        <v>1536</v>
      </c>
      <c r="C49" s="1523">
        <v>17090</v>
      </c>
      <c r="D49" s="1523">
        <v>16950</v>
      </c>
      <c r="E49" s="1523">
        <v>16310</v>
      </c>
      <c r="F49" s="1524">
        <v>4540</v>
      </c>
      <c r="M49" s="1516" t="s">
        <v>1537</v>
      </c>
      <c r="N49" s="1516" t="s">
        <v>1538</v>
      </c>
    </row>
    <row r="50" spans="1:14" ht="14.25" customHeight="1" thickBot="1">
      <c r="A50" s="1522" t="s">
        <v>1139</v>
      </c>
      <c r="B50" s="1516" t="s">
        <v>1206</v>
      </c>
      <c r="C50" s="1516">
        <v>19040</v>
      </c>
      <c r="D50" s="1516">
        <v>16960</v>
      </c>
      <c r="E50" s="1516">
        <v>14800</v>
      </c>
      <c r="F50" s="1530">
        <v>3940</v>
      </c>
    </row>
    <row r="51" spans="1:14" ht="14.25" customHeight="1" thickBot="1">
      <c r="A51" s="1522" t="s">
        <v>1139</v>
      </c>
      <c r="B51" s="1516" t="s">
        <v>1219</v>
      </c>
      <c r="C51" s="1516">
        <v>17040</v>
      </c>
      <c r="D51" s="1516">
        <v>16930</v>
      </c>
      <c r="E51" s="1516">
        <v>15030</v>
      </c>
      <c r="F51" s="1530">
        <v>4120</v>
      </c>
    </row>
    <row r="52" spans="1:14" ht="14.25" customHeight="1" thickBot="1">
      <c r="A52" s="1522" t="s">
        <v>1139</v>
      </c>
      <c r="B52" s="1516" t="s">
        <v>1232</v>
      </c>
      <c r="C52" s="1516">
        <v>17110</v>
      </c>
      <c r="D52" s="1516">
        <v>17750</v>
      </c>
      <c r="E52" s="1516">
        <v>17310</v>
      </c>
      <c r="F52" s="1530">
        <v>3220</v>
      </c>
    </row>
    <row r="53" spans="1:14" ht="14.25" customHeight="1" thickBot="1">
      <c r="A53" s="1522" t="s">
        <v>1139</v>
      </c>
      <c r="B53" s="1516" t="s">
        <v>1244</v>
      </c>
      <c r="C53" s="1516">
        <v>17810</v>
      </c>
      <c r="D53" s="1516">
        <v>17260</v>
      </c>
      <c r="E53" s="1516">
        <v>17090</v>
      </c>
      <c r="F53" s="1530">
        <v>3520</v>
      </c>
    </row>
    <row r="54" spans="1:14" ht="14.25" customHeight="1" thickBot="1">
      <c r="A54" s="1522" t="s">
        <v>1139</v>
      </c>
      <c r="B54" s="1516" t="s">
        <v>1255</v>
      </c>
      <c r="C54" s="1516">
        <v>17410</v>
      </c>
      <c r="D54" s="1516">
        <v>16780</v>
      </c>
      <c r="E54" s="1516">
        <v>16370</v>
      </c>
      <c r="F54" s="1530">
        <v>3410</v>
      </c>
    </row>
    <row r="55" spans="1:14" ht="14.25" customHeight="1" thickBot="1">
      <c r="A55" s="1522" t="s">
        <v>1139</v>
      </c>
      <c r="B55" s="1516" t="s">
        <v>1266</v>
      </c>
      <c r="C55" s="1516">
        <v>16930</v>
      </c>
      <c r="D55" s="1516">
        <v>14720</v>
      </c>
      <c r="E55" s="1516">
        <v>15000</v>
      </c>
      <c r="F55" s="1530">
        <v>3710</v>
      </c>
    </row>
    <row r="56" spans="1:14" ht="14.25" customHeight="1" thickBot="1">
      <c r="A56" s="1522" t="s">
        <v>1139</v>
      </c>
      <c r="B56" s="1516" t="s">
        <v>1277</v>
      </c>
      <c r="C56" s="1516">
        <v>14930</v>
      </c>
      <c r="D56" s="1516">
        <v>15850</v>
      </c>
      <c r="E56" s="1516">
        <v>14320</v>
      </c>
      <c r="F56" s="1530">
        <v>3960</v>
      </c>
    </row>
    <row r="57" spans="1:14" ht="14.25" customHeight="1" thickBot="1">
      <c r="A57" s="1522" t="s">
        <v>1139</v>
      </c>
      <c r="B57" s="1516" t="s">
        <v>1289</v>
      </c>
      <c r="C57" s="1516">
        <v>16160</v>
      </c>
      <c r="D57" s="1516">
        <v>16190</v>
      </c>
      <c r="E57" s="1516">
        <v>15650</v>
      </c>
      <c r="F57" s="1530">
        <v>4200</v>
      </c>
    </row>
    <row r="58" spans="1:14" ht="14.25" customHeight="1" thickBot="1">
      <c r="A58" s="1522" t="s">
        <v>1139</v>
      </c>
      <c r="B58" s="1516" t="s">
        <v>1299</v>
      </c>
      <c r="C58" s="1516">
        <v>16360</v>
      </c>
      <c r="D58" s="1516">
        <v>14050</v>
      </c>
      <c r="E58" s="1516">
        <v>16070</v>
      </c>
      <c r="F58" s="1530">
        <v>3990</v>
      </c>
    </row>
    <row r="59" spans="1:14" ht="14.25" customHeight="1" thickBot="1">
      <c r="A59" s="1522" t="s">
        <v>1139</v>
      </c>
      <c r="B59" s="1516" t="s">
        <v>1309</v>
      </c>
      <c r="C59" s="1516">
        <v>14160</v>
      </c>
      <c r="D59" s="1516">
        <v>16620</v>
      </c>
      <c r="E59" s="1516">
        <v>13940</v>
      </c>
      <c r="F59" s="1530">
        <v>4260</v>
      </c>
    </row>
    <row r="60" spans="1:14" ht="14.25" customHeight="1" thickBot="1">
      <c r="A60" s="1522" t="s">
        <v>1139</v>
      </c>
      <c r="B60" s="1516" t="s">
        <v>1319</v>
      </c>
      <c r="C60" s="1516">
        <v>16750</v>
      </c>
      <c r="D60" s="1516">
        <v>13910</v>
      </c>
      <c r="E60" s="1516">
        <v>16550</v>
      </c>
      <c r="F60" s="1530">
        <v>4550</v>
      </c>
    </row>
    <row r="61" spans="1:14" ht="14.25" customHeight="1" thickBot="1">
      <c r="A61" s="1522" t="s">
        <v>1139</v>
      </c>
      <c r="B61" s="1516" t="s">
        <v>1329</v>
      </c>
      <c r="C61" s="1516">
        <v>14000</v>
      </c>
      <c r="D61" s="1516">
        <v>14550</v>
      </c>
      <c r="E61" s="1516">
        <v>13860</v>
      </c>
      <c r="F61" s="1534"/>
    </row>
    <row r="62" spans="1:14" ht="14.25" customHeight="1" thickBot="1">
      <c r="A62" s="1522" t="s">
        <v>1139</v>
      </c>
      <c r="B62" s="1516" t="s">
        <v>1340</v>
      </c>
      <c r="C62" s="1516">
        <v>14660</v>
      </c>
      <c r="D62" s="1516">
        <v>17450</v>
      </c>
      <c r="E62" s="1516">
        <v>14470</v>
      </c>
      <c r="F62" s="1534"/>
    </row>
    <row r="63" spans="1:14" ht="14.25" customHeight="1" thickBot="1">
      <c r="A63" s="1522" t="s">
        <v>1139</v>
      </c>
      <c r="B63" s="1516" t="s">
        <v>1351</v>
      </c>
      <c r="C63" s="1516">
        <v>17610</v>
      </c>
      <c r="D63" s="1516">
        <v>16500</v>
      </c>
      <c r="E63" s="1516">
        <v>17330</v>
      </c>
      <c r="F63" s="1534"/>
    </row>
    <row r="64" spans="1:14" ht="14.25" customHeight="1" thickBot="1">
      <c r="A64" s="1522" t="s">
        <v>1139</v>
      </c>
      <c r="B64" s="1516" t="s">
        <v>1361</v>
      </c>
      <c r="C64" s="1516">
        <v>16590</v>
      </c>
      <c r="D64" s="1516">
        <v>15130</v>
      </c>
      <c r="E64" s="1516">
        <v>16420</v>
      </c>
      <c r="F64" s="1534"/>
    </row>
    <row r="65" spans="1:6" s="1510" customFormat="1" ht="14.25" customHeight="1" thickBot="1">
      <c r="A65" s="1522" t="s">
        <v>1139</v>
      </c>
      <c r="B65" s="1516" t="s">
        <v>1371</v>
      </c>
      <c r="C65" s="1516">
        <v>15220</v>
      </c>
      <c r="D65" s="1516">
        <v>14660</v>
      </c>
      <c r="E65" s="1516">
        <v>15060</v>
      </c>
      <c r="F65" s="1530"/>
    </row>
    <row r="66" spans="1:6" s="1510" customFormat="1" ht="14.25" customHeight="1" thickBot="1">
      <c r="A66" s="1522" t="s">
        <v>1139</v>
      </c>
      <c r="B66" s="1516" t="s">
        <v>1381</v>
      </c>
      <c r="C66" s="1516">
        <v>14720</v>
      </c>
      <c r="D66" s="1516">
        <v>15970</v>
      </c>
      <c r="E66" s="1516">
        <v>14610</v>
      </c>
      <c r="F66" s="1530"/>
    </row>
    <row r="67" spans="1:6" s="1510" customFormat="1" ht="14.25" customHeight="1" thickBot="1">
      <c r="A67" s="1522" t="s">
        <v>1139</v>
      </c>
      <c r="B67" s="1516" t="s">
        <v>1391</v>
      </c>
      <c r="C67" s="1516">
        <v>16080</v>
      </c>
      <c r="D67" s="1516">
        <v>14840</v>
      </c>
      <c r="E67" s="1516">
        <v>15630</v>
      </c>
      <c r="F67" s="1530"/>
    </row>
    <row r="68" spans="1:6" s="1510" customFormat="1" ht="14.25" customHeight="1" thickBot="1">
      <c r="A68" s="1522" t="s">
        <v>1139</v>
      </c>
      <c r="B68" s="1516" t="s">
        <v>1400</v>
      </c>
      <c r="C68" s="1516">
        <v>14940</v>
      </c>
      <c r="D68" s="1516">
        <v>18000</v>
      </c>
      <c r="E68" s="1516">
        <v>14040</v>
      </c>
      <c r="F68" s="1530"/>
    </row>
    <row r="69" spans="1:6" s="1510" customFormat="1" ht="14.25" customHeight="1" thickBot="1">
      <c r="A69" s="1522" t="s">
        <v>1139</v>
      </c>
      <c r="B69" s="1516" t="s">
        <v>1409</v>
      </c>
      <c r="C69" s="1516">
        <v>18810</v>
      </c>
      <c r="D69" s="1516">
        <v>15100</v>
      </c>
      <c r="E69" s="1516">
        <v>14710</v>
      </c>
      <c r="F69" s="1530"/>
    </row>
    <row r="70" spans="1:6" s="1510" customFormat="1" ht="14.25" customHeight="1" thickBot="1">
      <c r="A70" s="1522" t="s">
        <v>1139</v>
      </c>
      <c r="B70" s="1516" t="s">
        <v>1417</v>
      </c>
      <c r="C70" s="1516">
        <v>18270</v>
      </c>
      <c r="D70" s="1516"/>
      <c r="E70" s="1516"/>
      <c r="F70" s="1530"/>
    </row>
    <row r="71" spans="1:6" s="1510" customFormat="1" ht="14.25" customHeight="1" thickBot="1">
      <c r="A71" s="1522" t="s">
        <v>1139</v>
      </c>
      <c r="B71" s="1516" t="s">
        <v>1424</v>
      </c>
      <c r="C71" s="1516">
        <v>15230</v>
      </c>
      <c r="D71" s="1516"/>
      <c r="E71" s="1516"/>
      <c r="F71" s="1530"/>
    </row>
    <row r="72" spans="1:6" s="1510" customFormat="1" ht="14.25" customHeight="1" thickBot="1">
      <c r="A72" s="1522" t="s">
        <v>1139</v>
      </c>
      <c r="B72" s="1516" t="s">
        <v>1431</v>
      </c>
      <c r="C72" s="1516"/>
      <c r="D72" s="1516"/>
      <c r="E72" s="1516"/>
      <c r="F72" s="1530">
        <v>4120</v>
      </c>
    </row>
    <row r="73" spans="1:6" s="1510" customFormat="1" ht="14.25" customHeight="1" thickBot="1">
      <c r="A73" s="1522" t="s">
        <v>1139</v>
      </c>
      <c r="B73" s="1516" t="s">
        <v>1438</v>
      </c>
      <c r="C73" s="1516"/>
      <c r="D73" s="1516"/>
      <c r="E73" s="1516"/>
      <c r="F73" s="1530">
        <v>3930</v>
      </c>
    </row>
    <row r="74" spans="1:6" s="1510" customFormat="1" ht="14.25" customHeight="1" thickBot="1">
      <c r="A74" s="1522" t="s">
        <v>1139</v>
      </c>
      <c r="B74" s="1516" t="s">
        <v>1445</v>
      </c>
      <c r="C74" s="1516"/>
      <c r="D74" s="1516"/>
      <c r="E74" s="1516"/>
      <c r="F74" s="1530">
        <v>4060</v>
      </c>
    </row>
    <row r="75" spans="1:6" s="1510" customFormat="1" ht="14.25" customHeight="1" thickBot="1">
      <c r="A75" s="1522" t="s">
        <v>1139</v>
      </c>
      <c r="B75" s="1528" t="s">
        <v>1452</v>
      </c>
      <c r="C75" s="1528"/>
      <c r="D75" s="1528"/>
      <c r="E75" s="1528"/>
      <c r="F75" s="1533">
        <v>3750</v>
      </c>
    </row>
    <row r="76" spans="1:6" s="1510" customFormat="1" ht="14.25" customHeight="1" thickBot="1">
      <c r="A76" s="1522" t="s">
        <v>1539</v>
      </c>
      <c r="B76" s="1523" t="s">
        <v>1540</v>
      </c>
      <c r="C76" s="1523">
        <v>14690</v>
      </c>
      <c r="D76" s="1523">
        <v>14640</v>
      </c>
      <c r="E76" s="1523">
        <v>14590</v>
      </c>
      <c r="F76" s="1524">
        <v>3060</v>
      </c>
    </row>
    <row r="77" spans="1:6" s="1510" customFormat="1" ht="14.25" customHeight="1" thickBot="1">
      <c r="A77" s="1522" t="s">
        <v>1539</v>
      </c>
      <c r="B77" s="1516" t="s">
        <v>1207</v>
      </c>
      <c r="C77" s="1516">
        <v>12550</v>
      </c>
      <c r="D77" s="1516">
        <v>12480</v>
      </c>
      <c r="E77" s="1516">
        <v>12450</v>
      </c>
      <c r="F77" s="1530">
        <v>2590</v>
      </c>
    </row>
    <row r="78" spans="1:6" s="1510" customFormat="1" ht="14.25" customHeight="1" thickBot="1">
      <c r="A78" s="1522" t="s">
        <v>1539</v>
      </c>
      <c r="B78" s="1516" t="s">
        <v>1220</v>
      </c>
      <c r="C78" s="1516">
        <v>14360</v>
      </c>
      <c r="D78" s="1516">
        <v>14320</v>
      </c>
      <c r="E78" s="1516">
        <v>12510</v>
      </c>
      <c r="F78" s="1530">
        <v>2700</v>
      </c>
    </row>
    <row r="79" spans="1:6" s="1510" customFormat="1" ht="14.25" customHeight="1" thickBot="1">
      <c r="A79" s="1522" t="s">
        <v>1539</v>
      </c>
      <c r="B79" s="1516" t="s">
        <v>1233</v>
      </c>
      <c r="C79" s="1516">
        <v>12590</v>
      </c>
      <c r="D79" s="1516">
        <v>12540</v>
      </c>
      <c r="E79" s="1516">
        <v>12350</v>
      </c>
      <c r="F79" s="1530">
        <v>2740</v>
      </c>
    </row>
    <row r="80" spans="1:6" s="1510" customFormat="1" ht="14.25" customHeight="1" thickBot="1">
      <c r="A80" s="1522" t="s">
        <v>1539</v>
      </c>
      <c r="B80" s="1516" t="s">
        <v>1245</v>
      </c>
      <c r="C80" s="1516">
        <v>12450</v>
      </c>
      <c r="D80" s="1516">
        <v>12370</v>
      </c>
      <c r="E80" s="1516">
        <v>10790</v>
      </c>
      <c r="F80" s="1530">
        <v>2290</v>
      </c>
    </row>
    <row r="81" spans="1:6" s="1510" customFormat="1" ht="14.25" customHeight="1" thickBot="1">
      <c r="A81" s="1522" t="s">
        <v>1539</v>
      </c>
      <c r="B81" s="1516" t="s">
        <v>1256</v>
      </c>
      <c r="C81" s="1516">
        <v>14210</v>
      </c>
      <c r="D81" s="1516">
        <v>14150</v>
      </c>
      <c r="E81" s="1516">
        <v>12730</v>
      </c>
      <c r="F81" s="1530">
        <v>2240</v>
      </c>
    </row>
    <row r="82" spans="1:6" s="1510" customFormat="1" ht="14.25" customHeight="1" thickBot="1">
      <c r="A82" s="1522" t="s">
        <v>1539</v>
      </c>
      <c r="B82" s="1516" t="s">
        <v>1267</v>
      </c>
      <c r="C82" s="1516">
        <v>10860</v>
      </c>
      <c r="D82" s="1516">
        <v>10820</v>
      </c>
      <c r="E82" s="1516">
        <v>14720</v>
      </c>
      <c r="F82" s="1530">
        <v>2490</v>
      </c>
    </row>
    <row r="83" spans="1:6" s="1510" customFormat="1" ht="14.25" customHeight="1" thickBot="1">
      <c r="A83" s="1522" t="s">
        <v>1539</v>
      </c>
      <c r="B83" s="1516" t="s">
        <v>1278</v>
      </c>
      <c r="C83" s="1516">
        <v>12810</v>
      </c>
      <c r="D83" s="1516">
        <v>12760</v>
      </c>
      <c r="E83" s="1516">
        <v>14830</v>
      </c>
      <c r="F83" s="1530">
        <v>2450</v>
      </c>
    </row>
    <row r="84" spans="1:6" s="1510" customFormat="1" ht="14.25" customHeight="1" thickBot="1">
      <c r="A84" s="1522" t="s">
        <v>1539</v>
      </c>
      <c r="B84" s="1516" t="s">
        <v>1290</v>
      </c>
      <c r="C84" s="1516">
        <v>14950</v>
      </c>
      <c r="D84" s="1516">
        <v>14810</v>
      </c>
      <c r="E84" s="1516">
        <v>12590</v>
      </c>
      <c r="F84" s="1530">
        <v>2540</v>
      </c>
    </row>
    <row r="85" spans="1:6" s="1510" customFormat="1" ht="14.25" customHeight="1" thickBot="1">
      <c r="A85" s="1522" t="s">
        <v>1539</v>
      </c>
      <c r="B85" s="1516" t="s">
        <v>1300</v>
      </c>
      <c r="C85" s="1516">
        <v>14960</v>
      </c>
      <c r="D85" s="1516">
        <v>14890</v>
      </c>
      <c r="E85" s="1516">
        <v>12840</v>
      </c>
      <c r="F85" s="1530">
        <v>2840</v>
      </c>
    </row>
    <row r="86" spans="1:6" s="1510" customFormat="1" ht="14.25" customHeight="1" thickBot="1">
      <c r="A86" s="1522" t="s">
        <v>1539</v>
      </c>
      <c r="B86" s="1516" t="s">
        <v>1310</v>
      </c>
      <c r="C86" s="1516">
        <v>12730</v>
      </c>
      <c r="D86" s="1516">
        <v>12660</v>
      </c>
      <c r="E86" s="1516">
        <v>13310</v>
      </c>
      <c r="F86" s="1530">
        <v>3140</v>
      </c>
    </row>
    <row r="87" spans="1:6" s="1510" customFormat="1" ht="14.25" customHeight="1" thickBot="1">
      <c r="A87" s="1522" t="s">
        <v>1539</v>
      </c>
      <c r="B87" s="1516" t="s">
        <v>1320</v>
      </c>
      <c r="C87" s="1516">
        <v>12940</v>
      </c>
      <c r="D87" s="1516">
        <v>12890</v>
      </c>
      <c r="E87" s="1516">
        <v>11580</v>
      </c>
      <c r="F87" s="1534"/>
    </row>
    <row r="88" spans="1:6" s="1510" customFormat="1" ht="14.25" customHeight="1" thickBot="1">
      <c r="A88" s="1522" t="s">
        <v>1539</v>
      </c>
      <c r="B88" s="1516" t="s">
        <v>1330</v>
      </c>
      <c r="C88" s="1516">
        <v>13430</v>
      </c>
      <c r="D88" s="1516">
        <v>13360</v>
      </c>
      <c r="E88" s="1516">
        <v>12790</v>
      </c>
      <c r="F88" s="1534"/>
    </row>
    <row r="89" spans="1:6" s="1510" customFormat="1" ht="14.25" customHeight="1" thickBot="1">
      <c r="A89" s="1522" t="s">
        <v>1539</v>
      </c>
      <c r="B89" s="1516" t="s">
        <v>1341</v>
      </c>
      <c r="C89" s="1516">
        <v>11680</v>
      </c>
      <c r="D89" s="1516">
        <v>11630</v>
      </c>
      <c r="E89" s="1516">
        <v>11320</v>
      </c>
      <c r="F89" s="1534"/>
    </row>
    <row r="90" spans="1:6" s="1510" customFormat="1" ht="14.25" customHeight="1" thickBot="1">
      <c r="A90" s="1522" t="s">
        <v>1539</v>
      </c>
      <c r="B90" s="1516" t="s">
        <v>1352</v>
      </c>
      <c r="C90" s="1516">
        <v>12890</v>
      </c>
      <c r="D90" s="1516">
        <v>12820</v>
      </c>
      <c r="E90" s="1516">
        <v>12710</v>
      </c>
      <c r="F90" s="1534"/>
    </row>
    <row r="91" spans="1:6" s="1510" customFormat="1" ht="14.25" customHeight="1" thickBot="1">
      <c r="A91" s="1522" t="s">
        <v>1539</v>
      </c>
      <c r="B91" s="1516" t="s">
        <v>1362</v>
      </c>
      <c r="C91" s="1516">
        <v>11410</v>
      </c>
      <c r="D91" s="1516">
        <v>11360</v>
      </c>
      <c r="E91" s="1516">
        <v>12670</v>
      </c>
      <c r="F91" s="1534"/>
    </row>
    <row r="92" spans="1:6" s="1510" customFormat="1" ht="14.25" customHeight="1" thickBot="1">
      <c r="A92" s="1522" t="s">
        <v>1539</v>
      </c>
      <c r="B92" s="1516" t="s">
        <v>1372</v>
      </c>
      <c r="C92" s="1516">
        <v>12770</v>
      </c>
      <c r="D92" s="1516">
        <v>12740</v>
      </c>
      <c r="E92" s="1516">
        <v>11970</v>
      </c>
      <c r="F92" s="1534"/>
    </row>
    <row r="93" spans="1:6" s="1510" customFormat="1" ht="14.25" customHeight="1" thickBot="1">
      <c r="A93" s="1522" t="s">
        <v>1539</v>
      </c>
      <c r="B93" s="1516" t="s">
        <v>1382</v>
      </c>
      <c r="C93" s="1516">
        <v>12740</v>
      </c>
      <c r="D93" s="1516">
        <v>12700</v>
      </c>
      <c r="E93" s="1516">
        <v>12540</v>
      </c>
      <c r="F93" s="1534"/>
    </row>
    <row r="94" spans="1:6" s="1510" customFormat="1" ht="14.25" customHeight="1" thickBot="1">
      <c r="A94" s="1522" t="s">
        <v>1539</v>
      </c>
      <c r="B94" s="1516" t="s">
        <v>1392</v>
      </c>
      <c r="C94" s="1516">
        <v>12020</v>
      </c>
      <c r="D94" s="1516">
        <v>11990</v>
      </c>
      <c r="E94" s="1516">
        <v>13110</v>
      </c>
      <c r="F94" s="1534"/>
    </row>
    <row r="95" spans="1:6" s="1510" customFormat="1" ht="14.25" customHeight="1" thickBot="1">
      <c r="A95" s="1522" t="s">
        <v>1539</v>
      </c>
      <c r="B95" s="1516" t="s">
        <v>1401</v>
      </c>
      <c r="C95" s="1516">
        <v>12620</v>
      </c>
      <c r="D95" s="1516">
        <v>12580</v>
      </c>
      <c r="E95" s="1516">
        <v>13160</v>
      </c>
      <c r="F95" s="1530"/>
    </row>
    <row r="96" spans="1:6" s="1510" customFormat="1" ht="14.25" customHeight="1" thickBot="1">
      <c r="A96" s="1522" t="s">
        <v>1539</v>
      </c>
      <c r="B96" s="1516" t="s">
        <v>1410</v>
      </c>
      <c r="C96" s="1516">
        <v>13200</v>
      </c>
      <c r="D96" s="1516">
        <v>13150</v>
      </c>
      <c r="E96" s="1516">
        <v>12900</v>
      </c>
      <c r="F96" s="1530"/>
    </row>
    <row r="97" spans="1:6" s="1510" customFormat="1" ht="14.25" customHeight="1" thickBot="1">
      <c r="A97" s="1522" t="s">
        <v>1539</v>
      </c>
      <c r="B97" s="1516" t="s">
        <v>1418</v>
      </c>
      <c r="C97" s="1516">
        <v>13270</v>
      </c>
      <c r="D97" s="1516">
        <v>13210</v>
      </c>
      <c r="E97" s="1516">
        <v>11080</v>
      </c>
      <c r="F97" s="1530"/>
    </row>
    <row r="98" spans="1:6" s="1510" customFormat="1" ht="14.25" customHeight="1" thickBot="1">
      <c r="A98" s="1522" t="s">
        <v>1539</v>
      </c>
      <c r="B98" s="1516" t="s">
        <v>1425</v>
      </c>
      <c r="C98" s="1516">
        <v>13010</v>
      </c>
      <c r="D98" s="1516">
        <v>12930</v>
      </c>
      <c r="E98" s="1516">
        <v>12840</v>
      </c>
      <c r="F98" s="1530"/>
    </row>
    <row r="99" spans="1:6" s="1510" customFormat="1" ht="14.25" customHeight="1" thickBot="1">
      <c r="A99" s="1522" t="s">
        <v>1539</v>
      </c>
      <c r="B99" s="1516" t="s">
        <v>1432</v>
      </c>
      <c r="C99" s="1516">
        <v>11190</v>
      </c>
      <c r="D99" s="1516">
        <v>11130</v>
      </c>
      <c r="E99" s="1516"/>
      <c r="F99" s="1530"/>
    </row>
    <row r="100" spans="1:6" s="1510" customFormat="1" ht="14.25" customHeight="1" thickBot="1">
      <c r="A100" s="1522" t="s">
        <v>1539</v>
      </c>
      <c r="B100" s="1516" t="s">
        <v>1439</v>
      </c>
      <c r="C100" s="1516">
        <v>14280</v>
      </c>
      <c r="D100" s="1516">
        <v>14180</v>
      </c>
      <c r="E100" s="1516"/>
      <c r="F100" s="1530"/>
    </row>
    <row r="101" spans="1:6" s="1510" customFormat="1" ht="14.25" customHeight="1" thickBot="1">
      <c r="A101" s="1522" t="s">
        <v>1539</v>
      </c>
      <c r="B101" s="1516" t="s">
        <v>1446</v>
      </c>
      <c r="C101" s="1516">
        <v>12960</v>
      </c>
      <c r="D101" s="1516">
        <v>12890</v>
      </c>
      <c r="E101" s="1516"/>
      <c r="F101" s="1530"/>
    </row>
    <row r="102" spans="1:6" s="1510" customFormat="1" ht="14.25" customHeight="1" thickBot="1">
      <c r="A102" s="1522" t="s">
        <v>1539</v>
      </c>
      <c r="B102" s="1516" t="s">
        <v>1453</v>
      </c>
      <c r="C102" s="1516"/>
      <c r="D102" s="1516"/>
      <c r="E102" s="1516"/>
      <c r="F102" s="1530">
        <v>3100</v>
      </c>
    </row>
    <row r="103" spans="1:6" s="1510" customFormat="1" ht="14.25" customHeight="1" thickBot="1">
      <c r="A103" s="1522" t="s">
        <v>1539</v>
      </c>
      <c r="B103" s="1516" t="s">
        <v>1460</v>
      </c>
      <c r="C103" s="1516"/>
      <c r="D103" s="1516"/>
      <c r="E103" s="1516"/>
      <c r="F103" s="1530">
        <v>2320</v>
      </c>
    </row>
    <row r="104" spans="1:6" s="1510" customFormat="1" ht="14.25" customHeight="1" thickBot="1">
      <c r="A104" s="1522" t="s">
        <v>1539</v>
      </c>
      <c r="B104" s="1516" t="s">
        <v>1465</v>
      </c>
      <c r="C104" s="1516"/>
      <c r="D104" s="1516"/>
      <c r="E104" s="1516"/>
      <c r="F104" s="1530">
        <v>2320</v>
      </c>
    </row>
    <row r="105" spans="1:6" s="1510" customFormat="1" ht="14.25" customHeight="1" thickBot="1">
      <c r="A105" s="1522" t="s">
        <v>1539</v>
      </c>
      <c r="B105" s="1516" t="s">
        <v>1469</v>
      </c>
      <c r="C105" s="1516"/>
      <c r="D105" s="1516"/>
      <c r="E105" s="1516"/>
      <c r="F105" s="1530">
        <v>2320</v>
      </c>
    </row>
    <row r="106" spans="1:6" s="1510" customFormat="1" ht="14.25" customHeight="1" thickBot="1">
      <c r="A106" s="1522" t="s">
        <v>1539</v>
      </c>
      <c r="B106" s="1516" t="s">
        <v>1474</v>
      </c>
      <c r="C106" s="1516"/>
      <c r="D106" s="1516"/>
      <c r="E106" s="1516"/>
      <c r="F106" s="1530">
        <v>2320</v>
      </c>
    </row>
    <row r="107" spans="1:6" s="1510" customFormat="1" ht="14.25" customHeight="1" thickBot="1">
      <c r="A107" s="1522" t="s">
        <v>1539</v>
      </c>
      <c r="B107" s="1516" t="s">
        <v>1479</v>
      </c>
      <c r="C107" s="1516"/>
      <c r="D107" s="1516"/>
      <c r="E107" s="1516"/>
      <c r="F107" s="1530">
        <v>2280</v>
      </c>
    </row>
    <row r="108" spans="1:6" s="1510" customFormat="1" ht="14.25" customHeight="1" thickBot="1">
      <c r="A108" s="1522" t="s">
        <v>1539</v>
      </c>
      <c r="B108" s="1516" t="s">
        <v>1484</v>
      </c>
      <c r="C108" s="1516"/>
      <c r="D108" s="1516"/>
      <c r="E108" s="1516"/>
      <c r="F108" s="1530">
        <v>2280</v>
      </c>
    </row>
    <row r="109" spans="1:6" s="1510" customFormat="1" ht="14.25" customHeight="1" thickBot="1">
      <c r="A109" s="1522" t="s">
        <v>1539</v>
      </c>
      <c r="B109" s="1528" t="s">
        <v>1489</v>
      </c>
      <c r="C109" s="1528"/>
      <c r="D109" s="1528"/>
      <c r="E109" s="1528"/>
      <c r="F109" s="1533">
        <v>2280</v>
      </c>
    </row>
    <row r="110" spans="1:6" s="1510" customFormat="1" ht="14.25" customHeight="1" thickBot="1">
      <c r="A110" s="1522" t="s">
        <v>202</v>
      </c>
      <c r="B110" s="1523" t="s">
        <v>1541</v>
      </c>
      <c r="C110" s="1523">
        <v>10520</v>
      </c>
      <c r="D110" s="1523">
        <v>10490</v>
      </c>
      <c r="E110" s="1523">
        <v>10760</v>
      </c>
      <c r="F110" s="1524">
        <v>2160</v>
      </c>
    </row>
    <row r="111" spans="1:6" s="1510" customFormat="1" ht="14.25" customHeight="1" thickBot="1">
      <c r="A111" s="1522" t="s">
        <v>202</v>
      </c>
      <c r="B111" s="1516" t="s">
        <v>1208</v>
      </c>
      <c r="C111" s="1516">
        <v>10090</v>
      </c>
      <c r="D111" s="1516">
        <v>10060</v>
      </c>
      <c r="E111" s="1516">
        <v>10300</v>
      </c>
      <c r="F111" s="1530">
        <v>2010</v>
      </c>
    </row>
    <row r="112" spans="1:6" s="1510" customFormat="1" ht="14.25" customHeight="1" thickBot="1">
      <c r="A112" s="1522" t="s">
        <v>202</v>
      </c>
      <c r="B112" s="1516" t="s">
        <v>1221</v>
      </c>
      <c r="C112" s="1516">
        <v>9910</v>
      </c>
      <c r="D112" s="1516">
        <v>9850</v>
      </c>
      <c r="E112" s="1516">
        <v>9960</v>
      </c>
      <c r="F112" s="1530">
        <v>2090</v>
      </c>
    </row>
    <row r="113" spans="1:6" s="1510" customFormat="1" ht="14.25" customHeight="1" thickBot="1">
      <c r="A113" s="1522" t="s">
        <v>202</v>
      </c>
      <c r="B113" s="1516" t="s">
        <v>1234</v>
      </c>
      <c r="C113" s="1516">
        <v>11430</v>
      </c>
      <c r="D113" s="1516">
        <v>11400</v>
      </c>
      <c r="E113" s="1516">
        <v>11710</v>
      </c>
      <c r="F113" s="1530">
        <v>2050</v>
      </c>
    </row>
    <row r="114" spans="1:6" s="1510" customFormat="1" ht="14.25" customHeight="1" thickBot="1">
      <c r="A114" s="1522" t="s">
        <v>202</v>
      </c>
      <c r="B114" s="1516" t="s">
        <v>1246</v>
      </c>
      <c r="C114" s="1516">
        <v>11390</v>
      </c>
      <c r="D114" s="1516">
        <v>11350</v>
      </c>
      <c r="E114" s="1516">
        <v>11640</v>
      </c>
      <c r="F114" s="1530">
        <v>1620</v>
      </c>
    </row>
    <row r="115" spans="1:6" s="1510" customFormat="1" ht="14.25" customHeight="1" thickBot="1">
      <c r="A115" s="1522" t="s">
        <v>202</v>
      </c>
      <c r="B115" s="1516" t="s">
        <v>1257</v>
      </c>
      <c r="C115" s="1516">
        <v>9930</v>
      </c>
      <c r="D115" s="1516">
        <v>9900</v>
      </c>
      <c r="E115" s="1516">
        <v>10160</v>
      </c>
      <c r="F115" s="1530">
        <v>1580</v>
      </c>
    </row>
    <row r="116" spans="1:6" s="1510" customFormat="1" ht="14.25" customHeight="1" thickBot="1">
      <c r="A116" s="1522" t="s">
        <v>202</v>
      </c>
      <c r="B116" s="1516" t="s">
        <v>1268</v>
      </c>
      <c r="C116" s="1516">
        <v>9150</v>
      </c>
      <c r="D116" s="1516">
        <v>9120</v>
      </c>
      <c r="E116" s="1516">
        <v>9380</v>
      </c>
      <c r="F116" s="1530">
        <v>1750</v>
      </c>
    </row>
    <row r="117" spans="1:6" s="1510" customFormat="1" ht="14.25" customHeight="1" thickBot="1">
      <c r="A117" s="1522" t="s">
        <v>202</v>
      </c>
      <c r="B117" s="1516" t="s">
        <v>1279</v>
      </c>
      <c r="C117" s="1516">
        <v>10680</v>
      </c>
      <c r="D117" s="1516">
        <v>10650</v>
      </c>
      <c r="E117" s="1516">
        <v>10970</v>
      </c>
      <c r="F117" s="1530">
        <v>1730</v>
      </c>
    </row>
    <row r="118" spans="1:6" s="1510" customFormat="1" ht="14.25" customHeight="1" thickBot="1">
      <c r="A118" s="1522" t="s">
        <v>202</v>
      </c>
      <c r="B118" s="1516" t="s">
        <v>1291</v>
      </c>
      <c r="C118" s="1516">
        <v>10080</v>
      </c>
      <c r="D118" s="1516">
        <v>10050</v>
      </c>
      <c r="E118" s="1516">
        <v>10350</v>
      </c>
      <c r="F118" s="1530">
        <v>1920</v>
      </c>
    </row>
    <row r="119" spans="1:6" s="1510" customFormat="1" ht="14.25" customHeight="1" thickBot="1">
      <c r="A119" s="1522" t="s">
        <v>202</v>
      </c>
      <c r="B119" s="1516" t="s">
        <v>1301</v>
      </c>
      <c r="C119" s="1516">
        <v>9450</v>
      </c>
      <c r="D119" s="1516">
        <v>9410</v>
      </c>
      <c r="E119" s="1516">
        <v>9680</v>
      </c>
      <c r="F119" s="1530">
        <v>1880</v>
      </c>
    </row>
    <row r="120" spans="1:6" s="1510" customFormat="1" ht="14.25" customHeight="1" thickBot="1">
      <c r="A120" s="1522" t="s">
        <v>202</v>
      </c>
      <c r="B120" s="1516" t="s">
        <v>1311</v>
      </c>
      <c r="C120" s="1516">
        <v>8730</v>
      </c>
      <c r="D120" s="1516">
        <v>8700</v>
      </c>
      <c r="E120" s="1516">
        <v>8950</v>
      </c>
      <c r="F120" s="1530">
        <v>1830</v>
      </c>
    </row>
    <row r="121" spans="1:6" s="1510" customFormat="1" ht="14.25" customHeight="1" thickBot="1">
      <c r="A121" s="1522" t="s">
        <v>202</v>
      </c>
      <c r="B121" s="1516" t="s">
        <v>1321</v>
      </c>
      <c r="C121" s="1516">
        <v>10070</v>
      </c>
      <c r="D121" s="1516">
        <v>10040</v>
      </c>
      <c r="E121" s="1516">
        <v>10270</v>
      </c>
      <c r="F121" s="1530">
        <v>1960</v>
      </c>
    </row>
    <row r="122" spans="1:6" s="1510" customFormat="1" ht="14.25" customHeight="1" thickBot="1">
      <c r="A122" s="1522" t="s">
        <v>202</v>
      </c>
      <c r="B122" s="1516" t="s">
        <v>1331</v>
      </c>
      <c r="C122" s="1516">
        <v>10500</v>
      </c>
      <c r="D122" s="1516">
        <v>10470</v>
      </c>
      <c r="E122" s="1516">
        <v>10780</v>
      </c>
      <c r="F122" s="1530">
        <v>2180</v>
      </c>
    </row>
    <row r="123" spans="1:6" s="1510" customFormat="1" ht="14.25" customHeight="1" thickBot="1">
      <c r="A123" s="1522" t="s">
        <v>202</v>
      </c>
      <c r="B123" s="1516" t="s">
        <v>1342</v>
      </c>
      <c r="C123" s="1516">
        <v>10390</v>
      </c>
      <c r="D123" s="1516">
        <v>10360</v>
      </c>
      <c r="E123" s="1516">
        <v>10660</v>
      </c>
      <c r="F123" s="1530">
        <v>2040</v>
      </c>
    </row>
    <row r="124" spans="1:6" s="1510" customFormat="1" ht="14.25" customHeight="1" thickBot="1">
      <c r="A124" s="1522" t="s">
        <v>202</v>
      </c>
      <c r="B124" s="1516" t="s">
        <v>1353</v>
      </c>
      <c r="C124" s="1516">
        <v>10390</v>
      </c>
      <c r="D124" s="1516">
        <v>10360</v>
      </c>
      <c r="E124" s="1516">
        <v>10680</v>
      </c>
      <c r="F124" s="1534"/>
    </row>
    <row r="125" spans="1:6" s="1510" customFormat="1" ht="14.25" customHeight="1" thickBot="1">
      <c r="A125" s="1522" t="s">
        <v>202</v>
      </c>
      <c r="B125" s="1516" t="s">
        <v>1363</v>
      </c>
      <c r="C125" s="1516">
        <v>10440</v>
      </c>
      <c r="D125" s="1516">
        <v>10410</v>
      </c>
      <c r="E125" s="1516">
        <v>10710</v>
      </c>
      <c r="F125" s="1534"/>
    </row>
    <row r="126" spans="1:6" s="1510" customFormat="1" ht="14.25" customHeight="1" thickBot="1">
      <c r="A126" s="1522" t="s">
        <v>202</v>
      </c>
      <c r="B126" s="1516" t="s">
        <v>1373</v>
      </c>
      <c r="C126" s="1516">
        <v>10780</v>
      </c>
      <c r="D126" s="1516">
        <v>10750</v>
      </c>
      <c r="E126" s="1516">
        <v>11080</v>
      </c>
      <c r="F126" s="1534"/>
    </row>
    <row r="127" spans="1:6" s="1510" customFormat="1" ht="14.25" customHeight="1" thickBot="1">
      <c r="A127" s="1522" t="s">
        <v>202</v>
      </c>
      <c r="B127" s="1516" t="s">
        <v>1383</v>
      </c>
      <c r="C127" s="1516">
        <v>10100</v>
      </c>
      <c r="D127" s="1516">
        <v>10070</v>
      </c>
      <c r="E127" s="1516">
        <v>10350</v>
      </c>
      <c r="F127" s="1534"/>
    </row>
    <row r="128" spans="1:6" s="1510" customFormat="1" ht="14.25" customHeight="1" thickBot="1">
      <c r="A128" s="1522" t="s">
        <v>202</v>
      </c>
      <c r="B128" s="1516" t="s">
        <v>1393</v>
      </c>
      <c r="C128" s="1516">
        <v>9200</v>
      </c>
      <c r="D128" s="1516">
        <v>9160</v>
      </c>
      <c r="E128" s="1516">
        <v>9660</v>
      </c>
      <c r="F128" s="1534"/>
    </row>
    <row r="129" spans="1:6" s="1510" customFormat="1" ht="14.25" customHeight="1" thickBot="1">
      <c r="A129" s="1522" t="s">
        <v>202</v>
      </c>
      <c r="B129" s="1516" t="s">
        <v>1402</v>
      </c>
      <c r="C129" s="1516">
        <v>10340</v>
      </c>
      <c r="D129" s="1516">
        <v>10310</v>
      </c>
      <c r="E129" s="1516">
        <v>10580</v>
      </c>
      <c r="F129" s="1534"/>
    </row>
    <row r="130" spans="1:6" s="1510" customFormat="1" ht="14.25" customHeight="1" thickBot="1">
      <c r="A130" s="1522" t="s">
        <v>202</v>
      </c>
      <c r="B130" s="1516" t="s">
        <v>1411</v>
      </c>
      <c r="C130" s="1516">
        <v>9680</v>
      </c>
      <c r="D130" s="1516">
        <v>9660</v>
      </c>
      <c r="E130" s="1516">
        <v>9950</v>
      </c>
      <c r="F130" s="1534"/>
    </row>
    <row r="131" spans="1:6" s="1510" customFormat="1" ht="14.25" customHeight="1" thickBot="1">
      <c r="A131" s="1522" t="s">
        <v>202</v>
      </c>
      <c r="B131" s="1516" t="s">
        <v>1419</v>
      </c>
      <c r="C131" s="1516">
        <v>9540</v>
      </c>
      <c r="D131" s="1516">
        <v>9510</v>
      </c>
      <c r="E131" s="1516">
        <v>9790</v>
      </c>
      <c r="F131" s="1534"/>
    </row>
    <row r="132" spans="1:6" s="1510" customFormat="1" ht="14.25" customHeight="1" thickBot="1">
      <c r="A132" s="1522" t="s">
        <v>202</v>
      </c>
      <c r="B132" s="1516" t="s">
        <v>1426</v>
      </c>
      <c r="C132" s="1516">
        <v>9320</v>
      </c>
      <c r="D132" s="1516">
        <v>9290</v>
      </c>
      <c r="E132" s="1516">
        <v>9570</v>
      </c>
      <c r="F132" s="1534"/>
    </row>
    <row r="133" spans="1:6" s="1510" customFormat="1" ht="14.25" customHeight="1" thickBot="1">
      <c r="A133" s="1522" t="s">
        <v>202</v>
      </c>
      <c r="B133" s="1516" t="s">
        <v>1433</v>
      </c>
      <c r="C133" s="1516">
        <v>10310</v>
      </c>
      <c r="D133" s="1516">
        <v>10280</v>
      </c>
      <c r="E133" s="1516">
        <v>10530</v>
      </c>
      <c r="F133" s="1534"/>
    </row>
    <row r="134" spans="1:6" s="1510" customFormat="1" ht="14.25" customHeight="1" thickBot="1">
      <c r="A134" s="1522" t="s">
        <v>202</v>
      </c>
      <c r="B134" s="1516" t="s">
        <v>1440</v>
      </c>
      <c r="C134" s="1516">
        <v>10370</v>
      </c>
      <c r="D134" s="1516">
        <v>10310</v>
      </c>
      <c r="E134" s="1516">
        <v>10240</v>
      </c>
      <c r="F134" s="1530">
        <v>2060</v>
      </c>
    </row>
    <row r="135" spans="1:6" s="1510" customFormat="1" ht="14.25" customHeight="1" thickBot="1">
      <c r="A135" s="1522" t="s">
        <v>202</v>
      </c>
      <c r="B135" s="1516" t="s">
        <v>1447</v>
      </c>
      <c r="C135" s="1516">
        <v>9300</v>
      </c>
      <c r="D135" s="1516">
        <v>9270</v>
      </c>
      <c r="E135" s="1516">
        <v>9350</v>
      </c>
      <c r="F135" s="1534"/>
    </row>
    <row r="136" spans="1:6" s="1510" customFormat="1" ht="14.25" customHeight="1" thickBot="1">
      <c r="A136" s="1522" t="s">
        <v>202</v>
      </c>
      <c r="B136" s="1516" t="s">
        <v>1454</v>
      </c>
      <c r="C136" s="1516">
        <v>10160</v>
      </c>
      <c r="D136" s="1516">
        <v>10110</v>
      </c>
      <c r="E136" s="1516">
        <v>10080</v>
      </c>
      <c r="F136" s="1534"/>
    </row>
    <row r="137" spans="1:6" s="1510" customFormat="1" ht="14.25" customHeight="1" thickBot="1">
      <c r="A137" s="1522" t="s">
        <v>202</v>
      </c>
      <c r="B137" s="1516" t="s">
        <v>1461</v>
      </c>
      <c r="C137" s="1516">
        <v>9200</v>
      </c>
      <c r="D137" s="1516">
        <v>9170</v>
      </c>
      <c r="E137" s="1516">
        <v>9450</v>
      </c>
      <c r="F137" s="1534"/>
    </row>
    <row r="138" spans="1:6" s="1510" customFormat="1" ht="14.25" customHeight="1" thickBot="1">
      <c r="A138" s="1522" t="s">
        <v>202</v>
      </c>
      <c r="B138" s="1516" t="s">
        <v>1466</v>
      </c>
      <c r="C138" s="1516">
        <v>9690</v>
      </c>
      <c r="D138" s="1516">
        <v>9660</v>
      </c>
      <c r="E138" s="1516">
        <v>9840</v>
      </c>
      <c r="F138" s="1534"/>
    </row>
    <row r="139" spans="1:6" s="1510" customFormat="1" ht="14.25" customHeight="1" thickBot="1">
      <c r="A139" s="1522" t="s">
        <v>202</v>
      </c>
      <c r="B139" s="1516" t="s">
        <v>1470</v>
      </c>
      <c r="C139" s="1516">
        <v>10290</v>
      </c>
      <c r="D139" s="1516">
        <v>10260</v>
      </c>
      <c r="E139" s="1516">
        <v>10550</v>
      </c>
      <c r="F139" s="1530">
        <v>1700</v>
      </c>
    </row>
    <row r="140" spans="1:6" s="1510" customFormat="1" ht="14.25" customHeight="1" thickBot="1">
      <c r="A140" s="1522" t="s">
        <v>202</v>
      </c>
      <c r="B140" s="1516" t="s">
        <v>1475</v>
      </c>
      <c r="C140" s="1516">
        <v>9740</v>
      </c>
      <c r="D140" s="1516">
        <v>9710</v>
      </c>
      <c r="E140" s="1516">
        <v>10000</v>
      </c>
      <c r="F140" s="1530">
        <v>2000</v>
      </c>
    </row>
    <row r="141" spans="1:6" s="1510" customFormat="1" ht="14.25" customHeight="1" thickBot="1">
      <c r="A141" s="1522" t="s">
        <v>202</v>
      </c>
      <c r="B141" s="1516" t="s">
        <v>1480</v>
      </c>
      <c r="C141" s="1516">
        <v>9810</v>
      </c>
      <c r="D141" s="1516">
        <v>9770</v>
      </c>
      <c r="E141" s="1516">
        <v>10060</v>
      </c>
      <c r="F141" s="1534"/>
    </row>
    <row r="142" spans="1:6" s="1510" customFormat="1" ht="14.25" customHeight="1" thickBot="1">
      <c r="A142" s="1522" t="s">
        <v>202</v>
      </c>
      <c r="B142" s="1516" t="s">
        <v>1485</v>
      </c>
      <c r="C142" s="1516">
        <v>9300</v>
      </c>
      <c r="D142" s="1516">
        <v>9270</v>
      </c>
      <c r="E142" s="1516">
        <v>9530</v>
      </c>
      <c r="F142" s="1534"/>
    </row>
    <row r="143" spans="1:6" s="1510" customFormat="1" ht="14.25" customHeight="1" thickBot="1">
      <c r="A143" s="1522" t="s">
        <v>202</v>
      </c>
      <c r="B143" s="1516" t="s">
        <v>1490</v>
      </c>
      <c r="C143" s="1516">
        <v>10080</v>
      </c>
      <c r="D143" s="1516">
        <v>10050</v>
      </c>
      <c r="E143" s="1516">
        <v>10340</v>
      </c>
      <c r="F143" s="1534"/>
    </row>
    <row r="144" spans="1:6" s="1510" customFormat="1" ht="14.25" customHeight="1" thickBot="1">
      <c r="A144" s="1522" t="s">
        <v>202</v>
      </c>
      <c r="B144" s="1516" t="s">
        <v>1494</v>
      </c>
      <c r="C144" s="1516">
        <v>9820</v>
      </c>
      <c r="D144" s="1516">
        <v>9750</v>
      </c>
      <c r="E144" s="1516">
        <v>9900</v>
      </c>
      <c r="F144" s="1534"/>
    </row>
    <row r="145" spans="1:6" s="1510" customFormat="1" ht="14.25" customHeight="1" thickBot="1">
      <c r="A145" s="1522" t="s">
        <v>202</v>
      </c>
      <c r="B145" s="1516" t="s">
        <v>1498</v>
      </c>
      <c r="C145" s="1516"/>
      <c r="D145" s="1516"/>
      <c r="E145" s="1516"/>
      <c r="F145" s="1530">
        <v>1740</v>
      </c>
    </row>
    <row r="146" spans="1:6" s="1510" customFormat="1" ht="14.25" customHeight="1" thickBot="1">
      <c r="A146" s="1522" t="s">
        <v>202</v>
      </c>
      <c r="B146" s="1516" t="s">
        <v>1502</v>
      </c>
      <c r="C146" s="1516"/>
      <c r="D146" s="1516"/>
      <c r="E146" s="1516"/>
      <c r="F146" s="1530">
        <v>1740</v>
      </c>
    </row>
    <row r="147" spans="1:6" s="1510" customFormat="1" ht="14.25" customHeight="1" thickBot="1">
      <c r="A147" s="1522" t="s">
        <v>202</v>
      </c>
      <c r="B147" s="1516" t="s">
        <v>1506</v>
      </c>
      <c r="C147" s="1516"/>
      <c r="D147" s="1516"/>
      <c r="E147" s="1516"/>
      <c r="F147" s="1530">
        <v>1740</v>
      </c>
    </row>
    <row r="148" spans="1:6" s="1510" customFormat="1" ht="14.25" customHeight="1" thickBot="1">
      <c r="A148" s="1522" t="s">
        <v>202</v>
      </c>
      <c r="B148" s="1516" t="s">
        <v>1510</v>
      </c>
      <c r="C148" s="1516"/>
      <c r="D148" s="1516"/>
      <c r="E148" s="1516"/>
      <c r="F148" s="1530">
        <v>1740</v>
      </c>
    </row>
    <row r="149" spans="1:6" s="1510" customFormat="1" ht="14.25" customHeight="1" thickBot="1">
      <c r="A149" s="1522" t="s">
        <v>202</v>
      </c>
      <c r="B149" s="1516" t="s">
        <v>1514</v>
      </c>
      <c r="C149" s="1516"/>
      <c r="D149" s="1516"/>
      <c r="E149" s="1516"/>
      <c r="F149" s="1530">
        <v>1740</v>
      </c>
    </row>
    <row r="150" spans="1:6" s="1510" customFormat="1" ht="14.25" customHeight="1" thickBot="1">
      <c r="A150" s="1522" t="s">
        <v>202</v>
      </c>
      <c r="B150" s="1516" t="s">
        <v>1517</v>
      </c>
      <c r="C150" s="1516"/>
      <c r="D150" s="1516"/>
      <c r="E150" s="1516"/>
      <c r="F150" s="1530">
        <v>1610</v>
      </c>
    </row>
    <row r="151" spans="1:6" s="1510" customFormat="1" ht="14.25" customHeight="1" thickBot="1">
      <c r="A151" s="1522" t="s">
        <v>202</v>
      </c>
      <c r="B151" s="1516" t="s">
        <v>1520</v>
      </c>
      <c r="C151" s="1516"/>
      <c r="D151" s="1516"/>
      <c r="E151" s="1516"/>
      <c r="F151" s="1530">
        <v>1610</v>
      </c>
    </row>
    <row r="152" spans="1:6" s="1510" customFormat="1" ht="14.25" customHeight="1" thickBot="1">
      <c r="A152" s="1522" t="s">
        <v>202</v>
      </c>
      <c r="B152" s="1516" t="s">
        <v>1523</v>
      </c>
      <c r="C152" s="1516"/>
      <c r="D152" s="1516"/>
      <c r="E152" s="1516"/>
      <c r="F152" s="1530">
        <v>1610</v>
      </c>
    </row>
    <row r="153" spans="1:6" s="1510" customFormat="1" ht="14.25" customHeight="1" thickBot="1">
      <c r="A153" s="1522" t="s">
        <v>202</v>
      </c>
      <c r="B153" s="1516" t="s">
        <v>1526</v>
      </c>
      <c r="C153" s="1516"/>
      <c r="D153" s="1516"/>
      <c r="E153" s="1516"/>
      <c r="F153" s="1530">
        <v>1610</v>
      </c>
    </row>
    <row r="154" spans="1:6" s="1510" customFormat="1" ht="14.25" customHeight="1" thickBot="1">
      <c r="A154" s="1522" t="s">
        <v>202</v>
      </c>
      <c r="B154" s="1516" t="s">
        <v>1529</v>
      </c>
      <c r="C154" s="1516"/>
      <c r="D154" s="1516"/>
      <c r="E154" s="1516"/>
      <c r="F154" s="1530">
        <v>1610</v>
      </c>
    </row>
    <row r="155" spans="1:6" s="1510" customFormat="1" ht="14.25" customHeight="1" thickBot="1">
      <c r="A155" s="1522" t="s">
        <v>202</v>
      </c>
      <c r="B155" s="1516" t="s">
        <v>1532</v>
      </c>
      <c r="C155" s="1516"/>
      <c r="D155" s="1516"/>
      <c r="E155" s="1516"/>
      <c r="F155" s="1530">
        <v>1800</v>
      </c>
    </row>
    <row r="156" spans="1:6" s="1510" customFormat="1" ht="14.25" customHeight="1" thickBot="1">
      <c r="A156" s="1522" t="s">
        <v>202</v>
      </c>
      <c r="B156" s="1516" t="s">
        <v>1534</v>
      </c>
      <c r="C156" s="1516"/>
      <c r="D156" s="1516"/>
      <c r="E156" s="1516"/>
      <c r="F156" s="1530">
        <v>1910</v>
      </c>
    </row>
    <row r="157" spans="1:6" s="1510" customFormat="1" ht="14.25" customHeight="1" thickBot="1">
      <c r="A157" s="1522" t="s">
        <v>202</v>
      </c>
      <c r="B157" s="1528" t="s">
        <v>1537</v>
      </c>
      <c r="C157" s="1528"/>
      <c r="D157" s="1528"/>
      <c r="E157" s="1528"/>
      <c r="F157" s="1533">
        <v>1500</v>
      </c>
    </row>
    <row r="158" spans="1:6" s="1510" customFormat="1" ht="14.25" customHeight="1" thickBot="1">
      <c r="A158" s="1522" t="s">
        <v>1542</v>
      </c>
      <c r="B158" s="1523" t="s">
        <v>1543</v>
      </c>
      <c r="C158" s="1523">
        <v>8170</v>
      </c>
      <c r="D158" s="1523">
        <v>8140</v>
      </c>
      <c r="E158" s="1523">
        <v>8590</v>
      </c>
      <c r="F158" s="1524">
        <v>1450</v>
      </c>
    </row>
    <row r="159" spans="1:6" s="1510" customFormat="1" ht="14.25" customHeight="1" thickBot="1">
      <c r="A159" s="1522" t="s">
        <v>1542</v>
      </c>
      <c r="B159" s="1516" t="s">
        <v>1209</v>
      </c>
      <c r="C159" s="1516">
        <v>7410</v>
      </c>
      <c r="D159" s="1516">
        <v>7370</v>
      </c>
      <c r="E159" s="1516">
        <v>8030</v>
      </c>
      <c r="F159" s="1530">
        <v>1510</v>
      </c>
    </row>
    <row r="160" spans="1:6" s="1510" customFormat="1" ht="14.25" customHeight="1" thickBot="1">
      <c r="A160" s="1522" t="s">
        <v>1542</v>
      </c>
      <c r="B160" s="1516" t="s">
        <v>1222</v>
      </c>
      <c r="C160" s="1516">
        <v>7240</v>
      </c>
      <c r="D160" s="1516">
        <v>7210</v>
      </c>
      <c r="E160" s="1516">
        <v>7860</v>
      </c>
      <c r="F160" s="1530">
        <v>1370</v>
      </c>
    </row>
    <row r="161" spans="1:6" s="1510" customFormat="1" ht="14.25" customHeight="1" thickBot="1">
      <c r="A161" s="1522" t="s">
        <v>1542</v>
      </c>
      <c r="B161" s="1516" t="s">
        <v>1235</v>
      </c>
      <c r="C161" s="1516">
        <v>7720</v>
      </c>
      <c r="D161" s="1516">
        <v>7690</v>
      </c>
      <c r="E161" s="1516">
        <v>8200</v>
      </c>
      <c r="F161" s="1530">
        <v>1190</v>
      </c>
    </row>
    <row r="162" spans="1:6" s="1510" customFormat="1" ht="14.25" customHeight="1" thickBot="1">
      <c r="A162" s="1522" t="s">
        <v>1542</v>
      </c>
      <c r="B162" s="1516" t="s">
        <v>1247</v>
      </c>
      <c r="C162" s="1516">
        <v>6900</v>
      </c>
      <c r="D162" s="1516">
        <v>6870</v>
      </c>
      <c r="E162" s="1516">
        <v>7500</v>
      </c>
      <c r="F162" s="1530">
        <v>1390</v>
      </c>
    </row>
    <row r="163" spans="1:6" s="1510" customFormat="1" ht="14.25" customHeight="1" thickBot="1">
      <c r="A163" s="1522" t="s">
        <v>1542</v>
      </c>
      <c r="B163" s="1516" t="s">
        <v>1258</v>
      </c>
      <c r="C163" s="1516">
        <v>7120</v>
      </c>
      <c r="D163" s="1516">
        <v>7090</v>
      </c>
      <c r="E163" s="1516">
        <v>7690</v>
      </c>
      <c r="F163" s="1530">
        <v>1230</v>
      </c>
    </row>
    <row r="164" spans="1:6" s="1510" customFormat="1" ht="14.25" customHeight="1" thickBot="1">
      <c r="A164" s="1522" t="s">
        <v>1542</v>
      </c>
      <c r="B164" s="1516" t="s">
        <v>1269</v>
      </c>
      <c r="C164" s="1516">
        <v>6560</v>
      </c>
      <c r="D164" s="1516">
        <v>6530</v>
      </c>
      <c r="E164" s="1516">
        <v>7110</v>
      </c>
      <c r="F164" s="1530">
        <v>1340</v>
      </c>
    </row>
    <row r="165" spans="1:6" s="1510" customFormat="1" ht="14.25" customHeight="1" thickBot="1">
      <c r="A165" s="1522" t="s">
        <v>1542</v>
      </c>
      <c r="B165" s="1516" t="s">
        <v>1280</v>
      </c>
      <c r="C165" s="1516">
        <v>7450</v>
      </c>
      <c r="D165" s="1516">
        <v>7430</v>
      </c>
      <c r="E165" s="1516">
        <v>8110</v>
      </c>
      <c r="F165" s="1530">
        <v>1290</v>
      </c>
    </row>
    <row r="166" spans="1:6" s="1510" customFormat="1" ht="14.25" customHeight="1" thickBot="1">
      <c r="A166" s="1522" t="s">
        <v>1542</v>
      </c>
      <c r="B166" s="1516" t="s">
        <v>1292</v>
      </c>
      <c r="C166" s="1516">
        <v>7490</v>
      </c>
      <c r="D166" s="1516">
        <v>7460</v>
      </c>
      <c r="E166" s="1516">
        <v>8150</v>
      </c>
      <c r="F166" s="1530">
        <v>1350</v>
      </c>
    </row>
    <row r="167" spans="1:6" s="1510" customFormat="1" ht="14.25" customHeight="1" thickBot="1">
      <c r="A167" s="1522" t="s">
        <v>1542</v>
      </c>
      <c r="B167" s="1516" t="s">
        <v>1302</v>
      </c>
      <c r="C167" s="1516">
        <v>7540</v>
      </c>
      <c r="D167" s="1516">
        <v>7510</v>
      </c>
      <c r="E167" s="1516">
        <v>8030</v>
      </c>
      <c r="F167" s="1534"/>
    </row>
    <row r="168" spans="1:6" s="1510" customFormat="1" ht="14.25" customHeight="1" thickBot="1">
      <c r="A168" s="1522" t="s">
        <v>1542</v>
      </c>
      <c r="B168" s="1516" t="s">
        <v>1312</v>
      </c>
      <c r="C168" s="1516">
        <v>7210</v>
      </c>
      <c r="D168" s="1516">
        <v>7180</v>
      </c>
      <c r="E168" s="1516">
        <v>7830</v>
      </c>
      <c r="F168" s="1534"/>
    </row>
    <row r="169" spans="1:6" s="1510" customFormat="1" ht="14.25" customHeight="1" thickBot="1">
      <c r="A169" s="1522" t="s">
        <v>1542</v>
      </c>
      <c r="B169" s="1516" t="s">
        <v>1322</v>
      </c>
      <c r="C169" s="1516">
        <v>7040</v>
      </c>
      <c r="D169" s="1516">
        <v>7020</v>
      </c>
      <c r="E169" s="1516">
        <v>7670</v>
      </c>
      <c r="F169" s="1534"/>
    </row>
    <row r="170" spans="1:6" s="1510" customFormat="1" ht="14.25" customHeight="1" thickBot="1">
      <c r="A170" s="1522" t="s">
        <v>1542</v>
      </c>
      <c r="B170" s="1516" t="s">
        <v>1332</v>
      </c>
      <c r="C170" s="1516">
        <v>8040</v>
      </c>
      <c r="D170" s="1516">
        <v>7190</v>
      </c>
      <c r="E170" s="1516">
        <v>7850</v>
      </c>
      <c r="F170" s="1534"/>
    </row>
    <row r="171" spans="1:6" s="1510" customFormat="1" ht="14.25" customHeight="1" thickBot="1">
      <c r="A171" s="1522" t="s">
        <v>1542</v>
      </c>
      <c r="B171" s="1516" t="s">
        <v>1343</v>
      </c>
      <c r="C171" s="1516">
        <v>7860</v>
      </c>
      <c r="D171" s="1516">
        <v>7720</v>
      </c>
      <c r="E171" s="1516">
        <v>8150</v>
      </c>
      <c r="F171" s="1530">
        <v>1110</v>
      </c>
    </row>
    <row r="172" spans="1:6" s="1510" customFormat="1" ht="14.25" customHeight="1" thickBot="1">
      <c r="A172" s="1522" t="s">
        <v>1542</v>
      </c>
      <c r="B172" s="1516" t="s">
        <v>1354</v>
      </c>
      <c r="C172" s="1516">
        <v>7210</v>
      </c>
      <c r="D172" s="1516">
        <v>7170</v>
      </c>
      <c r="E172" s="1516">
        <v>7320</v>
      </c>
      <c r="F172" s="1534"/>
    </row>
    <row r="173" spans="1:6" s="1510" customFormat="1" ht="14.25" customHeight="1" thickBot="1">
      <c r="A173" s="1522" t="s">
        <v>1542</v>
      </c>
      <c r="B173" s="1516" t="s">
        <v>1364</v>
      </c>
      <c r="C173" s="1516">
        <v>6860</v>
      </c>
      <c r="D173" s="1516">
        <v>6810</v>
      </c>
      <c r="E173" s="1516">
        <v>7440</v>
      </c>
      <c r="F173" s="1534"/>
    </row>
    <row r="174" spans="1:6" s="1510" customFormat="1" ht="14.25" customHeight="1" thickBot="1">
      <c r="A174" s="1522" t="s">
        <v>1542</v>
      </c>
      <c r="B174" s="1516" t="s">
        <v>1374</v>
      </c>
      <c r="C174" s="1516">
        <v>7120</v>
      </c>
      <c r="D174" s="1516">
        <v>7090</v>
      </c>
      <c r="E174" s="1516">
        <v>7500</v>
      </c>
      <c r="F174" s="1530">
        <v>1490</v>
      </c>
    </row>
    <row r="175" spans="1:6" s="1510" customFormat="1" ht="14.25" customHeight="1" thickBot="1">
      <c r="A175" s="1522" t="s">
        <v>1542</v>
      </c>
      <c r="B175" s="1516" t="s">
        <v>1384</v>
      </c>
      <c r="C175" s="1516">
        <v>7850</v>
      </c>
      <c r="D175" s="1516">
        <v>7820</v>
      </c>
      <c r="E175" s="1516">
        <v>8120</v>
      </c>
      <c r="F175" s="1530">
        <v>1530</v>
      </c>
    </row>
    <row r="176" spans="1:6" s="1510" customFormat="1" ht="14.25" customHeight="1" thickBot="1">
      <c r="A176" s="1522" t="s">
        <v>1542</v>
      </c>
      <c r="B176" s="1516" t="s">
        <v>1394</v>
      </c>
      <c r="C176" s="1516">
        <v>7620</v>
      </c>
      <c r="D176" s="1516">
        <v>7570</v>
      </c>
      <c r="E176" s="1516">
        <v>7990</v>
      </c>
      <c r="F176" s="1530">
        <v>1480</v>
      </c>
    </row>
    <row r="177" spans="1:6" s="1510" customFormat="1" ht="14.25" customHeight="1" thickBot="1">
      <c r="A177" s="1522" t="s">
        <v>1542</v>
      </c>
      <c r="B177" s="1516" t="s">
        <v>1403</v>
      </c>
      <c r="C177" s="1516">
        <v>8590</v>
      </c>
      <c r="D177" s="1516">
        <v>8570</v>
      </c>
      <c r="E177" s="1516">
        <v>8740</v>
      </c>
      <c r="F177" s="1530">
        <v>1540</v>
      </c>
    </row>
    <row r="178" spans="1:6" s="1510" customFormat="1" ht="14.25" customHeight="1" thickBot="1">
      <c r="A178" s="1522" t="s">
        <v>1542</v>
      </c>
      <c r="B178" s="1516" t="s">
        <v>1412</v>
      </c>
      <c r="C178" s="1516">
        <v>7510</v>
      </c>
      <c r="D178" s="1516">
        <v>7470</v>
      </c>
      <c r="E178" s="1516">
        <v>8090</v>
      </c>
      <c r="F178" s="1530">
        <v>1320</v>
      </c>
    </row>
    <row r="179" spans="1:6" s="1510" customFormat="1" ht="14.25" customHeight="1" thickBot="1">
      <c r="A179" s="1522" t="s">
        <v>1542</v>
      </c>
      <c r="B179" s="1516" t="s">
        <v>1420</v>
      </c>
      <c r="C179" s="1516">
        <v>6380</v>
      </c>
      <c r="D179" s="1516">
        <v>6340</v>
      </c>
      <c r="E179" s="1516">
        <v>6810</v>
      </c>
      <c r="F179" s="1534"/>
    </row>
    <row r="180" spans="1:6" s="1510" customFormat="1" ht="14.25" customHeight="1" thickBot="1">
      <c r="A180" s="1522" t="s">
        <v>1542</v>
      </c>
      <c r="B180" s="1516" t="s">
        <v>1427</v>
      </c>
      <c r="C180" s="1516">
        <v>7830</v>
      </c>
      <c r="D180" s="1516">
        <v>7800</v>
      </c>
      <c r="E180" s="1516">
        <v>7780</v>
      </c>
      <c r="F180" s="1530">
        <v>1440</v>
      </c>
    </row>
    <row r="181" spans="1:6" s="1510" customFormat="1" ht="14.25" customHeight="1" thickBot="1">
      <c r="A181" s="1522" t="s">
        <v>1542</v>
      </c>
      <c r="B181" s="1516" t="s">
        <v>1434</v>
      </c>
      <c r="C181" s="1516">
        <v>7110</v>
      </c>
      <c r="D181" s="1516">
        <v>7080</v>
      </c>
      <c r="E181" s="1516">
        <v>7730</v>
      </c>
      <c r="F181" s="1530">
        <v>1350</v>
      </c>
    </row>
    <row r="182" spans="1:6" s="1510" customFormat="1" ht="14.25" customHeight="1" thickBot="1">
      <c r="A182" s="1522" t="s">
        <v>1542</v>
      </c>
      <c r="B182" s="1516" t="s">
        <v>1441</v>
      </c>
      <c r="C182" s="1516">
        <v>7310</v>
      </c>
      <c r="D182" s="1516">
        <v>7280</v>
      </c>
      <c r="E182" s="1516">
        <v>7950</v>
      </c>
      <c r="F182" s="1530">
        <v>1220</v>
      </c>
    </row>
    <row r="183" spans="1:6" s="1510" customFormat="1" ht="14.25" customHeight="1" thickBot="1">
      <c r="A183" s="1522" t="s">
        <v>1542</v>
      </c>
      <c r="B183" s="1516" t="s">
        <v>1448</v>
      </c>
      <c r="C183" s="1516">
        <v>7470</v>
      </c>
      <c r="D183" s="1516">
        <v>7440</v>
      </c>
      <c r="E183" s="1516">
        <v>7880</v>
      </c>
      <c r="F183" s="1534"/>
    </row>
    <row r="184" spans="1:6" s="1510" customFormat="1" ht="14.25" customHeight="1" thickBot="1">
      <c r="A184" s="1522" t="s">
        <v>1542</v>
      </c>
      <c r="B184" s="1516" t="s">
        <v>1455</v>
      </c>
      <c r="C184" s="1516">
        <v>6960</v>
      </c>
      <c r="D184" s="1516">
        <v>6930</v>
      </c>
      <c r="E184" s="1516">
        <v>7570</v>
      </c>
      <c r="F184" s="1534"/>
    </row>
    <row r="185" spans="1:6" s="1510" customFormat="1" ht="14.25" customHeight="1" thickBot="1">
      <c r="A185" s="1522" t="s">
        <v>1542</v>
      </c>
      <c r="B185" s="1516" t="s">
        <v>1462</v>
      </c>
      <c r="C185" s="1516">
        <v>7260</v>
      </c>
      <c r="D185" s="1516">
        <v>7230</v>
      </c>
      <c r="E185" s="1516">
        <v>7710</v>
      </c>
      <c r="F185" s="1530">
        <v>1360</v>
      </c>
    </row>
    <row r="186" spans="1:6" s="1510" customFormat="1" ht="14.25" customHeight="1" thickBot="1">
      <c r="A186" s="1522" t="s">
        <v>1542</v>
      </c>
      <c r="B186" s="1516" t="s">
        <v>1467</v>
      </c>
      <c r="C186" s="1516"/>
      <c r="D186" s="1516"/>
      <c r="E186" s="1516"/>
      <c r="F186" s="1530">
        <v>1560</v>
      </c>
    </row>
    <row r="187" spans="1:6" s="1510" customFormat="1" ht="14.25" customHeight="1" thickBot="1">
      <c r="A187" s="1522" t="s">
        <v>1542</v>
      </c>
      <c r="B187" s="1516" t="s">
        <v>1471</v>
      </c>
      <c r="C187" s="1516"/>
      <c r="D187" s="1516"/>
      <c r="E187" s="1516"/>
      <c r="F187" s="1530">
        <v>1560</v>
      </c>
    </row>
    <row r="188" spans="1:6" s="1510" customFormat="1" ht="14.25" customHeight="1" thickBot="1">
      <c r="A188" s="1522" t="s">
        <v>1542</v>
      </c>
      <c r="B188" s="1516" t="s">
        <v>1476</v>
      </c>
      <c r="C188" s="1516"/>
      <c r="D188" s="1516"/>
      <c r="E188" s="1516"/>
      <c r="F188" s="1530">
        <v>1560</v>
      </c>
    </row>
    <row r="189" spans="1:6" s="1510" customFormat="1" ht="14.25" customHeight="1" thickBot="1">
      <c r="A189" s="1522" t="s">
        <v>1542</v>
      </c>
      <c r="B189" s="1516" t="s">
        <v>1481</v>
      </c>
      <c r="C189" s="1516"/>
      <c r="D189" s="1516"/>
      <c r="E189" s="1516"/>
      <c r="F189" s="1530">
        <v>1320</v>
      </c>
    </row>
    <row r="190" spans="1:6" s="1510" customFormat="1" ht="14.25" customHeight="1" thickBot="1">
      <c r="A190" s="1522" t="s">
        <v>1542</v>
      </c>
      <c r="B190" s="1516" t="s">
        <v>1486</v>
      </c>
      <c r="C190" s="1516"/>
      <c r="D190" s="1516"/>
      <c r="E190" s="1516"/>
      <c r="F190" s="1530">
        <v>1320</v>
      </c>
    </row>
    <row r="191" spans="1:6" s="1510" customFormat="1" ht="14.25" customHeight="1" thickBot="1">
      <c r="A191" s="1522" t="s">
        <v>1542</v>
      </c>
      <c r="B191" s="1516" t="s">
        <v>1491</v>
      </c>
      <c r="C191" s="1516"/>
      <c r="D191" s="1516"/>
      <c r="E191" s="1516"/>
      <c r="F191" s="1530">
        <v>1320</v>
      </c>
    </row>
    <row r="192" spans="1:6" s="1510" customFormat="1" ht="14.25" customHeight="1" thickBot="1">
      <c r="A192" s="1522" t="s">
        <v>1542</v>
      </c>
      <c r="B192" s="1516" t="s">
        <v>1495</v>
      </c>
      <c r="C192" s="1516"/>
      <c r="D192" s="1516"/>
      <c r="E192" s="1516"/>
      <c r="F192" s="1530">
        <v>1100</v>
      </c>
    </row>
    <row r="193" spans="1:6" s="1510" customFormat="1" ht="14.25" customHeight="1" thickBot="1">
      <c r="A193" s="1522" t="s">
        <v>1542</v>
      </c>
      <c r="B193" s="1516" t="s">
        <v>1499</v>
      </c>
      <c r="C193" s="1516"/>
      <c r="D193" s="1516"/>
      <c r="E193" s="1516"/>
      <c r="F193" s="1530">
        <v>1100</v>
      </c>
    </row>
    <row r="194" spans="1:6" s="1510" customFormat="1" ht="14.25" customHeight="1" thickBot="1">
      <c r="A194" s="1522" t="s">
        <v>1542</v>
      </c>
      <c r="B194" s="1516" t="s">
        <v>1503</v>
      </c>
      <c r="C194" s="1516"/>
      <c r="D194" s="1516"/>
      <c r="E194" s="1516"/>
      <c r="F194" s="1530">
        <v>1080</v>
      </c>
    </row>
    <row r="195" spans="1:6" s="1510" customFormat="1" ht="14.25" customHeight="1" thickBot="1">
      <c r="A195" s="1522" t="s">
        <v>1542</v>
      </c>
      <c r="B195" s="1516" t="s">
        <v>1507</v>
      </c>
      <c r="C195" s="1516"/>
      <c r="D195" s="1516"/>
      <c r="E195" s="1516"/>
      <c r="F195" s="1530">
        <v>1270</v>
      </c>
    </row>
    <row r="196" spans="1:6" s="1510" customFormat="1" ht="14.25" customHeight="1" thickBot="1">
      <c r="A196" s="1522" t="s">
        <v>1542</v>
      </c>
      <c r="B196" s="1516" t="s">
        <v>1511</v>
      </c>
      <c r="C196" s="1516"/>
      <c r="D196" s="1516"/>
      <c r="E196" s="1516"/>
      <c r="F196" s="1530">
        <v>1150</v>
      </c>
    </row>
    <row r="197" spans="1:6" s="1510" customFormat="1" ht="14.25" customHeight="1" thickBot="1">
      <c r="A197" s="1522" t="s">
        <v>1542</v>
      </c>
      <c r="B197" s="1516" t="s">
        <v>1515</v>
      </c>
      <c r="C197" s="1516"/>
      <c r="D197" s="1516"/>
      <c r="E197" s="1516"/>
      <c r="F197" s="1530">
        <v>1330</v>
      </c>
    </row>
    <row r="198" spans="1:6" s="1510" customFormat="1" ht="14.25" customHeight="1" thickBot="1">
      <c r="A198" s="1522" t="s">
        <v>1542</v>
      </c>
      <c r="B198" s="1516" t="s">
        <v>1518</v>
      </c>
      <c r="C198" s="1516"/>
      <c r="D198" s="1516"/>
      <c r="E198" s="1516"/>
      <c r="F198" s="1530">
        <v>1170</v>
      </c>
    </row>
    <row r="199" spans="1:6" s="1510" customFormat="1" ht="14.25" customHeight="1" thickBot="1">
      <c r="A199" s="1522" t="s">
        <v>1542</v>
      </c>
      <c r="B199" s="1516" t="s">
        <v>1521</v>
      </c>
      <c r="C199" s="1516"/>
      <c r="D199" s="1516"/>
      <c r="E199" s="1516"/>
      <c r="F199" s="1530">
        <v>1120</v>
      </c>
    </row>
    <row r="200" spans="1:6" s="1510" customFormat="1" ht="14.25" customHeight="1" thickBot="1">
      <c r="A200" s="1522" t="s">
        <v>1542</v>
      </c>
      <c r="B200" s="1516" t="s">
        <v>1524</v>
      </c>
      <c r="C200" s="1516"/>
      <c r="D200" s="1516"/>
      <c r="E200" s="1516"/>
      <c r="F200" s="1530">
        <v>1120</v>
      </c>
    </row>
    <row r="201" spans="1:6" s="1510" customFormat="1" ht="14.25" customHeight="1" thickBot="1">
      <c r="A201" s="1522" t="s">
        <v>1542</v>
      </c>
      <c r="B201" s="1516" t="s">
        <v>1527</v>
      </c>
      <c r="C201" s="1516"/>
      <c r="D201" s="1516"/>
      <c r="E201" s="1516"/>
      <c r="F201" s="1530">
        <v>1540</v>
      </c>
    </row>
    <row r="202" spans="1:6" s="1510" customFormat="1" ht="14.25" customHeight="1" thickBot="1">
      <c r="A202" s="1522" t="s">
        <v>1542</v>
      </c>
      <c r="B202" s="1516" t="s">
        <v>1530</v>
      </c>
      <c r="C202" s="1516"/>
      <c r="D202" s="1516"/>
      <c r="E202" s="1516"/>
      <c r="F202" s="1530">
        <v>1310</v>
      </c>
    </row>
    <row r="203" spans="1:6" s="1510" customFormat="1" ht="14.25" customHeight="1" thickBot="1">
      <c r="A203" s="1522" t="s">
        <v>1542</v>
      </c>
      <c r="B203" s="1516" t="s">
        <v>1533</v>
      </c>
      <c r="C203" s="1516"/>
      <c r="D203" s="1516"/>
      <c r="E203" s="1516"/>
      <c r="F203" s="1530">
        <v>1310</v>
      </c>
    </row>
    <row r="204" spans="1:6" s="1510" customFormat="1" ht="14.25" customHeight="1" thickBot="1">
      <c r="A204" s="1522" t="s">
        <v>1542</v>
      </c>
      <c r="B204" s="1516" t="s">
        <v>1535</v>
      </c>
      <c r="C204" s="1516"/>
      <c r="D204" s="1516"/>
      <c r="E204" s="1516"/>
      <c r="F204" s="1530">
        <v>1080</v>
      </c>
    </row>
    <row r="205" spans="1:6" s="1510" customFormat="1" ht="14.25" customHeight="1" thickBot="1">
      <c r="A205" s="1522" t="s">
        <v>1542</v>
      </c>
      <c r="B205" s="1516" t="s">
        <v>1538</v>
      </c>
      <c r="C205" s="1516"/>
      <c r="D205" s="1516"/>
      <c r="E205" s="1516"/>
      <c r="F205" s="1530">
        <v>1080</v>
      </c>
    </row>
    <row r="206" spans="1:6" s="1510" customFormat="1" ht="14.25" customHeight="1" thickBot="1">
      <c r="A206" s="1522" t="s">
        <v>1544</v>
      </c>
      <c r="B206" s="1523" t="s">
        <v>1545</v>
      </c>
      <c r="C206" s="1523">
        <v>5450</v>
      </c>
      <c r="D206" s="1523">
        <v>5430</v>
      </c>
      <c r="E206" s="1523">
        <v>5700</v>
      </c>
      <c r="F206" s="1524">
        <v>1020</v>
      </c>
    </row>
    <row r="207" spans="1:6" s="1510" customFormat="1" ht="14.25" customHeight="1" thickBot="1">
      <c r="A207" s="1522" t="s">
        <v>1544</v>
      </c>
      <c r="B207" s="1516" t="s">
        <v>1210</v>
      </c>
      <c r="C207" s="1516">
        <v>5860</v>
      </c>
      <c r="D207" s="1516">
        <v>5820</v>
      </c>
      <c r="E207" s="1516">
        <v>6050</v>
      </c>
      <c r="F207" s="1530">
        <v>1080</v>
      </c>
    </row>
    <row r="208" spans="1:6" s="1510" customFormat="1" ht="14.25" customHeight="1" thickBot="1">
      <c r="A208" s="1522" t="s">
        <v>1544</v>
      </c>
      <c r="B208" s="1516" t="s">
        <v>1223</v>
      </c>
      <c r="C208" s="1516">
        <v>4630</v>
      </c>
      <c r="D208" s="1516">
        <v>4600</v>
      </c>
      <c r="E208" s="1516">
        <v>4840</v>
      </c>
      <c r="F208" s="1530">
        <v>900</v>
      </c>
    </row>
    <row r="209" spans="1:6" s="1510" customFormat="1" ht="14.25" customHeight="1" thickBot="1">
      <c r="A209" s="1522" t="s">
        <v>1544</v>
      </c>
      <c r="B209" s="1516" t="s">
        <v>1236</v>
      </c>
      <c r="C209" s="1516">
        <v>5320</v>
      </c>
      <c r="D209" s="1516">
        <v>5270</v>
      </c>
      <c r="E209" s="1516">
        <v>5540</v>
      </c>
      <c r="F209" s="1530">
        <v>980</v>
      </c>
    </row>
    <row r="210" spans="1:6" s="1510" customFormat="1" ht="14.25" customHeight="1" thickBot="1">
      <c r="A210" s="1522" t="s">
        <v>1544</v>
      </c>
      <c r="B210" s="1516" t="s">
        <v>1248</v>
      </c>
      <c r="C210" s="1516">
        <v>5760</v>
      </c>
      <c r="D210" s="1516">
        <v>5710</v>
      </c>
      <c r="E210" s="1516">
        <v>6010</v>
      </c>
      <c r="F210" s="1530">
        <v>870</v>
      </c>
    </row>
    <row r="211" spans="1:6" s="1510" customFormat="1" ht="14.25" customHeight="1" thickBot="1">
      <c r="A211" s="1522" t="s">
        <v>1544</v>
      </c>
      <c r="B211" s="1516" t="s">
        <v>1259</v>
      </c>
      <c r="C211" s="1516">
        <v>4160</v>
      </c>
      <c r="D211" s="1516">
        <v>4100</v>
      </c>
      <c r="E211" s="1516">
        <v>4270</v>
      </c>
      <c r="F211" s="1530">
        <v>790</v>
      </c>
    </row>
    <row r="212" spans="1:6" s="1510" customFormat="1" ht="14.25" customHeight="1" thickBot="1">
      <c r="A212" s="1522" t="s">
        <v>1544</v>
      </c>
      <c r="B212" s="1516" t="s">
        <v>1270</v>
      </c>
      <c r="C212" s="1516">
        <v>4880</v>
      </c>
      <c r="D212" s="1516">
        <v>4850</v>
      </c>
      <c r="E212" s="1516">
        <v>5110</v>
      </c>
      <c r="F212" s="1530">
        <v>940</v>
      </c>
    </row>
    <row r="213" spans="1:6" s="1510" customFormat="1" ht="14.25" customHeight="1" thickBot="1">
      <c r="A213" s="1522" t="s">
        <v>1544</v>
      </c>
      <c r="B213" s="1516" t="s">
        <v>1281</v>
      </c>
      <c r="C213" s="1516">
        <v>4640</v>
      </c>
      <c r="D213" s="1516">
        <v>4590</v>
      </c>
      <c r="E213" s="1516">
        <v>4700</v>
      </c>
      <c r="F213" s="1530">
        <v>1030</v>
      </c>
    </row>
    <row r="214" spans="1:6" s="1510" customFormat="1" ht="14.25" customHeight="1" thickBot="1">
      <c r="A214" s="1522" t="s">
        <v>1544</v>
      </c>
      <c r="B214" s="1516" t="s">
        <v>1293</v>
      </c>
      <c r="C214" s="1516">
        <v>4540</v>
      </c>
      <c r="D214" s="1516">
        <v>4490</v>
      </c>
      <c r="E214" s="1516">
        <v>4610</v>
      </c>
      <c r="F214" s="1534"/>
    </row>
    <row r="215" spans="1:6" s="1510" customFormat="1" ht="14.25" customHeight="1" thickBot="1">
      <c r="A215" s="1522" t="s">
        <v>1544</v>
      </c>
      <c r="B215" s="1516" t="s">
        <v>1303</v>
      </c>
      <c r="C215" s="1516">
        <v>5280</v>
      </c>
      <c r="D215" s="1516">
        <v>5250</v>
      </c>
      <c r="E215" s="1516">
        <v>5520</v>
      </c>
      <c r="F215" s="1530">
        <v>1000</v>
      </c>
    </row>
    <row r="216" spans="1:6" s="1510" customFormat="1" ht="14.25" customHeight="1" thickBot="1">
      <c r="A216" s="1522" t="s">
        <v>1544</v>
      </c>
      <c r="B216" s="1516" t="s">
        <v>1313</v>
      </c>
      <c r="C216" s="1516">
        <v>5100</v>
      </c>
      <c r="D216" s="1516">
        <v>5050</v>
      </c>
      <c r="E216" s="1516">
        <v>5300</v>
      </c>
      <c r="F216" s="1530">
        <v>950</v>
      </c>
    </row>
    <row r="217" spans="1:6" s="1510" customFormat="1" ht="14.25" customHeight="1" thickBot="1">
      <c r="A217" s="1522" t="s">
        <v>1544</v>
      </c>
      <c r="B217" s="1516" t="s">
        <v>1323</v>
      </c>
      <c r="C217" s="1516">
        <v>5370</v>
      </c>
      <c r="D217" s="1516">
        <v>5320</v>
      </c>
      <c r="E217" s="1516">
        <v>5410</v>
      </c>
      <c r="F217" s="1530">
        <v>950</v>
      </c>
    </row>
    <row r="218" spans="1:6" s="1510" customFormat="1" ht="14.25" customHeight="1" thickBot="1">
      <c r="A218" s="1522" t="s">
        <v>1544</v>
      </c>
      <c r="B218" s="1516" t="s">
        <v>1333</v>
      </c>
      <c r="C218" s="1516">
        <v>5540</v>
      </c>
      <c r="D218" s="1516">
        <v>5480</v>
      </c>
      <c r="E218" s="1516">
        <v>5740</v>
      </c>
      <c r="F218" s="1530">
        <v>1020</v>
      </c>
    </row>
    <row r="219" spans="1:6" s="1510" customFormat="1" ht="14.25" customHeight="1" thickBot="1">
      <c r="A219" s="1522" t="s">
        <v>1544</v>
      </c>
      <c r="B219" s="1516" t="s">
        <v>1344</v>
      </c>
      <c r="C219" s="1516">
        <v>5140</v>
      </c>
      <c r="D219" s="1516">
        <v>5100</v>
      </c>
      <c r="E219" s="1516">
        <v>5350</v>
      </c>
      <c r="F219" s="1530">
        <v>1120</v>
      </c>
    </row>
    <row r="220" spans="1:6" s="1510" customFormat="1" ht="14.25" customHeight="1" thickBot="1">
      <c r="A220" s="1522" t="s">
        <v>1544</v>
      </c>
      <c r="B220" s="1516" t="s">
        <v>1355</v>
      </c>
      <c r="C220" s="1516">
        <v>5040</v>
      </c>
      <c r="D220" s="1516">
        <v>5000</v>
      </c>
      <c r="E220" s="1516">
        <v>5240</v>
      </c>
      <c r="F220" s="1530">
        <v>980</v>
      </c>
    </row>
    <row r="221" spans="1:6" s="1510" customFormat="1" ht="14.25" customHeight="1" thickBot="1">
      <c r="A221" s="1522" t="s">
        <v>1544</v>
      </c>
      <c r="B221" s="1516" t="s">
        <v>1365</v>
      </c>
      <c r="C221" s="1535"/>
      <c r="D221" s="1535"/>
      <c r="E221" s="1535"/>
      <c r="F221" s="1530">
        <v>1070</v>
      </c>
    </row>
    <row r="222" spans="1:6" s="1510" customFormat="1" ht="14.25" customHeight="1" thickBot="1">
      <c r="A222" s="1522" t="s">
        <v>1544</v>
      </c>
      <c r="B222" s="1516" t="s">
        <v>1375</v>
      </c>
      <c r="C222" s="1535"/>
      <c r="D222" s="1535"/>
      <c r="E222" s="1535"/>
      <c r="F222" s="1530">
        <v>870</v>
      </c>
    </row>
    <row r="223" spans="1:6" s="1510" customFormat="1" ht="14.25" customHeight="1" thickBot="1">
      <c r="A223" s="1522" t="s">
        <v>1544</v>
      </c>
      <c r="B223" s="1516" t="s">
        <v>1385</v>
      </c>
      <c r="C223" s="1535"/>
      <c r="D223" s="1535"/>
      <c r="E223" s="1535"/>
      <c r="F223" s="1530">
        <v>940</v>
      </c>
    </row>
    <row r="224" spans="1:6" s="1510" customFormat="1" ht="14.25" customHeight="1" thickBot="1">
      <c r="A224" s="1522" t="s">
        <v>1544</v>
      </c>
      <c r="B224" s="1516" t="s">
        <v>1395</v>
      </c>
      <c r="C224" s="1535"/>
      <c r="D224" s="1535"/>
      <c r="E224" s="1535"/>
      <c r="F224" s="1530">
        <v>990</v>
      </c>
    </row>
    <row r="225" spans="1:6" s="1510" customFormat="1" ht="14.25" customHeight="1" thickBot="1">
      <c r="A225" s="1522" t="s">
        <v>1544</v>
      </c>
      <c r="B225" s="1516" t="s">
        <v>1404</v>
      </c>
      <c r="C225" s="1516">
        <v>5730</v>
      </c>
      <c r="D225" s="1516">
        <v>5680</v>
      </c>
      <c r="E225" s="1516">
        <v>6020</v>
      </c>
      <c r="F225" s="1530">
        <v>1000</v>
      </c>
    </row>
    <row r="226" spans="1:6" s="1510" customFormat="1" ht="14.25" customHeight="1" thickBot="1">
      <c r="A226" s="1522" t="s">
        <v>1544</v>
      </c>
      <c r="B226" s="1516" t="s">
        <v>1413</v>
      </c>
      <c r="C226" s="1516">
        <v>4970</v>
      </c>
      <c r="D226" s="1516">
        <v>4940</v>
      </c>
      <c r="E226" s="1516">
        <v>5180</v>
      </c>
      <c r="F226" s="1530">
        <v>960</v>
      </c>
    </row>
    <row r="227" spans="1:6" s="1510" customFormat="1" ht="14.25" customHeight="1" thickBot="1">
      <c r="A227" s="1522" t="s">
        <v>1544</v>
      </c>
      <c r="B227" s="1516" t="s">
        <v>1421</v>
      </c>
      <c r="C227" s="1516">
        <v>5550</v>
      </c>
      <c r="D227" s="1516">
        <v>5500</v>
      </c>
      <c r="E227" s="1516">
        <v>5780</v>
      </c>
      <c r="F227" s="1530">
        <v>940</v>
      </c>
    </row>
    <row r="228" spans="1:6" s="1510" customFormat="1" ht="14.25" customHeight="1" thickBot="1">
      <c r="A228" s="1522" t="s">
        <v>1544</v>
      </c>
      <c r="B228" s="1516" t="s">
        <v>1428</v>
      </c>
      <c r="C228" s="1516">
        <v>5460</v>
      </c>
      <c r="D228" s="1516">
        <v>5420</v>
      </c>
      <c r="E228" s="1516">
        <v>5690</v>
      </c>
      <c r="F228" s="1530">
        <v>910</v>
      </c>
    </row>
    <row r="229" spans="1:6" s="1510" customFormat="1" ht="14.25" customHeight="1" thickBot="1">
      <c r="A229" s="1522" t="s">
        <v>1544</v>
      </c>
      <c r="B229" s="1516" t="s">
        <v>1435</v>
      </c>
      <c r="C229" s="1516">
        <v>5310</v>
      </c>
      <c r="D229" s="1516">
        <v>5270</v>
      </c>
      <c r="E229" s="1516">
        <v>5510</v>
      </c>
      <c r="F229" s="1534"/>
    </row>
    <row r="230" spans="1:6" s="1510" customFormat="1" ht="14.25" customHeight="1" thickBot="1">
      <c r="A230" s="1522" t="s">
        <v>1544</v>
      </c>
      <c r="B230" s="1516" t="s">
        <v>1442</v>
      </c>
      <c r="C230" s="1516">
        <v>4540</v>
      </c>
      <c r="D230" s="1516">
        <v>4500</v>
      </c>
      <c r="E230" s="1516">
        <v>4730</v>
      </c>
      <c r="F230" s="1534"/>
    </row>
    <row r="231" spans="1:6" s="1510" customFormat="1" ht="14.25" customHeight="1" thickBot="1">
      <c r="A231" s="1522" t="s">
        <v>1544</v>
      </c>
      <c r="B231" s="1516" t="s">
        <v>1449</v>
      </c>
      <c r="C231" s="1516">
        <v>4480</v>
      </c>
      <c r="D231" s="1516">
        <v>4410</v>
      </c>
      <c r="E231" s="1516">
        <v>4640</v>
      </c>
      <c r="F231" s="1534"/>
    </row>
    <row r="232" spans="1:6" s="1510" customFormat="1" ht="14.25" customHeight="1" thickBot="1">
      <c r="A232" s="1522" t="s">
        <v>1544</v>
      </c>
      <c r="B232" s="1516" t="s">
        <v>1456</v>
      </c>
      <c r="C232" s="1516">
        <v>5670</v>
      </c>
      <c r="D232" s="1516">
        <v>5600</v>
      </c>
      <c r="E232" s="1516">
        <v>5890</v>
      </c>
      <c r="F232" s="1530">
        <v>1150</v>
      </c>
    </row>
    <row r="233" spans="1:6" s="1510" customFormat="1" ht="14.25" customHeight="1" thickBot="1">
      <c r="A233" s="1522" t="s">
        <v>1544</v>
      </c>
      <c r="B233" s="1516" t="s">
        <v>1463</v>
      </c>
      <c r="C233" s="1516">
        <v>4590</v>
      </c>
      <c r="D233" s="1516">
        <v>4500</v>
      </c>
      <c r="E233" s="1516">
        <v>4600</v>
      </c>
      <c r="F233" s="1534"/>
    </row>
    <row r="234" spans="1:6" s="1510" customFormat="1" ht="14.25" customHeight="1" thickBot="1">
      <c r="A234" s="1522" t="s">
        <v>1544</v>
      </c>
      <c r="B234" s="1516" t="s">
        <v>2504</v>
      </c>
      <c r="C234" s="1516">
        <v>3990</v>
      </c>
      <c r="D234" s="1516">
        <v>3950</v>
      </c>
      <c r="E234" s="1516">
        <v>4180</v>
      </c>
      <c r="F234" s="1534"/>
    </row>
    <row r="235" spans="1:6" s="1510" customFormat="1" ht="14.25" customHeight="1" thickBot="1">
      <c r="A235" s="1522" t="s">
        <v>1544</v>
      </c>
      <c r="B235" s="1516" t="s">
        <v>1472</v>
      </c>
      <c r="C235" s="1516">
        <v>5590</v>
      </c>
      <c r="D235" s="1516">
        <v>5540</v>
      </c>
      <c r="E235" s="1516">
        <v>5810</v>
      </c>
      <c r="F235" s="1530">
        <v>970</v>
      </c>
    </row>
    <row r="236" spans="1:6" s="1510" customFormat="1" ht="14.25" customHeight="1" thickBot="1">
      <c r="A236" s="1522" t="s">
        <v>1544</v>
      </c>
      <c r="B236" s="1516" t="s">
        <v>1477</v>
      </c>
      <c r="C236" s="1516"/>
      <c r="D236" s="1516"/>
      <c r="E236" s="1516"/>
      <c r="F236" s="1530">
        <v>1020</v>
      </c>
    </row>
    <row r="237" spans="1:6" s="1510" customFormat="1" ht="14.25" customHeight="1" thickBot="1">
      <c r="A237" s="1522" t="s">
        <v>1544</v>
      </c>
      <c r="B237" s="1516" t="s">
        <v>1482</v>
      </c>
      <c r="C237" s="1516"/>
      <c r="D237" s="1516"/>
      <c r="E237" s="1516"/>
      <c r="F237" s="1530">
        <v>960</v>
      </c>
    </row>
    <row r="238" spans="1:6" s="1510" customFormat="1" ht="14.25" customHeight="1" thickBot="1">
      <c r="A238" s="1522" t="s">
        <v>1544</v>
      </c>
      <c r="B238" s="1516" t="s">
        <v>1487</v>
      </c>
      <c r="C238" s="1516"/>
      <c r="D238" s="1516"/>
      <c r="E238" s="1516"/>
      <c r="F238" s="1530">
        <v>960</v>
      </c>
    </row>
    <row r="239" spans="1:6" s="1510" customFormat="1" ht="14.25" customHeight="1" thickBot="1">
      <c r="A239" s="1522" t="s">
        <v>1544</v>
      </c>
      <c r="B239" s="1516" t="s">
        <v>1492</v>
      </c>
      <c r="C239" s="1516"/>
      <c r="D239" s="1516"/>
      <c r="E239" s="1516"/>
      <c r="F239" s="1530">
        <v>960</v>
      </c>
    </row>
    <row r="240" spans="1:6" s="1510" customFormat="1" ht="14.25" customHeight="1" thickBot="1">
      <c r="A240" s="1522" t="s">
        <v>1544</v>
      </c>
      <c r="B240" s="1516" t="s">
        <v>1496</v>
      </c>
      <c r="C240" s="1516"/>
      <c r="D240" s="1516"/>
      <c r="E240" s="1516"/>
      <c r="F240" s="1530">
        <v>990</v>
      </c>
    </row>
    <row r="241" spans="1:6" s="1510" customFormat="1" ht="14.25" customHeight="1" thickBot="1">
      <c r="A241" s="1522" t="s">
        <v>1544</v>
      </c>
      <c r="B241" s="1516" t="s">
        <v>1500</v>
      </c>
      <c r="C241" s="1516"/>
      <c r="D241" s="1516"/>
      <c r="E241" s="1516"/>
      <c r="F241" s="1530">
        <v>1000</v>
      </c>
    </row>
    <row r="242" spans="1:6" s="1510" customFormat="1" ht="14.25" customHeight="1" thickBot="1">
      <c r="A242" s="1522" t="s">
        <v>1544</v>
      </c>
      <c r="B242" s="1516" t="s">
        <v>1504</v>
      </c>
      <c r="C242" s="1516"/>
      <c r="D242" s="1516"/>
      <c r="E242" s="1516"/>
      <c r="F242" s="1530">
        <v>980</v>
      </c>
    </row>
    <row r="243" spans="1:6" s="1510" customFormat="1" ht="14.25" customHeight="1" thickBot="1">
      <c r="A243" s="1522" t="s">
        <v>1544</v>
      </c>
      <c r="B243" s="1516" t="s">
        <v>1508</v>
      </c>
      <c r="C243" s="1516"/>
      <c r="D243" s="1516"/>
      <c r="E243" s="1516"/>
      <c r="F243" s="1530">
        <v>970</v>
      </c>
    </row>
    <row r="244" spans="1:6" s="1510" customFormat="1" ht="14.25" customHeight="1" thickBot="1">
      <c r="A244" s="1522" t="s">
        <v>1544</v>
      </c>
      <c r="B244" s="1528" t="s">
        <v>1512</v>
      </c>
      <c r="C244" s="1528"/>
      <c r="D244" s="1528"/>
      <c r="E244" s="1528"/>
      <c r="F244" s="1533">
        <v>970</v>
      </c>
    </row>
    <row r="245" spans="1:6" s="1510" customFormat="1" ht="14.25" customHeight="1" thickBot="1">
      <c r="A245" s="1522" t="s">
        <v>1546</v>
      </c>
      <c r="B245" s="1523" t="s">
        <v>1547</v>
      </c>
      <c r="C245" s="1523">
        <v>4050</v>
      </c>
      <c r="D245" s="1523">
        <v>4020</v>
      </c>
      <c r="E245" s="1523">
        <v>4160</v>
      </c>
      <c r="F245" s="1524">
        <v>840</v>
      </c>
    </row>
    <row r="246" spans="1:6" s="1510" customFormat="1" ht="14.25" customHeight="1" thickBot="1">
      <c r="A246" s="1522" t="s">
        <v>1546</v>
      </c>
      <c r="B246" s="1516" t="s">
        <v>1211</v>
      </c>
      <c r="C246" s="1516">
        <v>4010</v>
      </c>
      <c r="D246" s="1516">
        <v>3960</v>
      </c>
      <c r="E246" s="1516">
        <v>4130</v>
      </c>
      <c r="F246" s="1530">
        <v>840</v>
      </c>
    </row>
    <row r="247" spans="1:6" s="1510" customFormat="1" ht="14.25" customHeight="1" thickBot="1">
      <c r="A247" s="1522" t="s">
        <v>1546</v>
      </c>
      <c r="B247" s="1516" t="s">
        <v>1548</v>
      </c>
      <c r="C247" s="1516">
        <v>3170</v>
      </c>
      <c r="D247" s="1516">
        <v>3140</v>
      </c>
      <c r="E247" s="1516">
        <v>3270</v>
      </c>
      <c r="F247" s="1530">
        <v>640</v>
      </c>
    </row>
    <row r="248" spans="1:6" s="1510" customFormat="1" ht="14.25" customHeight="1" thickBot="1">
      <c r="A248" s="1522" t="s">
        <v>1546</v>
      </c>
      <c r="B248" s="1516" t="s">
        <v>1549</v>
      </c>
      <c r="C248" s="1516">
        <v>3140</v>
      </c>
      <c r="D248" s="1516">
        <v>3120</v>
      </c>
      <c r="E248" s="1516">
        <v>3240</v>
      </c>
      <c r="F248" s="1530">
        <v>620</v>
      </c>
    </row>
    <row r="249" spans="1:6" s="1510" customFormat="1" ht="14.25" customHeight="1" thickBot="1">
      <c r="A249" s="1522" t="s">
        <v>1546</v>
      </c>
      <c r="B249" s="1516" t="s">
        <v>1249</v>
      </c>
      <c r="C249" s="1516">
        <v>3200</v>
      </c>
      <c r="D249" s="1516">
        <v>3100</v>
      </c>
      <c r="E249" s="1516">
        <v>3230</v>
      </c>
      <c r="F249" s="1530">
        <v>750</v>
      </c>
    </row>
    <row r="250" spans="1:6" s="1510" customFormat="1" ht="14.25" customHeight="1" thickBot="1">
      <c r="A250" s="1522" t="s">
        <v>1546</v>
      </c>
      <c r="B250" s="1516" t="s">
        <v>1260</v>
      </c>
      <c r="C250" s="1516">
        <v>4060</v>
      </c>
      <c r="D250" s="1516">
        <v>4000</v>
      </c>
      <c r="E250" s="1516">
        <v>4140</v>
      </c>
      <c r="F250" s="1530">
        <v>790</v>
      </c>
    </row>
    <row r="251" spans="1:6" s="1510" customFormat="1" ht="14.25" customHeight="1" thickBot="1">
      <c r="A251" s="1522" t="s">
        <v>1546</v>
      </c>
      <c r="B251" s="1516" t="s">
        <v>1271</v>
      </c>
      <c r="C251" s="1516">
        <v>3990</v>
      </c>
      <c r="D251" s="1516">
        <v>3970</v>
      </c>
      <c r="E251" s="1516">
        <v>4110</v>
      </c>
      <c r="F251" s="1530">
        <v>730</v>
      </c>
    </row>
    <row r="252" spans="1:6" s="1510" customFormat="1" ht="14.25" customHeight="1" thickBot="1">
      <c r="A252" s="1522" t="s">
        <v>1546</v>
      </c>
      <c r="B252" s="1516" t="s">
        <v>1282</v>
      </c>
      <c r="C252" s="1516">
        <v>3560</v>
      </c>
      <c r="D252" s="1516">
        <v>3530</v>
      </c>
      <c r="E252" s="1516">
        <v>3650</v>
      </c>
      <c r="F252" s="1530">
        <v>750</v>
      </c>
    </row>
    <row r="253" spans="1:6" s="1510" customFormat="1" ht="14.25" customHeight="1" thickBot="1">
      <c r="A253" s="1522" t="s">
        <v>1546</v>
      </c>
      <c r="B253" s="1516" t="s">
        <v>1294</v>
      </c>
      <c r="C253" s="1516">
        <v>3780</v>
      </c>
      <c r="D253" s="1516">
        <v>3750</v>
      </c>
      <c r="E253" s="1516">
        <v>3870</v>
      </c>
      <c r="F253" s="1530">
        <v>770</v>
      </c>
    </row>
    <row r="254" spans="1:6" s="1510" customFormat="1" ht="14.25" customHeight="1" thickBot="1">
      <c r="A254" s="1522" t="s">
        <v>1546</v>
      </c>
      <c r="B254" s="1516" t="s">
        <v>1304</v>
      </c>
      <c r="C254" s="1535"/>
      <c r="D254" s="1535"/>
      <c r="E254" s="1535"/>
      <c r="F254" s="1530">
        <v>740</v>
      </c>
    </row>
    <row r="255" spans="1:6" s="1510" customFormat="1" ht="14.25" customHeight="1" thickBot="1">
      <c r="A255" s="1522" t="s">
        <v>1546</v>
      </c>
      <c r="B255" s="1516" t="s">
        <v>1314</v>
      </c>
      <c r="C255" s="1535"/>
      <c r="D255" s="1535"/>
      <c r="E255" s="1535"/>
      <c r="F255" s="1530">
        <v>760</v>
      </c>
    </row>
    <row r="256" spans="1:6" s="1510" customFormat="1" ht="14.25" customHeight="1" thickBot="1">
      <c r="A256" s="1522" t="s">
        <v>1546</v>
      </c>
      <c r="B256" s="1516" t="s">
        <v>1324</v>
      </c>
      <c r="C256" s="1516">
        <v>3760</v>
      </c>
      <c r="D256" s="1516">
        <v>3730</v>
      </c>
      <c r="E256" s="1516">
        <v>3870</v>
      </c>
      <c r="F256" s="1530">
        <v>830</v>
      </c>
    </row>
    <row r="257" spans="1:6" s="1510" customFormat="1" ht="14.25" customHeight="1" thickBot="1">
      <c r="A257" s="1522" t="s">
        <v>1546</v>
      </c>
      <c r="B257" s="1516" t="s">
        <v>1334</v>
      </c>
      <c r="C257" s="1516">
        <v>3570</v>
      </c>
      <c r="D257" s="1516">
        <v>3540</v>
      </c>
      <c r="E257" s="1516">
        <v>3650</v>
      </c>
      <c r="F257" s="1530">
        <v>790</v>
      </c>
    </row>
    <row r="258" spans="1:6" s="1510" customFormat="1" ht="14.25" customHeight="1" thickBot="1">
      <c r="A258" s="1522" t="s">
        <v>1546</v>
      </c>
      <c r="B258" s="1516" t="s">
        <v>1345</v>
      </c>
      <c r="C258" s="1516">
        <v>3410</v>
      </c>
      <c r="D258" s="1516">
        <v>3380</v>
      </c>
      <c r="E258" s="1516">
        <v>3500</v>
      </c>
      <c r="F258" s="1530">
        <v>830</v>
      </c>
    </row>
    <row r="259" spans="1:6" s="1510" customFormat="1" ht="14.25" customHeight="1" thickBot="1">
      <c r="A259" s="1522" t="s">
        <v>1546</v>
      </c>
      <c r="B259" s="1516" t="s">
        <v>1356</v>
      </c>
      <c r="C259" s="1516">
        <v>3870</v>
      </c>
      <c r="D259" s="1516">
        <v>3840</v>
      </c>
      <c r="E259" s="1516">
        <v>3970</v>
      </c>
      <c r="F259" s="1530">
        <v>830</v>
      </c>
    </row>
    <row r="260" spans="1:6" s="1510" customFormat="1" ht="14.25" customHeight="1" thickBot="1">
      <c r="A260" s="1522" t="s">
        <v>1546</v>
      </c>
      <c r="B260" s="1516" t="s">
        <v>1366</v>
      </c>
      <c r="C260" s="1516">
        <v>3700</v>
      </c>
      <c r="D260" s="1516">
        <v>3660</v>
      </c>
      <c r="E260" s="1516">
        <v>3810</v>
      </c>
      <c r="F260" s="1530">
        <v>790</v>
      </c>
    </row>
    <row r="261" spans="1:6" s="1510" customFormat="1" ht="14.25" customHeight="1" thickBot="1">
      <c r="A261" s="1522" t="s">
        <v>1546</v>
      </c>
      <c r="B261" s="1516" t="s">
        <v>1376</v>
      </c>
      <c r="C261" s="1516">
        <v>3470</v>
      </c>
      <c r="D261" s="1516">
        <v>3430</v>
      </c>
      <c r="E261" s="1516">
        <v>3640</v>
      </c>
      <c r="F261" s="1530">
        <v>760</v>
      </c>
    </row>
    <row r="262" spans="1:6" s="1510" customFormat="1" ht="14.25" customHeight="1" thickBot="1">
      <c r="A262" s="1522" t="s">
        <v>1546</v>
      </c>
      <c r="B262" s="1516" t="s">
        <v>1386</v>
      </c>
      <c r="C262" s="1516">
        <v>3510</v>
      </c>
      <c r="D262" s="1516">
        <v>3470</v>
      </c>
      <c r="E262" s="1516">
        <v>3680</v>
      </c>
      <c r="F262" s="1534"/>
    </row>
    <row r="263" spans="1:6" s="1510" customFormat="1" ht="14.25" customHeight="1" thickBot="1">
      <c r="A263" s="1522" t="s">
        <v>1546</v>
      </c>
      <c r="B263" s="1516" t="s">
        <v>1396</v>
      </c>
      <c r="C263" s="1516">
        <v>3960</v>
      </c>
      <c r="D263" s="1516">
        <v>3930</v>
      </c>
      <c r="E263" s="1516">
        <v>4070</v>
      </c>
      <c r="F263" s="1530">
        <v>830</v>
      </c>
    </row>
    <row r="264" spans="1:6" s="1510" customFormat="1" ht="14.25" customHeight="1" thickBot="1">
      <c r="A264" s="1522" t="s">
        <v>1546</v>
      </c>
      <c r="B264" s="1516" t="s">
        <v>1405</v>
      </c>
      <c r="C264" s="1516">
        <v>4010</v>
      </c>
      <c r="D264" s="1516">
        <v>3980</v>
      </c>
      <c r="E264" s="1516">
        <v>4150</v>
      </c>
      <c r="F264" s="1530">
        <v>760</v>
      </c>
    </row>
    <row r="265" spans="1:6" s="1510" customFormat="1" ht="14.25" customHeight="1" thickBot="1">
      <c r="A265" s="1522" t="s">
        <v>1546</v>
      </c>
      <c r="B265" s="1516" t="s">
        <v>1414</v>
      </c>
      <c r="C265" s="1516">
        <v>3910</v>
      </c>
      <c r="D265" s="1516">
        <v>3890</v>
      </c>
      <c r="E265" s="1516">
        <v>4040</v>
      </c>
      <c r="F265" s="1530">
        <v>780</v>
      </c>
    </row>
    <row r="266" spans="1:6" s="1510" customFormat="1" ht="14.25" customHeight="1" thickBot="1">
      <c r="A266" s="1522" t="s">
        <v>1546</v>
      </c>
      <c r="B266" s="1516" t="s">
        <v>1422</v>
      </c>
      <c r="C266" s="1516">
        <v>3930</v>
      </c>
      <c r="D266" s="1516">
        <v>3900</v>
      </c>
      <c r="E266" s="1516">
        <v>4080</v>
      </c>
      <c r="F266" s="1530">
        <v>770</v>
      </c>
    </row>
    <row r="267" spans="1:6" s="1510" customFormat="1" ht="14.25" customHeight="1" thickBot="1">
      <c r="A267" s="1522" t="s">
        <v>1546</v>
      </c>
      <c r="B267" s="1516" t="s">
        <v>1429</v>
      </c>
      <c r="C267" s="1516">
        <v>3800</v>
      </c>
      <c r="D267" s="1516">
        <v>3780</v>
      </c>
      <c r="E267" s="1516">
        <v>3930</v>
      </c>
      <c r="F267" s="1534"/>
    </row>
    <row r="268" spans="1:6" s="1510" customFormat="1" ht="14.25" customHeight="1" thickBot="1">
      <c r="A268" s="1522" t="s">
        <v>1546</v>
      </c>
      <c r="B268" s="1516" t="s">
        <v>1436</v>
      </c>
      <c r="C268" s="1516">
        <v>3460</v>
      </c>
      <c r="D268" s="1516">
        <v>3430</v>
      </c>
      <c r="E268" s="1516">
        <v>3560</v>
      </c>
      <c r="F268" s="1530">
        <v>840</v>
      </c>
    </row>
    <row r="269" spans="1:6" s="1510" customFormat="1" ht="14.25" customHeight="1" thickBot="1">
      <c r="A269" s="1522" t="s">
        <v>1546</v>
      </c>
      <c r="B269" s="1516" t="s">
        <v>1443</v>
      </c>
      <c r="C269" s="1516">
        <v>3210</v>
      </c>
      <c r="D269" s="1516">
        <v>3190</v>
      </c>
      <c r="E269" s="1516">
        <v>3310</v>
      </c>
      <c r="F269" s="1530">
        <v>730</v>
      </c>
    </row>
    <row r="270" spans="1:6" s="1510" customFormat="1" ht="14.25" customHeight="1" thickBot="1">
      <c r="A270" s="1522" t="s">
        <v>1546</v>
      </c>
      <c r="B270" s="1516" t="s">
        <v>1450</v>
      </c>
      <c r="C270" s="1516">
        <v>3240</v>
      </c>
      <c r="D270" s="1516">
        <v>3210</v>
      </c>
      <c r="E270" s="1516">
        <v>3390</v>
      </c>
      <c r="F270" s="1530">
        <v>820</v>
      </c>
    </row>
    <row r="271" spans="1:6" s="1510" customFormat="1" ht="14.25" customHeight="1" thickBot="1">
      <c r="A271" s="1522" t="s">
        <v>1546</v>
      </c>
      <c r="B271" s="1516" t="s">
        <v>1457</v>
      </c>
      <c r="C271" s="1516">
        <v>3300</v>
      </c>
      <c r="D271" s="1516">
        <v>3270</v>
      </c>
      <c r="E271" s="1516">
        <v>3380</v>
      </c>
      <c r="F271" s="1530">
        <v>750</v>
      </c>
    </row>
    <row r="272" spans="1:6" s="1510" customFormat="1" ht="14.25" customHeight="1" thickBot="1">
      <c r="A272" s="1522" t="s">
        <v>1546</v>
      </c>
      <c r="B272" s="1516" t="s">
        <v>1464</v>
      </c>
      <c r="C272" s="1535"/>
      <c r="D272" s="1535"/>
      <c r="E272" s="1535"/>
      <c r="F272" s="1530">
        <v>740</v>
      </c>
    </row>
    <row r="273" spans="1:6" s="1510" customFormat="1" ht="14.25" customHeight="1" thickBot="1">
      <c r="A273" s="1522" t="s">
        <v>1546</v>
      </c>
      <c r="B273" s="1516" t="s">
        <v>1468</v>
      </c>
      <c r="C273" s="1516">
        <v>3130</v>
      </c>
      <c r="D273" s="1516">
        <v>3100</v>
      </c>
      <c r="E273" s="1516">
        <v>3230</v>
      </c>
      <c r="F273" s="1530">
        <v>700</v>
      </c>
    </row>
    <row r="274" spans="1:6" s="1510" customFormat="1" ht="14.25" customHeight="1" thickBot="1">
      <c r="A274" s="1522" t="s">
        <v>1546</v>
      </c>
      <c r="B274" s="1516" t="s">
        <v>1473</v>
      </c>
      <c r="C274" s="1516">
        <v>3460</v>
      </c>
      <c r="D274" s="1516">
        <v>3430</v>
      </c>
      <c r="E274" s="1516">
        <v>3560</v>
      </c>
      <c r="F274" s="1530">
        <v>690</v>
      </c>
    </row>
    <row r="275" spans="1:6" s="1510" customFormat="1" ht="14.25" customHeight="1" thickBot="1">
      <c r="A275" s="1522" t="s">
        <v>1546</v>
      </c>
      <c r="B275" s="1516" t="s">
        <v>1478</v>
      </c>
      <c r="C275" s="1516">
        <v>4040</v>
      </c>
      <c r="D275" s="1516">
        <v>4020</v>
      </c>
      <c r="E275" s="1516">
        <v>4160</v>
      </c>
      <c r="F275" s="1530">
        <v>820</v>
      </c>
    </row>
    <row r="276" spans="1:6" s="1510" customFormat="1" ht="14.25" customHeight="1" thickBot="1">
      <c r="A276" s="1522" t="s">
        <v>1546</v>
      </c>
      <c r="B276" s="1516" t="s">
        <v>1483</v>
      </c>
      <c r="C276" s="1516">
        <v>3270</v>
      </c>
      <c r="D276" s="1516">
        <v>3240</v>
      </c>
      <c r="E276" s="1516">
        <v>3350</v>
      </c>
      <c r="F276" s="1530">
        <v>680</v>
      </c>
    </row>
    <row r="277" spans="1:6" s="1510" customFormat="1" ht="14.25" customHeight="1" thickBot="1">
      <c r="A277" s="1522" t="s">
        <v>1546</v>
      </c>
      <c r="B277" s="1516" t="s">
        <v>1488</v>
      </c>
      <c r="C277" s="1516">
        <v>2930</v>
      </c>
      <c r="D277" s="1516">
        <v>2900</v>
      </c>
      <c r="E277" s="1516">
        <v>3000</v>
      </c>
      <c r="F277" s="1530">
        <v>640</v>
      </c>
    </row>
    <row r="278" spans="1:6" s="1510" customFormat="1" ht="14.25" customHeight="1" thickBot="1">
      <c r="A278" s="1522" t="s">
        <v>1546</v>
      </c>
      <c r="B278" s="1516" t="s">
        <v>1493</v>
      </c>
      <c r="C278" s="1516">
        <v>4080</v>
      </c>
      <c r="D278" s="1516">
        <v>4030</v>
      </c>
      <c r="E278" s="1516">
        <v>4140</v>
      </c>
      <c r="F278" s="1530">
        <v>850</v>
      </c>
    </row>
    <row r="279" spans="1:6" s="1510" customFormat="1" ht="14.25" customHeight="1" thickBot="1">
      <c r="A279" s="1522" t="s">
        <v>1546</v>
      </c>
      <c r="B279" s="1516" t="s">
        <v>1497</v>
      </c>
      <c r="C279" s="1516"/>
      <c r="D279" s="1516"/>
      <c r="E279" s="1516"/>
      <c r="F279" s="1530">
        <v>760</v>
      </c>
    </row>
    <row r="280" spans="1:6" s="1510" customFormat="1" ht="14.25" customHeight="1" thickBot="1">
      <c r="A280" s="1522" t="s">
        <v>1546</v>
      </c>
      <c r="B280" s="1516" t="s">
        <v>1501</v>
      </c>
      <c r="C280" s="1516"/>
      <c r="D280" s="1516"/>
      <c r="E280" s="1516"/>
      <c r="F280" s="1530">
        <v>760</v>
      </c>
    </row>
    <row r="281" spans="1:6" s="1510" customFormat="1" ht="14.25" customHeight="1" thickBot="1">
      <c r="A281" s="1522" t="s">
        <v>1546</v>
      </c>
      <c r="B281" s="1516" t="s">
        <v>1505</v>
      </c>
      <c r="C281" s="1516"/>
      <c r="D281" s="1516"/>
      <c r="E281" s="1516"/>
      <c r="F281" s="1530">
        <v>780</v>
      </c>
    </row>
    <row r="282" spans="1:6" s="1510" customFormat="1" ht="14.25" customHeight="1" thickBot="1">
      <c r="A282" s="1522" t="s">
        <v>1546</v>
      </c>
      <c r="B282" s="1516" t="s">
        <v>1509</v>
      </c>
      <c r="C282" s="1516"/>
      <c r="D282" s="1516"/>
      <c r="E282" s="1516"/>
      <c r="F282" s="1530">
        <v>730</v>
      </c>
    </row>
    <row r="283" spans="1:6" s="1510" customFormat="1" ht="14.25" customHeight="1" thickBot="1">
      <c r="A283" s="1522" t="s">
        <v>1546</v>
      </c>
      <c r="B283" s="1516" t="s">
        <v>1513</v>
      </c>
      <c r="C283" s="1516"/>
      <c r="D283" s="1516"/>
      <c r="E283" s="1516"/>
      <c r="F283" s="1530">
        <v>770</v>
      </c>
    </row>
    <row r="284" spans="1:6" s="1510" customFormat="1" ht="14.25" customHeight="1" thickBot="1">
      <c r="A284" s="1522" t="s">
        <v>1546</v>
      </c>
      <c r="B284" s="1516" t="s">
        <v>1516</v>
      </c>
      <c r="C284" s="1516"/>
      <c r="D284" s="1516"/>
      <c r="E284" s="1516"/>
      <c r="F284" s="1530">
        <v>640</v>
      </c>
    </row>
    <row r="285" spans="1:6" s="1510" customFormat="1" ht="14.25" customHeight="1" thickBot="1">
      <c r="A285" s="1522" t="s">
        <v>1546</v>
      </c>
      <c r="B285" s="1516" t="s">
        <v>1519</v>
      </c>
      <c r="C285" s="1516"/>
      <c r="D285" s="1516"/>
      <c r="E285" s="1516"/>
      <c r="F285" s="1530">
        <v>640</v>
      </c>
    </row>
    <row r="286" spans="1:6" s="1510" customFormat="1" ht="14.25" customHeight="1" thickBot="1">
      <c r="A286" s="1522" t="s">
        <v>1546</v>
      </c>
      <c r="B286" s="1516" t="s">
        <v>1522</v>
      </c>
      <c r="C286" s="1516"/>
      <c r="D286" s="1516"/>
      <c r="E286" s="1516"/>
      <c r="F286" s="1530">
        <v>850</v>
      </c>
    </row>
    <row r="287" spans="1:6" s="1510" customFormat="1" ht="14.25" customHeight="1" thickBot="1">
      <c r="A287" s="1522" t="s">
        <v>1546</v>
      </c>
      <c r="B287" s="1516" t="s">
        <v>1525</v>
      </c>
      <c r="C287" s="1516"/>
      <c r="D287" s="1516"/>
      <c r="E287" s="1516"/>
      <c r="F287" s="1530">
        <v>760</v>
      </c>
    </row>
    <row r="288" spans="1:6" s="1510" customFormat="1" ht="14.25" customHeight="1" thickBot="1">
      <c r="A288" s="1522" t="s">
        <v>1546</v>
      </c>
      <c r="B288" s="1516" t="s">
        <v>1528</v>
      </c>
      <c r="C288" s="1516"/>
      <c r="D288" s="1516"/>
      <c r="E288" s="1516"/>
      <c r="F288" s="1530">
        <v>830</v>
      </c>
    </row>
    <row r="289" spans="1:6" s="1510" customFormat="1" ht="14.25" customHeight="1" thickBot="1">
      <c r="A289" s="1522" t="s">
        <v>1546</v>
      </c>
      <c r="B289" s="1528" t="s">
        <v>1531</v>
      </c>
      <c r="C289" s="1528"/>
      <c r="D289" s="1528"/>
      <c r="E289" s="1528"/>
      <c r="F289" s="1533">
        <v>680</v>
      </c>
    </row>
    <row r="290" spans="1:6" s="1510" customFormat="1" ht="14.25" customHeight="1" thickBot="1">
      <c r="A290" s="1522" t="s">
        <v>1550</v>
      </c>
      <c r="B290" s="1523" t="s">
        <v>1551</v>
      </c>
      <c r="C290" s="1523">
        <v>2770</v>
      </c>
      <c r="D290" s="1523">
        <v>2740</v>
      </c>
      <c r="E290" s="1523">
        <v>2720</v>
      </c>
      <c r="F290" s="1536"/>
    </row>
    <row r="291" spans="1:6" s="1510" customFormat="1" ht="14.25" customHeight="1" thickBot="1">
      <c r="A291" s="1522" t="s">
        <v>1550</v>
      </c>
      <c r="B291" s="1516" t="s">
        <v>1212</v>
      </c>
      <c r="C291" s="1516">
        <v>2670</v>
      </c>
      <c r="D291" s="1516">
        <v>2640</v>
      </c>
      <c r="E291" s="1516">
        <v>2620</v>
      </c>
      <c r="F291" s="1534"/>
    </row>
    <row r="292" spans="1:6" s="1510" customFormat="1" ht="14.25" customHeight="1" thickBot="1">
      <c r="A292" s="1522" t="s">
        <v>1550</v>
      </c>
      <c r="B292" s="1516" t="s">
        <v>1552</v>
      </c>
      <c r="C292" s="1516">
        <v>2180</v>
      </c>
      <c r="D292" s="1516">
        <v>2140</v>
      </c>
      <c r="E292" s="1516">
        <v>2120</v>
      </c>
      <c r="F292" s="1530">
        <v>490</v>
      </c>
    </row>
    <row r="293" spans="1:6" s="1510" customFormat="1" ht="14.25" customHeight="1" thickBot="1">
      <c r="A293" s="1522" t="s">
        <v>1550</v>
      </c>
      <c r="B293" s="1516" t="s">
        <v>1553</v>
      </c>
      <c r="C293" s="1516"/>
      <c r="D293" s="1516"/>
      <c r="E293" s="1516"/>
      <c r="F293" s="1530">
        <v>470</v>
      </c>
    </row>
    <row r="294" spans="1:6" s="1510" customFormat="1" ht="14.25" customHeight="1" thickBot="1">
      <c r="A294" s="1522" t="s">
        <v>1550</v>
      </c>
      <c r="B294" s="1516" t="s">
        <v>1554</v>
      </c>
      <c r="C294" s="1516">
        <v>2730</v>
      </c>
      <c r="D294" s="1516">
        <v>2700</v>
      </c>
      <c r="E294" s="1516">
        <v>2680</v>
      </c>
      <c r="F294" s="1530">
        <v>490</v>
      </c>
    </row>
    <row r="295" spans="1:6" s="1510" customFormat="1" ht="14.25" customHeight="1" thickBot="1">
      <c r="A295" s="1522" t="s">
        <v>1550</v>
      </c>
      <c r="B295" s="1516" t="s">
        <v>1250</v>
      </c>
      <c r="C295" s="1516">
        <v>2380</v>
      </c>
      <c r="D295" s="1516">
        <v>2350</v>
      </c>
      <c r="E295" s="1516">
        <v>2330</v>
      </c>
      <c r="F295" s="1530">
        <v>530</v>
      </c>
    </row>
    <row r="296" spans="1:6" s="1510" customFormat="1" ht="14.25" customHeight="1" thickBot="1">
      <c r="A296" s="1522" t="s">
        <v>1550</v>
      </c>
      <c r="B296" s="1516" t="s">
        <v>1261</v>
      </c>
      <c r="C296" s="1516">
        <v>2650</v>
      </c>
      <c r="D296" s="1516">
        <v>2620</v>
      </c>
      <c r="E296" s="1516">
        <v>2590</v>
      </c>
      <c r="F296" s="1530">
        <v>590</v>
      </c>
    </row>
    <row r="297" spans="1:6" s="1510" customFormat="1" ht="14.25" customHeight="1" thickBot="1">
      <c r="A297" s="1522" t="s">
        <v>1550</v>
      </c>
      <c r="B297" s="1516" t="s">
        <v>1272</v>
      </c>
      <c r="C297" s="1516">
        <v>2700</v>
      </c>
      <c r="D297" s="1516">
        <v>2670</v>
      </c>
      <c r="E297" s="1516">
        <v>2650</v>
      </c>
      <c r="F297" s="1530">
        <v>630</v>
      </c>
    </row>
    <row r="298" spans="1:6" s="1510" customFormat="1" ht="14.25" customHeight="1" thickBot="1">
      <c r="A298" s="1522" t="s">
        <v>1550</v>
      </c>
      <c r="B298" s="1516" t="s">
        <v>1283</v>
      </c>
      <c r="C298" s="1516">
        <v>2650</v>
      </c>
      <c r="D298" s="1516">
        <v>2620</v>
      </c>
      <c r="E298" s="1516">
        <v>2590</v>
      </c>
      <c r="F298" s="1530">
        <v>640</v>
      </c>
    </row>
    <row r="299" spans="1:6" s="1510" customFormat="1" ht="14.25" customHeight="1" thickBot="1">
      <c r="A299" s="1522" t="s">
        <v>1550</v>
      </c>
      <c r="B299" s="1516" t="s">
        <v>1295</v>
      </c>
      <c r="C299" s="1516">
        <v>2500</v>
      </c>
      <c r="D299" s="1516">
        <v>2480</v>
      </c>
      <c r="E299" s="1516">
        <v>2460</v>
      </c>
      <c r="F299" s="1534"/>
    </row>
    <row r="300" spans="1:6" s="1510" customFormat="1" ht="14.25" customHeight="1" thickBot="1">
      <c r="A300" s="1522" t="s">
        <v>1550</v>
      </c>
      <c r="B300" s="1516" t="s">
        <v>1305</v>
      </c>
      <c r="C300" s="1516">
        <v>2760</v>
      </c>
      <c r="D300" s="1516">
        <v>2730</v>
      </c>
      <c r="E300" s="1516">
        <v>2700</v>
      </c>
      <c r="F300" s="1530">
        <v>630</v>
      </c>
    </row>
    <row r="301" spans="1:6" s="1510" customFormat="1" ht="14.25" customHeight="1" thickBot="1">
      <c r="A301" s="1522" t="s">
        <v>1550</v>
      </c>
      <c r="B301" s="1516" t="s">
        <v>1315</v>
      </c>
      <c r="C301" s="1516">
        <v>2510</v>
      </c>
      <c r="D301" s="1516">
        <v>2480</v>
      </c>
      <c r="E301" s="1516">
        <v>2460</v>
      </c>
      <c r="F301" s="1534"/>
    </row>
    <row r="302" spans="1:6" s="1510" customFormat="1" ht="14.25" customHeight="1" thickBot="1">
      <c r="A302" s="1522" t="s">
        <v>1550</v>
      </c>
      <c r="B302" s="1516" t="s">
        <v>1325</v>
      </c>
      <c r="C302" s="1516">
        <v>2480</v>
      </c>
      <c r="D302" s="1516">
        <v>2450</v>
      </c>
      <c r="E302" s="1516">
        <v>2420</v>
      </c>
      <c r="F302" s="1530">
        <v>600</v>
      </c>
    </row>
    <row r="303" spans="1:6" s="1510" customFormat="1" ht="14.25" customHeight="1" thickBot="1">
      <c r="A303" s="1522" t="s">
        <v>1550</v>
      </c>
      <c r="B303" s="1516" t="s">
        <v>1335</v>
      </c>
      <c r="C303" s="1516">
        <v>2270</v>
      </c>
      <c r="D303" s="1516">
        <v>2240</v>
      </c>
      <c r="E303" s="1516">
        <v>2210</v>
      </c>
      <c r="F303" s="1530">
        <v>540</v>
      </c>
    </row>
    <row r="304" spans="1:6" s="1510" customFormat="1" ht="14.25" customHeight="1" thickBot="1">
      <c r="A304" s="1522" t="s">
        <v>1550</v>
      </c>
      <c r="B304" s="1516" t="s">
        <v>1346</v>
      </c>
      <c r="C304" s="1516">
        <v>2310</v>
      </c>
      <c r="D304" s="1516">
        <v>2290</v>
      </c>
      <c r="E304" s="1516">
        <v>2270</v>
      </c>
      <c r="F304" s="1534"/>
    </row>
    <row r="305" spans="1:6" s="1510" customFormat="1" ht="14.25" customHeight="1" thickBot="1">
      <c r="A305" s="1522" t="s">
        <v>1550</v>
      </c>
      <c r="B305" s="1516" t="s">
        <v>1357</v>
      </c>
      <c r="C305" s="1516">
        <v>2490</v>
      </c>
      <c r="D305" s="1516">
        <v>2470</v>
      </c>
      <c r="E305" s="1516">
        <v>2440</v>
      </c>
      <c r="F305" s="1530">
        <v>560</v>
      </c>
    </row>
    <row r="306" spans="1:6" s="1510" customFormat="1" ht="14.25" customHeight="1" thickBot="1">
      <c r="A306" s="1522" t="s">
        <v>1550</v>
      </c>
      <c r="B306" s="1516" t="s">
        <v>1367</v>
      </c>
      <c r="C306" s="1516">
        <v>2420</v>
      </c>
      <c r="D306" s="1516">
        <v>2400</v>
      </c>
      <c r="E306" s="1516">
        <v>2380</v>
      </c>
      <c r="F306" s="1534"/>
    </row>
    <row r="307" spans="1:6" s="1510" customFormat="1" ht="14.25" customHeight="1" thickBot="1">
      <c r="A307" s="1522" t="s">
        <v>1550</v>
      </c>
      <c r="B307" s="1516" t="s">
        <v>1377</v>
      </c>
      <c r="C307" s="1516">
        <v>2770</v>
      </c>
      <c r="D307" s="1516">
        <v>2740</v>
      </c>
      <c r="E307" s="1516">
        <v>2710</v>
      </c>
      <c r="F307" s="1530">
        <v>650</v>
      </c>
    </row>
    <row r="308" spans="1:6" s="1510" customFormat="1" ht="14.25" customHeight="1" thickBot="1">
      <c r="A308" s="1522" t="s">
        <v>1550</v>
      </c>
      <c r="B308" s="1516" t="s">
        <v>1387</v>
      </c>
      <c r="C308" s="1516">
        <v>2610</v>
      </c>
      <c r="D308" s="1516">
        <v>2580</v>
      </c>
      <c r="E308" s="1516">
        <v>2550</v>
      </c>
      <c r="F308" s="1530">
        <v>580</v>
      </c>
    </row>
    <row r="309" spans="1:6" s="1510" customFormat="1" ht="14.25" customHeight="1" thickBot="1">
      <c r="A309" s="1522" t="s">
        <v>1550</v>
      </c>
      <c r="B309" s="1516" t="s">
        <v>1397</v>
      </c>
      <c r="C309" s="1516">
        <v>2690</v>
      </c>
      <c r="D309" s="1516">
        <v>2670</v>
      </c>
      <c r="E309" s="1516">
        <v>2650</v>
      </c>
      <c r="F309" s="1534"/>
    </row>
    <row r="310" spans="1:6" s="1510" customFormat="1" ht="14.25" customHeight="1" thickBot="1">
      <c r="A310" s="1522" t="s">
        <v>1550</v>
      </c>
      <c r="B310" s="1516" t="s">
        <v>1406</v>
      </c>
      <c r="C310" s="1516">
        <v>2360</v>
      </c>
      <c r="D310" s="1516">
        <v>2330</v>
      </c>
      <c r="E310" s="1516">
        <v>2310</v>
      </c>
      <c r="F310" s="1530">
        <v>560</v>
      </c>
    </row>
    <row r="311" spans="1:6" s="1510" customFormat="1" ht="14.25" customHeight="1" thickBot="1">
      <c r="A311" s="1522" t="s">
        <v>1550</v>
      </c>
      <c r="B311" s="1516" t="s">
        <v>1415</v>
      </c>
      <c r="C311" s="1516">
        <v>1970</v>
      </c>
      <c r="D311" s="1516">
        <v>1950</v>
      </c>
      <c r="E311" s="1516">
        <v>1920</v>
      </c>
      <c r="F311" s="1530">
        <v>470</v>
      </c>
    </row>
    <row r="312" spans="1:6" s="1510" customFormat="1" ht="14.25" customHeight="1" thickBot="1">
      <c r="A312" s="1522" t="s">
        <v>1550</v>
      </c>
      <c r="B312" s="1516" t="s">
        <v>1423</v>
      </c>
      <c r="C312" s="1516">
        <v>2230</v>
      </c>
      <c r="D312" s="1516">
        <v>2200</v>
      </c>
      <c r="E312" s="1516">
        <v>2170</v>
      </c>
      <c r="F312" s="1530">
        <v>460</v>
      </c>
    </row>
    <row r="313" spans="1:6" s="1510" customFormat="1" ht="14.25" customHeight="1" thickBot="1">
      <c r="A313" s="1522" t="s">
        <v>1550</v>
      </c>
      <c r="B313" s="1516" t="s">
        <v>1430</v>
      </c>
      <c r="C313" s="1516">
        <v>2770</v>
      </c>
      <c r="D313" s="1516">
        <v>2740</v>
      </c>
      <c r="E313" s="1516">
        <v>2710</v>
      </c>
      <c r="F313" s="1530">
        <v>610</v>
      </c>
    </row>
    <row r="314" spans="1:6" s="1510" customFormat="1" ht="14.25" customHeight="1" thickBot="1">
      <c r="A314" s="1522" t="s">
        <v>1550</v>
      </c>
      <c r="B314" s="1516" t="s">
        <v>1437</v>
      </c>
      <c r="C314" s="1516"/>
      <c r="D314" s="1516"/>
      <c r="E314" s="1516"/>
      <c r="F314" s="1530">
        <v>490</v>
      </c>
    </row>
    <row r="315" spans="1:6" s="1510" customFormat="1" ht="14.25" customHeight="1" thickBot="1">
      <c r="A315" s="1522" t="s">
        <v>1550</v>
      </c>
      <c r="B315" s="1516" t="s">
        <v>1444</v>
      </c>
      <c r="C315" s="1516"/>
      <c r="D315" s="1516"/>
      <c r="E315" s="1516"/>
      <c r="F315" s="1530">
        <v>520</v>
      </c>
    </row>
    <row r="316" spans="1:6" s="1510" customFormat="1" ht="14.25" customHeight="1" thickBot="1">
      <c r="A316" s="1522" t="s">
        <v>1550</v>
      </c>
      <c r="B316" s="1528" t="s">
        <v>1451</v>
      </c>
      <c r="C316" s="1528"/>
      <c r="D316" s="1528"/>
      <c r="E316" s="1528"/>
      <c r="F316" s="1533">
        <v>460</v>
      </c>
    </row>
    <row r="317" spans="1:6" s="1510" customFormat="1" ht="14.25" customHeight="1" thickBot="1">
      <c r="A317" s="1522" t="s">
        <v>1337</v>
      </c>
      <c r="B317" s="1523" t="s">
        <v>1555</v>
      </c>
      <c r="C317" s="1523">
        <v>1200</v>
      </c>
      <c r="D317" s="1523">
        <v>1180</v>
      </c>
      <c r="E317" s="1523">
        <v>1160</v>
      </c>
      <c r="F317" s="1524">
        <v>370</v>
      </c>
    </row>
    <row r="318" spans="1:6" s="1510" customFormat="1" ht="14.25" customHeight="1" thickBot="1">
      <c r="A318" s="1522" t="s">
        <v>1337</v>
      </c>
      <c r="B318" s="1516" t="s">
        <v>1556</v>
      </c>
      <c r="C318" s="1516">
        <v>1090</v>
      </c>
      <c r="D318" s="1516">
        <v>1060</v>
      </c>
      <c r="E318" s="1516">
        <v>1040</v>
      </c>
      <c r="F318" s="1534"/>
    </row>
    <row r="319" spans="1:6" s="1510" customFormat="1" ht="14.25" customHeight="1" thickBot="1">
      <c r="A319" s="1522" t="s">
        <v>1337</v>
      </c>
      <c r="B319" s="1516" t="s">
        <v>1557</v>
      </c>
      <c r="C319" s="1516">
        <v>1520</v>
      </c>
      <c r="D319" s="1516">
        <v>1470</v>
      </c>
      <c r="E319" s="1516">
        <v>1440</v>
      </c>
      <c r="F319" s="1530">
        <v>370</v>
      </c>
    </row>
    <row r="320" spans="1:6" s="1510" customFormat="1" ht="14.25" customHeight="1" thickBot="1">
      <c r="A320" s="1522" t="s">
        <v>1337</v>
      </c>
      <c r="B320" s="1516" t="s">
        <v>1239</v>
      </c>
      <c r="C320" s="1516">
        <v>1360</v>
      </c>
      <c r="D320" s="1516">
        <v>1300</v>
      </c>
      <c r="E320" s="1516">
        <v>1270</v>
      </c>
      <c r="F320" s="1534"/>
    </row>
    <row r="321" spans="1:6" s="1510" customFormat="1" ht="14.25" customHeight="1" thickBot="1">
      <c r="A321" s="1522" t="s">
        <v>1337</v>
      </c>
      <c r="B321" s="1516" t="s">
        <v>1251</v>
      </c>
      <c r="C321" s="1516">
        <v>1750</v>
      </c>
      <c r="D321" s="1516">
        <v>1690</v>
      </c>
      <c r="E321" s="1516">
        <v>1660</v>
      </c>
      <c r="F321" s="1534"/>
    </row>
    <row r="322" spans="1:6" s="1510" customFormat="1" ht="14.25" customHeight="1" thickBot="1">
      <c r="A322" s="1522" t="s">
        <v>1337</v>
      </c>
      <c r="B322" s="1516" t="s">
        <v>1262</v>
      </c>
      <c r="C322" s="1516">
        <v>1650</v>
      </c>
      <c r="D322" s="1516">
        <v>1610</v>
      </c>
      <c r="E322" s="1516">
        <v>1580</v>
      </c>
      <c r="F322" s="1530">
        <v>500</v>
      </c>
    </row>
    <row r="323" spans="1:6" s="1510" customFormat="1" ht="14.25" customHeight="1" thickBot="1">
      <c r="A323" s="1522" t="s">
        <v>1337</v>
      </c>
      <c r="B323" s="1516" t="s">
        <v>1273</v>
      </c>
      <c r="C323" s="1516">
        <v>1780</v>
      </c>
      <c r="D323" s="1516">
        <v>1740</v>
      </c>
      <c r="E323" s="1516">
        <v>1720</v>
      </c>
      <c r="F323" s="1534"/>
    </row>
    <row r="324" spans="1:6" s="1510" customFormat="1" ht="14.25" customHeight="1" thickBot="1">
      <c r="A324" s="1522" t="s">
        <v>1337</v>
      </c>
      <c r="B324" s="1516" t="s">
        <v>1284</v>
      </c>
      <c r="C324" s="1516">
        <v>1650</v>
      </c>
      <c r="D324" s="1516">
        <v>1610</v>
      </c>
      <c r="E324" s="1516">
        <v>1580</v>
      </c>
      <c r="F324" s="1534"/>
    </row>
    <row r="325" spans="1:6" s="1510" customFormat="1" ht="14.25" customHeight="1" thickBot="1">
      <c r="A325" s="1522" t="s">
        <v>1337</v>
      </c>
      <c r="B325" s="1516" t="s">
        <v>1296</v>
      </c>
      <c r="C325" s="1516">
        <v>1330</v>
      </c>
      <c r="D325" s="1516">
        <v>1270</v>
      </c>
      <c r="E325" s="1516">
        <v>1240</v>
      </c>
      <c r="F325" s="1530">
        <v>430</v>
      </c>
    </row>
    <row r="326" spans="1:6" s="1510" customFormat="1" ht="14.25" customHeight="1" thickBot="1">
      <c r="A326" s="1522" t="s">
        <v>1337</v>
      </c>
      <c r="B326" s="1516" t="s">
        <v>1306</v>
      </c>
      <c r="C326" s="1516">
        <v>1470</v>
      </c>
      <c r="D326" s="1516">
        <v>1430</v>
      </c>
      <c r="E326" s="1516">
        <v>1400</v>
      </c>
      <c r="F326" s="1534"/>
    </row>
    <row r="327" spans="1:6" s="1510" customFormat="1" ht="14.25" customHeight="1" thickBot="1">
      <c r="A327" s="1522" t="s">
        <v>1337</v>
      </c>
      <c r="B327" s="1516" t="s">
        <v>1316</v>
      </c>
      <c r="C327" s="1516">
        <v>1420</v>
      </c>
      <c r="D327" s="1516">
        <v>1380</v>
      </c>
      <c r="E327" s="1516">
        <v>1360</v>
      </c>
      <c r="F327" s="1530">
        <v>420</v>
      </c>
    </row>
    <row r="328" spans="1:6" s="1510" customFormat="1" ht="14.25" customHeight="1" thickBot="1">
      <c r="A328" s="1522" t="s">
        <v>1337</v>
      </c>
      <c r="B328" s="1516" t="s">
        <v>1326</v>
      </c>
      <c r="C328" s="1516">
        <v>1400</v>
      </c>
      <c r="D328" s="1516">
        <v>1360</v>
      </c>
      <c r="E328" s="1516">
        <v>1330</v>
      </c>
      <c r="F328" s="1530">
        <v>460</v>
      </c>
    </row>
    <row r="329" spans="1:6" s="1510" customFormat="1" ht="14.25" customHeight="1" thickBot="1">
      <c r="A329" s="1522" t="s">
        <v>1337</v>
      </c>
      <c r="B329" s="1516" t="s">
        <v>1336</v>
      </c>
      <c r="C329" s="1516">
        <v>1640</v>
      </c>
      <c r="D329" s="1516">
        <v>1610</v>
      </c>
      <c r="E329" s="1516">
        <v>1580</v>
      </c>
      <c r="F329" s="1530">
        <v>410</v>
      </c>
    </row>
    <row r="330" spans="1:6" s="1510" customFormat="1" ht="14.25" customHeight="1" thickBot="1">
      <c r="A330" s="1522" t="s">
        <v>1337</v>
      </c>
      <c r="B330" s="1516" t="s">
        <v>1347</v>
      </c>
      <c r="C330" s="1516">
        <v>1260</v>
      </c>
      <c r="D330" s="1516">
        <v>1220</v>
      </c>
      <c r="E330" s="1516">
        <v>1200</v>
      </c>
      <c r="F330" s="1534"/>
    </row>
    <row r="331" spans="1:6" s="1510" customFormat="1" ht="14.25" customHeight="1" thickBot="1">
      <c r="A331" s="1522" t="s">
        <v>1337</v>
      </c>
      <c r="B331" s="1516" t="s">
        <v>1358</v>
      </c>
      <c r="C331" s="1516">
        <v>1620</v>
      </c>
      <c r="D331" s="1516">
        <v>1560</v>
      </c>
      <c r="E331" s="1516">
        <v>1530</v>
      </c>
      <c r="F331" s="1530">
        <v>490</v>
      </c>
    </row>
    <row r="332" spans="1:6" s="1510" customFormat="1" ht="14.25" customHeight="1" thickBot="1">
      <c r="A332" s="1522" t="s">
        <v>1337</v>
      </c>
      <c r="B332" s="1516" t="s">
        <v>1368</v>
      </c>
      <c r="C332" s="1516">
        <v>1520</v>
      </c>
      <c r="D332" s="1516">
        <v>1470</v>
      </c>
      <c r="E332" s="1516">
        <v>1440</v>
      </c>
      <c r="F332" s="1530">
        <v>440</v>
      </c>
    </row>
    <row r="333" spans="1:6" s="1510" customFormat="1" ht="14.25" customHeight="1" thickBot="1">
      <c r="A333" s="1522" t="s">
        <v>1337</v>
      </c>
      <c r="B333" s="1516" t="s">
        <v>1378</v>
      </c>
      <c r="C333" s="1516">
        <v>1370</v>
      </c>
      <c r="D333" s="1516">
        <v>1320</v>
      </c>
      <c r="E333" s="1516">
        <v>1300</v>
      </c>
      <c r="F333" s="1530">
        <v>460</v>
      </c>
    </row>
    <row r="334" spans="1:6" s="1510" customFormat="1" ht="14.25" customHeight="1" thickBot="1">
      <c r="A334" s="1522" t="s">
        <v>1337</v>
      </c>
      <c r="B334" s="1516" t="s">
        <v>1388</v>
      </c>
      <c r="C334" s="1516">
        <v>1410</v>
      </c>
      <c r="D334" s="1516">
        <v>1340</v>
      </c>
      <c r="E334" s="1516">
        <v>1310</v>
      </c>
      <c r="F334" s="1530">
        <v>410</v>
      </c>
    </row>
    <row r="335" spans="1:6" s="1510" customFormat="1" ht="14.25" customHeight="1" thickBot="1">
      <c r="A335" s="1522" t="s">
        <v>1337</v>
      </c>
      <c r="B335" s="1516" t="s">
        <v>1398</v>
      </c>
      <c r="C335" s="1516">
        <v>1260</v>
      </c>
      <c r="D335" s="1516">
        <v>1220</v>
      </c>
      <c r="E335" s="1516">
        <v>1200</v>
      </c>
      <c r="F335" s="1534"/>
    </row>
    <row r="336" spans="1:6" s="1510" customFormat="1" ht="14.25" customHeight="1" thickBot="1">
      <c r="A336" s="1522" t="s">
        <v>1337</v>
      </c>
      <c r="B336" s="1516" t="s">
        <v>1407</v>
      </c>
      <c r="C336" s="1516">
        <v>1160</v>
      </c>
      <c r="D336" s="1516">
        <v>1140</v>
      </c>
      <c r="E336" s="1516">
        <v>1120</v>
      </c>
      <c r="F336" s="1530">
        <v>430</v>
      </c>
    </row>
    <row r="337" spans="1:6" s="1510" customFormat="1" ht="14.25" customHeight="1" thickBot="1">
      <c r="A337" s="1522" t="s">
        <v>1337</v>
      </c>
      <c r="B337" s="1528" t="s">
        <v>1416</v>
      </c>
      <c r="C337" s="1528"/>
      <c r="D337" s="1528"/>
      <c r="E337" s="1528"/>
      <c r="F337" s="1533">
        <v>380</v>
      </c>
    </row>
    <row r="338" spans="1:6" s="1510" customFormat="1" ht="14.25" customHeight="1" thickBot="1">
      <c r="A338" s="1522" t="s">
        <v>1348</v>
      </c>
      <c r="B338" s="1523" t="s">
        <v>1558</v>
      </c>
      <c r="C338" s="1523">
        <v>880</v>
      </c>
      <c r="D338" s="1523">
        <v>850</v>
      </c>
      <c r="E338" s="1523">
        <v>830</v>
      </c>
      <c r="F338" s="1536"/>
    </row>
    <row r="339" spans="1:6" s="1510" customFormat="1" ht="14.25" customHeight="1" thickBot="1">
      <c r="A339" s="1522" t="s">
        <v>1348</v>
      </c>
      <c r="B339" s="1516" t="s">
        <v>1559</v>
      </c>
      <c r="C339" s="1516">
        <v>830</v>
      </c>
      <c r="D339" s="1516">
        <v>800</v>
      </c>
      <c r="E339" s="1516">
        <v>780</v>
      </c>
      <c r="F339" s="1534"/>
    </row>
    <row r="340" spans="1:6" s="1510" customFormat="1" ht="14.25" customHeight="1" thickBot="1">
      <c r="A340" s="1522" t="s">
        <v>1348</v>
      </c>
      <c r="B340" s="1516" t="s">
        <v>1560</v>
      </c>
      <c r="C340" s="1516">
        <v>980</v>
      </c>
      <c r="D340" s="1516">
        <v>950</v>
      </c>
      <c r="E340" s="1516">
        <v>920</v>
      </c>
      <c r="F340" s="1534"/>
    </row>
    <row r="341" spans="1:6" s="1510" customFormat="1" ht="14.25" customHeight="1" thickBot="1">
      <c r="A341" s="1522" t="s">
        <v>1348</v>
      </c>
      <c r="B341" s="1516" t="s">
        <v>1561</v>
      </c>
      <c r="C341" s="1516">
        <v>760</v>
      </c>
      <c r="D341" s="1516">
        <v>720</v>
      </c>
      <c r="E341" s="1516">
        <v>690</v>
      </c>
      <c r="F341" s="1530">
        <v>350</v>
      </c>
    </row>
    <row r="342" spans="1:6" s="1510" customFormat="1" ht="14.25" customHeight="1" thickBot="1">
      <c r="A342" s="1522" t="s">
        <v>1348</v>
      </c>
      <c r="B342" s="1516" t="s">
        <v>1252</v>
      </c>
      <c r="C342" s="1516">
        <v>910</v>
      </c>
      <c r="D342" s="1516">
        <v>870</v>
      </c>
      <c r="E342" s="1516">
        <v>850</v>
      </c>
      <c r="F342" s="1530">
        <v>370</v>
      </c>
    </row>
    <row r="343" spans="1:6" s="1510" customFormat="1" ht="14.25" customHeight="1" thickBot="1">
      <c r="A343" s="1522" t="s">
        <v>1348</v>
      </c>
      <c r="B343" s="1516" t="s">
        <v>1263</v>
      </c>
      <c r="C343" s="1516">
        <v>800</v>
      </c>
      <c r="D343" s="1516">
        <v>760</v>
      </c>
      <c r="E343" s="1516">
        <v>730</v>
      </c>
      <c r="F343" s="1530">
        <v>340</v>
      </c>
    </row>
    <row r="344" spans="1:6" s="1510" customFormat="1" ht="14.25" customHeight="1" thickBot="1">
      <c r="A344" s="1522" t="s">
        <v>1348</v>
      </c>
      <c r="B344" s="1528" t="s">
        <v>1274</v>
      </c>
      <c r="C344" s="1528">
        <v>720</v>
      </c>
      <c r="D344" s="1528">
        <v>690</v>
      </c>
      <c r="E344" s="1528">
        <v>660</v>
      </c>
      <c r="F344" s="1533">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XFD3"/>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2034</v>
      </c>
      <c r="B1" s="1956"/>
      <c r="C1" s="1956"/>
      <c r="D1" s="1956"/>
      <c r="E1" s="1956"/>
    </row>
    <row r="2" spans="1:5" ht="78" customHeight="1">
      <c r="A2" s="340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8"/>
      <c r="C2" s="3408"/>
      <c r="D2" s="3408"/>
      <c r="E2" s="3408"/>
    </row>
    <row r="3" spans="1:5" ht="18.75">
      <c r="A3" s="3409" t="s">
        <v>2035</v>
      </c>
      <c r="B3" s="3409"/>
      <c r="C3" s="3409"/>
      <c r="D3" s="3409"/>
      <c r="E3" s="3409"/>
    </row>
    <row r="4" spans="1:5" ht="19.5" thickBot="1">
      <c r="A4" s="1968"/>
      <c r="B4" s="3407" t="s">
        <v>2040</v>
      </c>
      <c r="C4" s="3407"/>
      <c r="D4" s="3407"/>
      <c r="E4" s="1968"/>
    </row>
    <row r="5" spans="1:5" ht="16.5" thickTop="1">
      <c r="A5" s="1956"/>
      <c r="B5" s="3405" t="s">
        <v>2036</v>
      </c>
      <c r="C5" s="1958" t="s">
        <v>2041</v>
      </c>
      <c r="D5" s="1959">
        <f ca="1">结果表!H101</f>
        <v>16368</v>
      </c>
      <c r="E5" s="1956"/>
    </row>
    <row r="6" spans="1:5" ht="15.75">
      <c r="A6" s="1956"/>
      <c r="B6" s="3405"/>
      <c r="C6" s="1958" t="s">
        <v>2882</v>
      </c>
      <c r="D6" s="1959" t="str">
        <f ca="1">NUMBERSTRING(INT(D5*10000),2)&amp;"元整"</f>
        <v>壹亿陆仟叁佰陆拾捌万元整</v>
      </c>
      <c r="E6" s="1956"/>
    </row>
    <row r="7" spans="1:5" ht="15.75">
      <c r="A7" s="1956"/>
      <c r="B7" s="3410"/>
      <c r="C7" s="1960" t="s">
        <v>2042</v>
      </c>
      <c r="D7" s="1961">
        <f ca="1">结果表!H102</f>
        <v>1860</v>
      </c>
      <c r="E7" s="1956"/>
    </row>
    <row r="8" spans="1:5" ht="15.75">
      <c r="A8" s="1956"/>
      <c r="B8" s="3411" t="str">
        <f>结果表!E103</f>
        <v>2.估价师知悉的法定优先受偿款</v>
      </c>
      <c r="C8" s="1962" t="s">
        <v>2043</v>
      </c>
      <c r="D8" s="1961">
        <f>结果表!H103</f>
        <v>0</v>
      </c>
      <c r="E8" s="1956"/>
    </row>
    <row r="9" spans="1:5" ht="15.75">
      <c r="A9" s="1956"/>
      <c r="B9" s="3413"/>
      <c r="C9" s="1958" t="s">
        <v>2882</v>
      </c>
      <c r="D9" s="1959" t="str">
        <f>NUMBERSTRING(INT(D8*10000),2)&amp;"元整"</f>
        <v>元整</v>
      </c>
      <c r="E9" s="1956"/>
    </row>
    <row r="10" spans="1:5" ht="15">
      <c r="A10" s="1956"/>
      <c r="B10" s="1963" t="s">
        <v>2037</v>
      </c>
      <c r="C10" s="1964" t="s">
        <v>2043</v>
      </c>
      <c r="D10" s="1965">
        <f>结果表!H104</f>
        <v>0</v>
      </c>
      <c r="E10" s="1956"/>
    </row>
    <row r="11" spans="1:5" ht="15">
      <c r="A11" s="1956"/>
      <c r="B11" s="1963" t="s">
        <v>2038</v>
      </c>
      <c r="C11" s="1964" t="s">
        <v>2043</v>
      </c>
      <c r="D11" s="1965">
        <f>结果表!H105</f>
        <v>0</v>
      </c>
      <c r="E11" s="1956"/>
    </row>
    <row r="12" spans="1:5" ht="15">
      <c r="A12" s="1956"/>
      <c r="B12" s="1963" t="s">
        <v>2039</v>
      </c>
      <c r="C12" s="1964" t="s">
        <v>2043</v>
      </c>
      <c r="D12" s="1965">
        <f>结果表!H106</f>
        <v>0</v>
      </c>
      <c r="E12" s="1956"/>
    </row>
    <row r="13" spans="1:5" ht="15.75">
      <c r="A13" s="1956"/>
      <c r="B13" s="3404" t="str">
        <f>结果表!E107</f>
        <v>3.房地产抵押价值</v>
      </c>
      <c r="C13" s="1966" t="s">
        <v>2041</v>
      </c>
      <c r="D13" s="1969">
        <f ca="1">结果表!H107</f>
        <v>16368</v>
      </c>
      <c r="E13" s="1956"/>
    </row>
    <row r="14" spans="1:5" ht="15.75">
      <c r="A14" s="1956"/>
      <c r="B14" s="3405"/>
      <c r="C14" s="1958" t="s">
        <v>2882</v>
      </c>
      <c r="D14" s="1959" t="str">
        <f ca="1">NUMBERSTRING(INT(D13*10000),2)&amp;"元整"</f>
        <v>壹亿陆仟叁佰陆拾捌万元整</v>
      </c>
      <c r="E14" s="1956"/>
    </row>
    <row r="15" spans="1:5" ht="15">
      <c r="A15" s="1956"/>
      <c r="B15" s="3410"/>
      <c r="C15" s="1960" t="s">
        <v>2042</v>
      </c>
      <c r="D15" s="2071">
        <f ca="1">结果表!H108</f>
        <v>1860</v>
      </c>
      <c r="E15" s="1956"/>
    </row>
    <row r="16" spans="1:5" ht="14.25">
      <c r="A16" s="1956"/>
      <c r="B16" s="3411" t="str">
        <f>结果表!E109</f>
        <v>——</v>
      </c>
      <c r="C16" s="1966" t="s">
        <v>2041</v>
      </c>
      <c r="D16" s="2072" t="str">
        <f>结果表!H109</f>
        <v>——</v>
      </c>
      <c r="E16" s="1956"/>
    </row>
    <row r="17" spans="1:5" ht="15.75">
      <c r="A17" s="1956"/>
      <c r="B17" s="3412"/>
      <c r="C17" s="1958" t="s">
        <v>2882</v>
      </c>
      <c r="D17" s="1959" t="e">
        <f>NUMBERSTRING(INT(D16*10000),2)&amp;"元整"</f>
        <v>#VALUE!</v>
      </c>
      <c r="E17" s="1956"/>
    </row>
    <row r="18" spans="1:5" ht="15">
      <c r="A18" s="1956"/>
      <c r="B18" s="3413"/>
      <c r="C18" s="1960" t="s">
        <v>2042</v>
      </c>
      <c r="D18" s="2071" t="str">
        <f>结果表!H110</f>
        <v>——</v>
      </c>
      <c r="E18" s="1956"/>
    </row>
    <row r="19" spans="1:5" ht="15.75">
      <c r="A19" s="1956"/>
      <c r="B19" s="3404" t="str">
        <f>结果表!E111</f>
        <v>4.抵押净值</v>
      </c>
      <c r="C19" s="1966" t="s">
        <v>2041</v>
      </c>
      <c r="D19" s="1961">
        <f ca="1">结果表!H111</f>
        <v>15487</v>
      </c>
      <c r="E19" s="1956"/>
    </row>
    <row r="20" spans="1:5" ht="15.75">
      <c r="A20" s="1956"/>
      <c r="B20" s="3405"/>
      <c r="C20" s="1958" t="s">
        <v>2882</v>
      </c>
      <c r="D20" s="1959" t="str">
        <f ca="1">NUMBERSTRING(INT(D19*10000),2)&amp;"元整"</f>
        <v>壹亿伍仟肆佰捌拾柒万元整</v>
      </c>
      <c r="E20" s="1956"/>
    </row>
    <row r="21" spans="1:5" ht="15.75" thickBot="1">
      <c r="A21" s="1956"/>
      <c r="B21" s="3406"/>
      <c r="C21" s="2073" t="s">
        <v>2042</v>
      </c>
      <c r="D21" s="2074">
        <f ca="1">结果表!H112</f>
        <v>1759</v>
      </c>
      <c r="E21" s="1956"/>
    </row>
    <row r="22" spans="1:5" ht="14.25" thickTop="1">
      <c r="A22" s="1956"/>
      <c r="B22" s="1967" t="s">
        <v>2069</v>
      </c>
      <c r="C22" s="1956"/>
      <c r="D22" s="1956"/>
      <c r="E22" s="1956"/>
    </row>
    <row r="23" spans="1:5">
      <c r="A23" s="1956"/>
      <c r="B23" s="1956"/>
      <c r="C23" s="1956"/>
      <c r="D23" s="1956"/>
      <c r="E23" s="1956"/>
    </row>
    <row r="24" spans="1:5" ht="18.75">
      <c r="A24" s="1987"/>
      <c r="B24" s="1988" t="s">
        <v>2049</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37" customWidth="1"/>
    <col min="2" max="2" width="10.25" style="1482" customWidth="1"/>
  </cols>
  <sheetData>
    <row r="1" spans="1:6">
      <c r="A1" s="3774" t="s">
        <v>2141</v>
      </c>
      <c r="B1" s="3774"/>
    </row>
    <row r="2" spans="1:6" ht="14.25" thickBot="1">
      <c r="A2" s="2105"/>
      <c r="B2" s="2105"/>
    </row>
    <row r="3" spans="1:6" ht="14.25" thickBot="1">
      <c r="A3" s="2105"/>
      <c r="B3" s="2105"/>
      <c r="C3" s="2109" t="s">
        <v>2144</v>
      </c>
      <c r="D3" s="2109" t="s">
        <v>2145</v>
      </c>
      <c r="E3" s="2109" t="s">
        <v>2146</v>
      </c>
      <c r="F3" s="2109" t="s">
        <v>2147</v>
      </c>
    </row>
    <row r="4" spans="1:6" ht="14.25" thickBot="1">
      <c r="A4" s="2107" t="s">
        <v>2142</v>
      </c>
      <c r="B4" s="2108" t="s">
        <v>2143</v>
      </c>
      <c r="C4" s="2109"/>
      <c r="D4" s="2109"/>
      <c r="E4" s="2109"/>
      <c r="F4" s="2109"/>
    </row>
    <row r="5" spans="1:6" ht="14.25" thickBot="1">
      <c r="A5" s="1522" t="s">
        <v>2148</v>
      </c>
      <c r="B5" s="1523" t="s">
        <v>2149</v>
      </c>
      <c r="C5" s="2110">
        <v>8.8999999999999996E-2</v>
      </c>
      <c r="D5" s="2110">
        <v>7.3999999999999996E-2</v>
      </c>
      <c r="E5" s="2110">
        <v>7.4999999999999997E-2</v>
      </c>
      <c r="F5" s="2111">
        <v>0.1</v>
      </c>
    </row>
    <row r="6" spans="1:6" ht="14.25" thickBot="1">
      <c r="A6" s="1522" t="s">
        <v>1228</v>
      </c>
      <c r="B6" s="1516" t="s">
        <v>2150</v>
      </c>
      <c r="C6" s="2112">
        <v>0.1</v>
      </c>
      <c r="D6" s="2112">
        <v>9.0999999999999998E-2</v>
      </c>
      <c r="E6" s="2112">
        <v>9.0999999999999998E-2</v>
      </c>
      <c r="F6" s="2113">
        <v>0.1</v>
      </c>
    </row>
    <row r="7" spans="1:6" ht="14.25" thickBot="1">
      <c r="A7" s="1522" t="s">
        <v>1228</v>
      </c>
      <c r="B7" s="1526" t="s">
        <v>1217</v>
      </c>
      <c r="C7" s="2112">
        <v>8.5999999999999993E-2</v>
      </c>
      <c r="D7" s="2112">
        <v>9.6000000000000002E-2</v>
      </c>
      <c r="E7" s="2112">
        <v>7.5999999999999998E-2</v>
      </c>
      <c r="F7" s="2113">
        <v>0.1</v>
      </c>
    </row>
    <row r="8" spans="1:6" ht="14.25" thickBot="1">
      <c r="A8" s="1522" t="s">
        <v>1228</v>
      </c>
      <c r="B8" s="1516" t="s">
        <v>1229</v>
      </c>
      <c r="C8" s="2112">
        <v>9.9000000000000005E-2</v>
      </c>
      <c r="D8" s="2112">
        <v>9.8000000000000004E-2</v>
      </c>
      <c r="E8" s="2112">
        <v>9.8000000000000004E-2</v>
      </c>
      <c r="F8" s="2113">
        <v>0.1</v>
      </c>
    </row>
    <row r="9" spans="1:6" ht="14.25" thickBot="1">
      <c r="A9" s="1532" t="s">
        <v>1228</v>
      </c>
      <c r="B9" s="1527" t="s">
        <v>1241</v>
      </c>
      <c r="C9" s="2114">
        <v>0.05</v>
      </c>
      <c r="D9" s="2122"/>
      <c r="E9" s="2122"/>
      <c r="F9" s="2123"/>
    </row>
    <row r="10" spans="1:6" ht="14.25" thickBot="1">
      <c r="A10" s="1522" t="s">
        <v>1285</v>
      </c>
      <c r="B10" s="1523" t="s">
        <v>2151</v>
      </c>
      <c r="C10" s="2110">
        <v>8.8999999999999996E-2</v>
      </c>
      <c r="D10" s="2110">
        <v>7.2999999999999995E-2</v>
      </c>
      <c r="E10" s="2110">
        <v>8.2000000000000003E-2</v>
      </c>
      <c r="F10" s="2111">
        <v>0.1</v>
      </c>
    </row>
    <row r="11" spans="1:6" ht="14.25" thickBot="1">
      <c r="A11" s="1522" t="s">
        <v>1285</v>
      </c>
      <c r="B11" s="1526" t="s">
        <v>1204</v>
      </c>
      <c r="C11" s="2112">
        <v>8.8999999999999996E-2</v>
      </c>
      <c r="D11" s="2112">
        <v>7.2999999999999995E-2</v>
      </c>
      <c r="E11" s="2112">
        <v>8.2000000000000003E-2</v>
      </c>
      <c r="F11" s="2113">
        <v>0.1</v>
      </c>
    </row>
    <row r="12" spans="1:6" ht="14.25" thickBot="1">
      <c r="A12" s="1522" t="s">
        <v>1285</v>
      </c>
      <c r="B12" s="1526" t="s">
        <v>1140</v>
      </c>
      <c r="C12" s="2112">
        <v>6.0999999999999999E-2</v>
      </c>
      <c r="D12" s="2112">
        <v>7.0999999999999994E-2</v>
      </c>
      <c r="E12" s="2112">
        <v>9.6000000000000002E-2</v>
      </c>
      <c r="F12" s="2113">
        <v>0.1</v>
      </c>
    </row>
    <row r="13" spans="1:6" ht="14.25" thickBot="1">
      <c r="A13" s="1522" t="s">
        <v>1285</v>
      </c>
      <c r="B13" s="1526" t="s">
        <v>1230</v>
      </c>
      <c r="C13" s="2112">
        <v>6.9000000000000006E-2</v>
      </c>
      <c r="D13" s="2112">
        <v>6.5000000000000002E-2</v>
      </c>
      <c r="E13" s="2112">
        <v>6.6000000000000003E-2</v>
      </c>
      <c r="F13" s="2113">
        <v>0.1</v>
      </c>
    </row>
    <row r="14" spans="1:6" ht="14.25" thickBot="1">
      <c r="A14" s="1522" t="s">
        <v>1285</v>
      </c>
      <c r="B14" s="1526" t="s">
        <v>1242</v>
      </c>
      <c r="C14" s="2112">
        <v>0.1</v>
      </c>
      <c r="D14" s="2112">
        <v>6.5000000000000002E-2</v>
      </c>
      <c r="E14" s="2112">
        <v>7.0000000000000007E-2</v>
      </c>
      <c r="F14" s="2113">
        <v>0.1</v>
      </c>
    </row>
    <row r="15" spans="1:6" ht="14.25" thickBot="1">
      <c r="A15" s="1522" t="s">
        <v>1285</v>
      </c>
      <c r="B15" s="1526" t="s">
        <v>1253</v>
      </c>
      <c r="C15" s="2112">
        <v>9.8000000000000004E-2</v>
      </c>
      <c r="D15" s="2112">
        <v>8.8999999999999996E-2</v>
      </c>
      <c r="E15" s="2112">
        <v>8.8999999999999996E-2</v>
      </c>
      <c r="F15" s="2113">
        <v>0.1</v>
      </c>
    </row>
    <row r="16" spans="1:6" ht="14.25" thickBot="1">
      <c r="A16" s="1522" t="s">
        <v>1285</v>
      </c>
      <c r="B16" s="1526" t="s">
        <v>1264</v>
      </c>
      <c r="C16" s="2112">
        <v>7.0000000000000007E-2</v>
      </c>
      <c r="D16" s="2112">
        <v>9.2999999999999999E-2</v>
      </c>
      <c r="E16" s="2112">
        <v>9.6000000000000002E-2</v>
      </c>
      <c r="F16" s="2113">
        <v>0.1</v>
      </c>
    </row>
    <row r="17" spans="1:6" ht="14.25" thickBot="1">
      <c r="A17" s="1522" t="s">
        <v>1285</v>
      </c>
      <c r="B17" s="1526" t="s">
        <v>1275</v>
      </c>
      <c r="C17" s="2112">
        <v>9.5000000000000001E-2</v>
      </c>
      <c r="D17" s="2112">
        <v>0.1</v>
      </c>
      <c r="E17" s="2112">
        <v>0.1</v>
      </c>
      <c r="F17" s="2124"/>
    </row>
    <row r="18" spans="1:6" ht="14.25" thickBot="1">
      <c r="A18" s="1522" t="s">
        <v>1285</v>
      </c>
      <c r="B18" s="1526" t="s">
        <v>1287</v>
      </c>
      <c r="C18" s="2112">
        <v>7.3999999999999996E-2</v>
      </c>
      <c r="D18" s="2112">
        <v>9.9000000000000005E-2</v>
      </c>
      <c r="E18" s="2112">
        <v>0.1</v>
      </c>
      <c r="F18" s="2124"/>
    </row>
    <row r="19" spans="1:6" ht="14.25" thickBot="1">
      <c r="A19" s="1522" t="s">
        <v>1285</v>
      </c>
      <c r="B19" s="1526" t="s">
        <v>1297</v>
      </c>
      <c r="C19" s="2112">
        <v>9.9000000000000005E-2</v>
      </c>
      <c r="D19" s="2112">
        <v>7.5999999999999998E-2</v>
      </c>
      <c r="E19" s="2112">
        <v>8.6999999999999994E-2</v>
      </c>
      <c r="F19" s="2124"/>
    </row>
    <row r="20" spans="1:6" ht="14.25" thickBot="1">
      <c r="A20" s="1522" t="s">
        <v>1285</v>
      </c>
      <c r="B20" s="1526" t="s">
        <v>1307</v>
      </c>
      <c r="C20" s="2112">
        <v>9.8000000000000004E-2</v>
      </c>
      <c r="D20" s="2112">
        <v>8.5000000000000006E-2</v>
      </c>
      <c r="E20" s="2112">
        <v>8.2000000000000003E-2</v>
      </c>
      <c r="F20" s="2124"/>
    </row>
    <row r="21" spans="1:6" ht="14.25" thickBot="1">
      <c r="A21" s="1522" t="s">
        <v>1285</v>
      </c>
      <c r="B21" s="1526" t="s">
        <v>1317</v>
      </c>
      <c r="C21" s="2112">
        <v>6.6000000000000003E-2</v>
      </c>
      <c r="D21" s="2112">
        <v>6.4000000000000001E-2</v>
      </c>
      <c r="E21" s="2112">
        <v>6.5000000000000002E-2</v>
      </c>
      <c r="F21" s="2124"/>
    </row>
    <row r="22" spans="1:6" ht="14.25" thickBot="1">
      <c r="A22" s="1522" t="s">
        <v>1285</v>
      </c>
      <c r="B22" s="1526" t="s">
        <v>2152</v>
      </c>
      <c r="C22" s="2112">
        <v>0.08</v>
      </c>
      <c r="D22" s="2112">
        <v>9.8000000000000004E-2</v>
      </c>
      <c r="E22" s="2112">
        <v>9.8000000000000004E-2</v>
      </c>
      <c r="F22" s="2124"/>
    </row>
    <row r="23" spans="1:6" ht="14.25" thickBot="1">
      <c r="A23" s="1522" t="s">
        <v>1285</v>
      </c>
      <c r="B23" s="1526" t="s">
        <v>1338</v>
      </c>
      <c r="C23" s="2112">
        <v>9.9000000000000005E-2</v>
      </c>
      <c r="D23" s="2112">
        <v>9.8000000000000004E-2</v>
      </c>
      <c r="E23" s="2112">
        <v>9.0999999999999998E-2</v>
      </c>
      <c r="F23" s="2124"/>
    </row>
    <row r="24" spans="1:6" ht="14.25" thickBot="1">
      <c r="A24" s="1522" t="s">
        <v>1285</v>
      </c>
      <c r="B24" s="1526" t="s">
        <v>1349</v>
      </c>
      <c r="C24" s="2112">
        <v>8.8999999999999996E-2</v>
      </c>
      <c r="D24" s="2112">
        <v>9.7000000000000003E-2</v>
      </c>
      <c r="E24" s="2112">
        <v>7.0000000000000007E-2</v>
      </c>
      <c r="F24" s="2124"/>
    </row>
    <row r="25" spans="1:6" ht="14.25" thickBot="1">
      <c r="A25" s="1522" t="s">
        <v>1285</v>
      </c>
      <c r="B25" s="1526" t="s">
        <v>1359</v>
      </c>
      <c r="C25" s="2112">
        <v>8.8999999999999996E-2</v>
      </c>
      <c r="D25" s="2112">
        <v>0.1</v>
      </c>
      <c r="E25" s="2112">
        <v>8.1000000000000003E-2</v>
      </c>
      <c r="F25" s="2124"/>
    </row>
    <row r="26" spans="1:6" ht="14.25" thickBot="1">
      <c r="A26" s="1522" t="s">
        <v>1285</v>
      </c>
      <c r="B26" s="1526" t="s">
        <v>1369</v>
      </c>
      <c r="C26" s="2125"/>
      <c r="D26" s="2112">
        <v>9.6000000000000002E-2</v>
      </c>
      <c r="E26" s="2112">
        <v>9.2999999999999999E-2</v>
      </c>
      <c r="F26" s="2124"/>
    </row>
    <row r="27" spans="1:6" ht="14.25" thickBot="1">
      <c r="A27" s="1522" t="s">
        <v>1285</v>
      </c>
      <c r="B27" s="1526" t="s">
        <v>1379</v>
      </c>
      <c r="C27" s="2125"/>
      <c r="D27" s="2112">
        <v>7.5999999999999998E-2</v>
      </c>
      <c r="E27" s="2112">
        <v>9.1999999999999998E-2</v>
      </c>
      <c r="F27" s="2124"/>
    </row>
    <row r="28" spans="1:6" ht="14.25" thickBot="1">
      <c r="A28" s="1532" t="s">
        <v>1285</v>
      </c>
      <c r="B28" s="1527" t="s">
        <v>1389</v>
      </c>
      <c r="C28" s="2122"/>
      <c r="D28" s="2114">
        <v>7.5999999999999998E-2</v>
      </c>
      <c r="E28" s="2114">
        <v>9.1999999999999998E-2</v>
      </c>
      <c r="F28" s="2123"/>
    </row>
    <row r="29" spans="1:6" ht="14.25" thickBot="1">
      <c r="A29" s="1522" t="s">
        <v>1458</v>
      </c>
      <c r="B29" s="1523" t="s">
        <v>2153</v>
      </c>
      <c r="C29" s="2110">
        <v>6.4000000000000001E-2</v>
      </c>
      <c r="D29" s="2110">
        <v>6.5000000000000002E-2</v>
      </c>
      <c r="E29" s="2110">
        <v>6.9000000000000006E-2</v>
      </c>
      <c r="F29" s="2111">
        <v>0.1</v>
      </c>
    </row>
    <row r="30" spans="1:6" ht="14.25" thickBot="1">
      <c r="A30" s="1522" t="s">
        <v>1458</v>
      </c>
      <c r="B30" s="1526" t="s">
        <v>1205</v>
      </c>
      <c r="C30" s="2112">
        <v>6.4000000000000001E-2</v>
      </c>
      <c r="D30" s="2112">
        <v>9.9000000000000005E-2</v>
      </c>
      <c r="E30" s="2112">
        <v>0.1</v>
      </c>
      <c r="F30" s="2113">
        <v>0.1</v>
      </c>
    </row>
    <row r="31" spans="1:6" ht="14.25" thickBot="1">
      <c r="A31" s="1522" t="s">
        <v>1458</v>
      </c>
      <c r="B31" s="1526" t="s">
        <v>1218</v>
      </c>
      <c r="C31" s="2112">
        <v>0.1</v>
      </c>
      <c r="D31" s="2112">
        <v>9.5000000000000001E-2</v>
      </c>
      <c r="E31" s="2112">
        <v>8.8999999999999996E-2</v>
      </c>
      <c r="F31" s="2113">
        <v>0.1</v>
      </c>
    </row>
    <row r="32" spans="1:6" ht="14.25" thickBot="1">
      <c r="A32" s="1522" t="s">
        <v>1458</v>
      </c>
      <c r="B32" s="1526" t="s">
        <v>1231</v>
      </c>
      <c r="C32" s="2112">
        <v>0.05</v>
      </c>
      <c r="D32" s="2112">
        <v>0.05</v>
      </c>
      <c r="E32" s="2112">
        <v>8.7999999999999995E-2</v>
      </c>
      <c r="F32" s="2113">
        <v>0.1</v>
      </c>
    </row>
    <row r="33" spans="1:6" ht="14.25" thickBot="1">
      <c r="A33" s="1522" t="s">
        <v>1458</v>
      </c>
      <c r="B33" s="1526" t="s">
        <v>1243</v>
      </c>
      <c r="C33" s="2112">
        <v>7.4999999999999997E-2</v>
      </c>
      <c r="D33" s="2112">
        <v>9.4E-2</v>
      </c>
      <c r="E33" s="2112">
        <v>9.7000000000000003E-2</v>
      </c>
      <c r="F33" s="2113">
        <v>0.1</v>
      </c>
    </row>
    <row r="34" spans="1:6" ht="14.25" thickBot="1">
      <c r="A34" s="1522" t="s">
        <v>1458</v>
      </c>
      <c r="B34" s="1526" t="s">
        <v>1254</v>
      </c>
      <c r="C34" s="2112">
        <v>9.8000000000000004E-2</v>
      </c>
      <c r="D34" s="2112">
        <v>8.5999999999999993E-2</v>
      </c>
      <c r="E34" s="2112">
        <v>9.7000000000000003E-2</v>
      </c>
      <c r="F34" s="2113">
        <v>0.1</v>
      </c>
    </row>
    <row r="35" spans="1:6" ht="14.25" thickBot="1">
      <c r="A35" s="1522" t="s">
        <v>1458</v>
      </c>
      <c r="B35" s="1526" t="s">
        <v>1265</v>
      </c>
      <c r="C35" s="2112">
        <v>5.8999999999999997E-2</v>
      </c>
      <c r="D35" s="2112">
        <v>6.5000000000000002E-2</v>
      </c>
      <c r="E35" s="2112">
        <v>7.0000000000000007E-2</v>
      </c>
      <c r="F35" s="2113">
        <v>0.1</v>
      </c>
    </row>
    <row r="36" spans="1:6" ht="14.25" thickBot="1">
      <c r="A36" s="1522" t="s">
        <v>1458</v>
      </c>
      <c r="B36" s="1526" t="s">
        <v>1276</v>
      </c>
      <c r="C36" s="2112">
        <v>6.3E-2</v>
      </c>
      <c r="D36" s="2112">
        <v>0.1</v>
      </c>
      <c r="E36" s="2112">
        <v>0.1</v>
      </c>
      <c r="F36" s="2113">
        <v>0.1</v>
      </c>
    </row>
    <row r="37" spans="1:6" ht="14.25" thickBot="1">
      <c r="A37" s="1522" t="s">
        <v>1458</v>
      </c>
      <c r="B37" s="1526" t="s">
        <v>1288</v>
      </c>
      <c r="C37" s="2112">
        <v>7.3999999999999996E-2</v>
      </c>
      <c r="D37" s="2112">
        <v>0.1</v>
      </c>
      <c r="E37" s="2112">
        <v>0.1</v>
      </c>
      <c r="F37" s="2113">
        <v>0.1</v>
      </c>
    </row>
    <row r="38" spans="1:6" ht="14.25" thickBot="1">
      <c r="A38" s="1522" t="s">
        <v>1458</v>
      </c>
      <c r="B38" s="1526" t="s">
        <v>1298</v>
      </c>
      <c r="C38" s="2112">
        <v>0.1</v>
      </c>
      <c r="D38" s="2112">
        <v>9.6000000000000002E-2</v>
      </c>
      <c r="E38" s="2112">
        <v>9.6000000000000002E-2</v>
      </c>
      <c r="F38" s="2124"/>
    </row>
    <row r="39" spans="1:6" ht="14.25" thickBot="1">
      <c r="A39" s="1522" t="s">
        <v>1458</v>
      </c>
      <c r="B39" s="1526" t="s">
        <v>1308</v>
      </c>
      <c r="C39" s="2112">
        <v>0.1</v>
      </c>
      <c r="D39" s="2112">
        <v>9.6000000000000002E-2</v>
      </c>
      <c r="E39" s="2112">
        <v>9.6000000000000002E-2</v>
      </c>
      <c r="F39" s="2124"/>
    </row>
    <row r="40" spans="1:6" ht="14.25" thickBot="1">
      <c r="A40" s="1522" t="s">
        <v>1458</v>
      </c>
      <c r="B40" s="1526" t="s">
        <v>1318</v>
      </c>
      <c r="C40" s="2112">
        <v>9.6000000000000002E-2</v>
      </c>
      <c r="D40" s="2112">
        <v>0.1</v>
      </c>
      <c r="E40" s="2112">
        <v>9.9000000000000005E-2</v>
      </c>
      <c r="F40" s="2124"/>
    </row>
    <row r="41" spans="1:6" ht="14.25" thickBot="1">
      <c r="A41" s="1522" t="s">
        <v>1458</v>
      </c>
      <c r="B41" s="1526" t="s">
        <v>1328</v>
      </c>
      <c r="C41" s="2112">
        <v>9.6000000000000002E-2</v>
      </c>
      <c r="D41" s="2112">
        <v>9.8000000000000004E-2</v>
      </c>
      <c r="E41" s="2112">
        <v>9.8000000000000004E-2</v>
      </c>
      <c r="F41" s="2124"/>
    </row>
    <row r="42" spans="1:6" ht="14.25" thickBot="1">
      <c r="A42" s="1522" t="s">
        <v>1458</v>
      </c>
      <c r="B42" s="1526" t="s">
        <v>1339</v>
      </c>
      <c r="C42" s="2112">
        <v>0.1</v>
      </c>
      <c r="D42" s="2112">
        <v>8.7999999999999995E-2</v>
      </c>
      <c r="E42" s="2112">
        <v>0.1</v>
      </c>
      <c r="F42" s="2124"/>
    </row>
    <row r="43" spans="1:6" ht="14.25" thickBot="1">
      <c r="A43" s="1522" t="s">
        <v>1458</v>
      </c>
      <c r="B43" s="1526" t="s">
        <v>1350</v>
      </c>
      <c r="C43" s="2112">
        <v>9.8000000000000004E-2</v>
      </c>
      <c r="D43" s="2112">
        <v>9.7000000000000003E-2</v>
      </c>
      <c r="E43" s="2112">
        <v>9.6000000000000002E-2</v>
      </c>
      <c r="F43" s="2124"/>
    </row>
    <row r="44" spans="1:6" ht="14.25" thickBot="1">
      <c r="A44" s="1522" t="s">
        <v>1458</v>
      </c>
      <c r="B44" s="1526" t="s">
        <v>1360</v>
      </c>
      <c r="C44" s="2112">
        <v>8.5999999999999993E-2</v>
      </c>
      <c r="D44" s="2112">
        <v>7.9000000000000001E-2</v>
      </c>
      <c r="E44" s="2112">
        <v>7.0999999999999994E-2</v>
      </c>
      <c r="F44" s="2124"/>
    </row>
    <row r="45" spans="1:6" ht="14.25" thickBot="1">
      <c r="A45" s="1522" t="s">
        <v>1458</v>
      </c>
      <c r="B45" s="1526" t="s">
        <v>1370</v>
      </c>
      <c r="C45" s="2112">
        <v>9.8000000000000004E-2</v>
      </c>
      <c r="D45" s="2112">
        <v>9.6000000000000002E-2</v>
      </c>
      <c r="E45" s="2112">
        <v>9.6000000000000002E-2</v>
      </c>
      <c r="F45" s="2124"/>
    </row>
    <row r="46" spans="1:6" ht="14.25" thickBot="1">
      <c r="A46" s="1522" t="s">
        <v>1458</v>
      </c>
      <c r="B46" s="1526" t="s">
        <v>1380</v>
      </c>
      <c r="C46" s="2112">
        <v>8.5999999999999993E-2</v>
      </c>
      <c r="D46" s="2112">
        <v>9.8000000000000004E-2</v>
      </c>
      <c r="E46" s="2112">
        <v>8.7999999999999995E-2</v>
      </c>
      <c r="F46" s="2124"/>
    </row>
    <row r="47" spans="1:6" ht="14.25" thickBot="1">
      <c r="A47" s="1522" t="s">
        <v>1458</v>
      </c>
      <c r="B47" s="1526" t="s">
        <v>1390</v>
      </c>
      <c r="C47" s="2112">
        <v>9.6000000000000002E-2</v>
      </c>
      <c r="D47" s="2125"/>
      <c r="E47" s="2112">
        <v>6.9000000000000006E-2</v>
      </c>
      <c r="F47" s="2124"/>
    </row>
    <row r="48" spans="1:6" ht="14.25" thickBot="1">
      <c r="A48" s="1532" t="s">
        <v>1458</v>
      </c>
      <c r="B48" s="1527" t="s">
        <v>1399</v>
      </c>
      <c r="C48" s="2114">
        <v>9.8000000000000004E-2</v>
      </c>
      <c r="D48" s="2122"/>
      <c r="E48" s="2114">
        <v>9.5000000000000001E-2</v>
      </c>
      <c r="F48" s="2123"/>
    </row>
    <row r="49" spans="1:6" ht="14.25" thickBot="1">
      <c r="A49" s="1522" t="s">
        <v>1139</v>
      </c>
      <c r="B49" s="1523" t="s">
        <v>2154</v>
      </c>
      <c r="C49" s="2110">
        <v>9.7000000000000003E-2</v>
      </c>
      <c r="D49" s="2110">
        <v>9.5000000000000001E-2</v>
      </c>
      <c r="E49" s="2110">
        <v>9.7000000000000003E-2</v>
      </c>
      <c r="F49" s="2111">
        <v>0.1</v>
      </c>
    </row>
    <row r="50" spans="1:6" ht="14.25" thickBot="1">
      <c r="A50" s="1522" t="s">
        <v>1139</v>
      </c>
      <c r="B50" s="1516" t="s">
        <v>1206</v>
      </c>
      <c r="C50" s="2112">
        <v>7.4999999999999997E-2</v>
      </c>
      <c r="D50" s="2112">
        <v>9.5000000000000001E-2</v>
      </c>
      <c r="E50" s="2112">
        <v>0.1</v>
      </c>
      <c r="F50" s="2113">
        <v>0.1</v>
      </c>
    </row>
    <row r="51" spans="1:6" ht="14.25" thickBot="1">
      <c r="A51" s="1522" t="s">
        <v>1139</v>
      </c>
      <c r="B51" s="1516" t="s">
        <v>1219</v>
      </c>
      <c r="C51" s="2112">
        <v>9.8000000000000004E-2</v>
      </c>
      <c r="D51" s="2112">
        <v>8.8999999999999996E-2</v>
      </c>
      <c r="E51" s="2112">
        <v>0.1</v>
      </c>
      <c r="F51" s="2113">
        <v>0.1</v>
      </c>
    </row>
    <row r="52" spans="1:6" ht="14.25" thickBot="1">
      <c r="A52" s="1522" t="s">
        <v>1139</v>
      </c>
      <c r="B52" s="1516" t="s">
        <v>1232</v>
      </c>
      <c r="C52" s="2112">
        <v>9.8000000000000004E-2</v>
      </c>
      <c r="D52" s="2112">
        <v>9.7000000000000003E-2</v>
      </c>
      <c r="E52" s="2112">
        <v>8.1000000000000003E-2</v>
      </c>
      <c r="F52" s="2113">
        <v>0.1</v>
      </c>
    </row>
    <row r="53" spans="1:6" ht="14.25" thickBot="1">
      <c r="A53" s="1522" t="s">
        <v>1139</v>
      </c>
      <c r="B53" s="1516" t="s">
        <v>1244</v>
      </c>
      <c r="C53" s="2112">
        <v>9.7000000000000003E-2</v>
      </c>
      <c r="D53" s="2112">
        <v>7.5999999999999998E-2</v>
      </c>
      <c r="E53" s="2112">
        <v>7.0999999999999994E-2</v>
      </c>
      <c r="F53" s="2113">
        <v>0.1</v>
      </c>
    </row>
    <row r="54" spans="1:6" ht="14.25" thickBot="1">
      <c r="A54" s="1522" t="s">
        <v>1139</v>
      </c>
      <c r="B54" s="1516" t="s">
        <v>1255</v>
      </c>
      <c r="C54" s="2112">
        <v>7.5999999999999998E-2</v>
      </c>
      <c r="D54" s="2112">
        <v>0.1</v>
      </c>
      <c r="E54" s="2112">
        <v>9.9000000000000005E-2</v>
      </c>
      <c r="F54" s="2113">
        <v>0.1</v>
      </c>
    </row>
    <row r="55" spans="1:6" ht="14.25" thickBot="1">
      <c r="A55" s="1522" t="s">
        <v>1139</v>
      </c>
      <c r="B55" s="1516" t="s">
        <v>1266</v>
      </c>
      <c r="C55" s="2112">
        <v>0.1</v>
      </c>
      <c r="D55" s="2112">
        <v>0.1</v>
      </c>
      <c r="E55" s="2112">
        <v>9.6000000000000002E-2</v>
      </c>
      <c r="F55" s="2113">
        <v>0.1</v>
      </c>
    </row>
    <row r="56" spans="1:6" ht="14.25" thickBot="1">
      <c r="A56" s="1522" t="s">
        <v>1139</v>
      </c>
      <c r="B56" s="1516" t="s">
        <v>1277</v>
      </c>
      <c r="C56" s="2112">
        <v>0.1</v>
      </c>
      <c r="D56" s="2112">
        <v>9.6000000000000002E-2</v>
      </c>
      <c r="E56" s="2112">
        <v>5.1999999999999998E-2</v>
      </c>
      <c r="F56" s="2113">
        <v>0.1</v>
      </c>
    </row>
    <row r="57" spans="1:6" ht="14.25" thickBot="1">
      <c r="A57" s="1522" t="s">
        <v>1139</v>
      </c>
      <c r="B57" s="1516" t="s">
        <v>1289</v>
      </c>
      <c r="C57" s="2112">
        <v>9.7000000000000003E-2</v>
      </c>
      <c r="D57" s="2112">
        <v>9.6000000000000002E-2</v>
      </c>
      <c r="E57" s="2112">
        <v>9.6000000000000002E-2</v>
      </c>
      <c r="F57" s="2113">
        <v>0.1</v>
      </c>
    </row>
    <row r="58" spans="1:6" ht="14.25" thickBot="1">
      <c r="A58" s="1522" t="s">
        <v>1139</v>
      </c>
      <c r="B58" s="1516" t="s">
        <v>1299</v>
      </c>
      <c r="C58" s="2112">
        <v>9.6000000000000002E-2</v>
      </c>
      <c r="D58" s="2112">
        <v>9.9000000000000005E-2</v>
      </c>
      <c r="E58" s="2112">
        <v>9.6000000000000002E-2</v>
      </c>
      <c r="F58" s="2113">
        <v>0.1</v>
      </c>
    </row>
    <row r="59" spans="1:6" ht="14.25" thickBot="1">
      <c r="A59" s="1522" t="s">
        <v>1139</v>
      </c>
      <c r="B59" s="1516" t="s">
        <v>1309</v>
      </c>
      <c r="C59" s="2112">
        <v>7.1999999999999995E-2</v>
      </c>
      <c r="D59" s="2112">
        <v>9.6000000000000002E-2</v>
      </c>
      <c r="E59" s="2112">
        <v>7.0999999999999994E-2</v>
      </c>
      <c r="F59" s="2113">
        <v>0.1</v>
      </c>
    </row>
    <row r="60" spans="1:6" ht="14.25" thickBot="1">
      <c r="A60" s="1522" t="s">
        <v>1139</v>
      </c>
      <c r="B60" s="1516" t="s">
        <v>1319</v>
      </c>
      <c r="C60" s="2112">
        <v>9.6000000000000002E-2</v>
      </c>
      <c r="D60" s="2112">
        <v>8.8999999999999996E-2</v>
      </c>
      <c r="E60" s="2112">
        <v>9.6000000000000002E-2</v>
      </c>
      <c r="F60" s="2113">
        <v>0.1</v>
      </c>
    </row>
    <row r="61" spans="1:6" ht="14.25" thickBot="1">
      <c r="A61" s="1522" t="s">
        <v>1139</v>
      </c>
      <c r="B61" s="1516" t="s">
        <v>1329</v>
      </c>
      <c r="C61" s="2112">
        <v>8.8999999999999996E-2</v>
      </c>
      <c r="D61" s="2112">
        <v>9.8000000000000004E-2</v>
      </c>
      <c r="E61" s="2112">
        <v>8.7999999999999995E-2</v>
      </c>
      <c r="F61" s="2124"/>
    </row>
    <row r="62" spans="1:6" ht="14.25" thickBot="1">
      <c r="A62" s="1522" t="s">
        <v>1139</v>
      </c>
      <c r="B62" s="1516" t="s">
        <v>1340</v>
      </c>
      <c r="C62" s="2112">
        <v>9.8000000000000004E-2</v>
      </c>
      <c r="D62" s="2112">
        <v>9.2999999999999999E-2</v>
      </c>
      <c r="E62" s="2112">
        <v>9.7000000000000003E-2</v>
      </c>
      <c r="F62" s="2124"/>
    </row>
    <row r="63" spans="1:6" ht="14.25" thickBot="1">
      <c r="A63" s="1522" t="s">
        <v>1139</v>
      </c>
      <c r="B63" s="1516" t="s">
        <v>1351</v>
      </c>
      <c r="C63" s="2112">
        <v>9.6000000000000002E-2</v>
      </c>
      <c r="D63" s="2112">
        <v>9.8000000000000004E-2</v>
      </c>
      <c r="E63" s="2112">
        <v>0.09</v>
      </c>
      <c r="F63" s="2124"/>
    </row>
    <row r="64" spans="1:6" ht="14.25" thickBot="1">
      <c r="A64" s="1522" t="s">
        <v>1139</v>
      </c>
      <c r="B64" s="1516" t="s">
        <v>1361</v>
      </c>
      <c r="C64" s="2112">
        <v>9.9000000000000005E-2</v>
      </c>
      <c r="D64" s="2112">
        <v>9.7000000000000003E-2</v>
      </c>
      <c r="E64" s="2112">
        <v>9.9000000000000005E-2</v>
      </c>
      <c r="F64" s="2124"/>
    </row>
    <row r="65" spans="1:6" ht="14.25" thickBot="1">
      <c r="A65" s="1522" t="s">
        <v>1139</v>
      </c>
      <c r="B65" s="1516" t="s">
        <v>1371</v>
      </c>
      <c r="C65" s="2112">
        <v>9.8000000000000004E-2</v>
      </c>
      <c r="D65" s="2112">
        <v>9.6000000000000002E-2</v>
      </c>
      <c r="E65" s="2112">
        <v>9.6000000000000002E-2</v>
      </c>
      <c r="F65" s="2124"/>
    </row>
    <row r="66" spans="1:6" ht="14.25" thickBot="1">
      <c r="A66" s="1522" t="s">
        <v>1139</v>
      </c>
      <c r="B66" s="1516" t="s">
        <v>1381</v>
      </c>
      <c r="C66" s="2112">
        <v>9.6000000000000002E-2</v>
      </c>
      <c r="D66" s="2112">
        <v>9.1999999999999998E-2</v>
      </c>
      <c r="E66" s="2112">
        <v>9.6000000000000002E-2</v>
      </c>
      <c r="F66" s="2124"/>
    </row>
    <row r="67" spans="1:6" ht="14.25" thickBot="1">
      <c r="A67" s="1522" t="s">
        <v>1139</v>
      </c>
      <c r="B67" s="1516" t="s">
        <v>1391</v>
      </c>
      <c r="C67" s="2112">
        <v>9.4E-2</v>
      </c>
      <c r="D67" s="2112">
        <v>0.1</v>
      </c>
      <c r="E67" s="2112">
        <v>8.7999999999999995E-2</v>
      </c>
      <c r="F67" s="2124"/>
    </row>
    <row r="68" spans="1:6" ht="14.25" thickBot="1">
      <c r="A68" s="1522" t="s">
        <v>1139</v>
      </c>
      <c r="B68" s="1516" t="s">
        <v>1400</v>
      </c>
      <c r="C68" s="2112">
        <v>0.1</v>
      </c>
      <c r="D68" s="2112">
        <v>8.7999999999999995E-2</v>
      </c>
      <c r="E68" s="2112">
        <v>9.7000000000000003E-2</v>
      </c>
      <c r="F68" s="2124"/>
    </row>
    <row r="69" spans="1:6" ht="14.25" thickBot="1">
      <c r="A69" s="1522" t="s">
        <v>1139</v>
      </c>
      <c r="B69" s="1516" t="s">
        <v>1409</v>
      </c>
      <c r="C69" s="2112">
        <v>6.4000000000000001E-2</v>
      </c>
      <c r="D69" s="2112">
        <v>0.1</v>
      </c>
      <c r="E69" s="2112">
        <v>0.1</v>
      </c>
      <c r="F69" s="2124"/>
    </row>
    <row r="70" spans="1:6" ht="14.25" thickBot="1">
      <c r="A70" s="1522" t="s">
        <v>1139</v>
      </c>
      <c r="B70" s="1516" t="s">
        <v>1417</v>
      </c>
      <c r="C70" s="2112">
        <v>9.0999999999999998E-2</v>
      </c>
      <c r="D70" s="2125"/>
      <c r="E70" s="2125"/>
      <c r="F70" s="2124"/>
    </row>
    <row r="71" spans="1:6" ht="14.25" thickBot="1">
      <c r="A71" s="1522" t="s">
        <v>1139</v>
      </c>
      <c r="B71" s="1516" t="s">
        <v>1424</v>
      </c>
      <c r="C71" s="2112">
        <v>0.1</v>
      </c>
      <c r="D71" s="2125"/>
      <c r="E71" s="2125"/>
      <c r="F71" s="2124"/>
    </row>
    <row r="72" spans="1:6" ht="14.25" thickBot="1">
      <c r="A72" s="1522" t="s">
        <v>1139</v>
      </c>
      <c r="B72" s="1516" t="s">
        <v>2155</v>
      </c>
      <c r="C72" s="2125"/>
      <c r="D72" s="2125"/>
      <c r="E72" s="2125"/>
      <c r="F72" s="2113">
        <v>0.05</v>
      </c>
    </row>
    <row r="73" spans="1:6" ht="14.25" thickBot="1">
      <c r="A73" s="1522" t="s">
        <v>1139</v>
      </c>
      <c r="B73" s="1516" t="s">
        <v>2156</v>
      </c>
      <c r="C73" s="2125"/>
      <c r="D73" s="2125"/>
      <c r="E73" s="2125"/>
      <c r="F73" s="2113">
        <v>0.05</v>
      </c>
    </row>
    <row r="74" spans="1:6" ht="14.25" thickBot="1">
      <c r="A74" s="1522" t="s">
        <v>1139</v>
      </c>
      <c r="B74" s="1516" t="s">
        <v>2157</v>
      </c>
      <c r="C74" s="2125"/>
      <c r="D74" s="2125"/>
      <c r="E74" s="2125"/>
      <c r="F74" s="2113">
        <v>0.05</v>
      </c>
    </row>
    <row r="75" spans="1:6" ht="14.25" thickBot="1">
      <c r="A75" s="1532" t="s">
        <v>1139</v>
      </c>
      <c r="B75" s="1528" t="s">
        <v>2158</v>
      </c>
      <c r="C75" s="2122"/>
      <c r="D75" s="2122"/>
      <c r="E75" s="2122"/>
      <c r="F75" s="2115">
        <v>0.05</v>
      </c>
    </row>
    <row r="76" spans="1:6" ht="14.25" thickBot="1">
      <c r="A76" s="1522" t="s">
        <v>1539</v>
      </c>
      <c r="B76" s="1523" t="s">
        <v>2159</v>
      </c>
      <c r="C76" s="2110">
        <v>0.1</v>
      </c>
      <c r="D76" s="2110">
        <v>0.1</v>
      </c>
      <c r="E76" s="2110">
        <v>0.1</v>
      </c>
      <c r="F76" s="2111">
        <v>0.1</v>
      </c>
    </row>
    <row r="77" spans="1:6" ht="14.25" thickBot="1">
      <c r="A77" s="1522" t="s">
        <v>1539</v>
      </c>
      <c r="B77" s="1516" t="s">
        <v>1207</v>
      </c>
      <c r="C77" s="2112">
        <v>8.7999999999999995E-2</v>
      </c>
      <c r="D77" s="2112">
        <v>8.6999999999999994E-2</v>
      </c>
      <c r="E77" s="2112">
        <v>7.9000000000000001E-2</v>
      </c>
      <c r="F77" s="2113">
        <v>0.1</v>
      </c>
    </row>
    <row r="78" spans="1:6" ht="14.25" thickBot="1">
      <c r="A78" s="1522" t="s">
        <v>1539</v>
      </c>
      <c r="B78" s="1516" t="s">
        <v>1220</v>
      </c>
      <c r="C78" s="2112">
        <v>8.6999999999999994E-2</v>
      </c>
      <c r="D78" s="2112">
        <v>8.4000000000000005E-2</v>
      </c>
      <c r="E78" s="2112">
        <v>9.6000000000000002E-2</v>
      </c>
      <c r="F78" s="2113">
        <v>0.1</v>
      </c>
    </row>
    <row r="79" spans="1:6" ht="14.25" thickBot="1">
      <c r="A79" s="1522" t="s">
        <v>1539</v>
      </c>
      <c r="B79" s="1516" t="s">
        <v>1233</v>
      </c>
      <c r="C79" s="2112">
        <v>9.8000000000000004E-2</v>
      </c>
      <c r="D79" s="2112">
        <v>9.8000000000000004E-2</v>
      </c>
      <c r="E79" s="2112">
        <v>9.0999999999999998E-2</v>
      </c>
      <c r="F79" s="2113">
        <v>0.1</v>
      </c>
    </row>
    <row r="80" spans="1:6" ht="14.25" thickBot="1">
      <c r="A80" s="1522" t="s">
        <v>1539</v>
      </c>
      <c r="B80" s="1516" t="s">
        <v>1245</v>
      </c>
      <c r="C80" s="2112">
        <v>9.6000000000000002E-2</v>
      </c>
      <c r="D80" s="2112">
        <v>9.6000000000000002E-2</v>
      </c>
      <c r="E80" s="2112">
        <v>0.1</v>
      </c>
      <c r="F80" s="2113">
        <v>0.1</v>
      </c>
    </row>
    <row r="81" spans="1:6" ht="14.25" thickBot="1">
      <c r="A81" s="1522" t="s">
        <v>1539</v>
      </c>
      <c r="B81" s="1516" t="s">
        <v>1256</v>
      </c>
      <c r="C81" s="2112">
        <v>9.9000000000000005E-2</v>
      </c>
      <c r="D81" s="2112">
        <v>9.9000000000000005E-2</v>
      </c>
      <c r="E81" s="2112">
        <v>9.8000000000000004E-2</v>
      </c>
      <c r="F81" s="2113">
        <v>0.1</v>
      </c>
    </row>
    <row r="82" spans="1:6" ht="14.25" thickBot="1">
      <c r="A82" s="1522" t="s">
        <v>1539</v>
      </c>
      <c r="B82" s="1516" t="s">
        <v>1267</v>
      </c>
      <c r="C82" s="2112">
        <v>9.9000000000000005E-2</v>
      </c>
      <c r="D82" s="2112">
        <v>9.9000000000000005E-2</v>
      </c>
      <c r="E82" s="2112">
        <v>9.7000000000000003E-2</v>
      </c>
      <c r="F82" s="2113">
        <v>0.1</v>
      </c>
    </row>
    <row r="83" spans="1:6" ht="14.25" thickBot="1">
      <c r="A83" s="1522" t="s">
        <v>1539</v>
      </c>
      <c r="B83" s="1516" t="s">
        <v>1278</v>
      </c>
      <c r="C83" s="2112">
        <v>9.8000000000000004E-2</v>
      </c>
      <c r="D83" s="2112">
        <v>9.8000000000000004E-2</v>
      </c>
      <c r="E83" s="2112">
        <v>9.8000000000000004E-2</v>
      </c>
      <c r="F83" s="2113">
        <v>0.1</v>
      </c>
    </row>
    <row r="84" spans="1:6" ht="14.25" thickBot="1">
      <c r="A84" s="1522" t="s">
        <v>1539</v>
      </c>
      <c r="B84" s="1516" t="s">
        <v>1290</v>
      </c>
      <c r="C84" s="2112">
        <v>9.9000000000000005E-2</v>
      </c>
      <c r="D84" s="2112">
        <v>9.9000000000000005E-2</v>
      </c>
      <c r="E84" s="2112">
        <v>9.9000000000000005E-2</v>
      </c>
      <c r="F84" s="2113">
        <v>0.1</v>
      </c>
    </row>
    <row r="85" spans="1:6" ht="14.25" thickBot="1">
      <c r="A85" s="1522" t="s">
        <v>1539</v>
      </c>
      <c r="B85" s="1516" t="s">
        <v>1300</v>
      </c>
      <c r="C85" s="2112">
        <v>9.9000000000000005E-2</v>
      </c>
      <c r="D85" s="2112">
        <v>9.9000000000000005E-2</v>
      </c>
      <c r="E85" s="2112">
        <v>9.9000000000000005E-2</v>
      </c>
      <c r="F85" s="2113">
        <v>0.1</v>
      </c>
    </row>
    <row r="86" spans="1:6" ht="14.25" thickBot="1">
      <c r="A86" s="1522" t="s">
        <v>1539</v>
      </c>
      <c r="B86" s="1516" t="s">
        <v>1310</v>
      </c>
      <c r="C86" s="2112">
        <v>0.1</v>
      </c>
      <c r="D86" s="2112">
        <v>0.1</v>
      </c>
      <c r="E86" s="2112">
        <v>7.6999999999999999E-2</v>
      </c>
      <c r="F86" s="2113">
        <v>0.1</v>
      </c>
    </row>
    <row r="87" spans="1:6" ht="14.25" thickBot="1">
      <c r="A87" s="1522" t="s">
        <v>1539</v>
      </c>
      <c r="B87" s="1516" t="s">
        <v>1320</v>
      </c>
      <c r="C87" s="2112">
        <v>0.1</v>
      </c>
      <c r="D87" s="2112">
        <v>0.1</v>
      </c>
      <c r="E87" s="2112">
        <v>9.8000000000000004E-2</v>
      </c>
      <c r="F87" s="2124"/>
    </row>
    <row r="88" spans="1:6" ht="14.25" thickBot="1">
      <c r="A88" s="1522" t="s">
        <v>1539</v>
      </c>
      <c r="B88" s="1516" t="s">
        <v>1330</v>
      </c>
      <c r="C88" s="2112">
        <v>9.1999999999999998E-2</v>
      </c>
      <c r="D88" s="2112">
        <v>8.5000000000000006E-2</v>
      </c>
      <c r="E88" s="2112">
        <v>9.6000000000000002E-2</v>
      </c>
      <c r="F88" s="2124"/>
    </row>
    <row r="89" spans="1:6" ht="14.25" thickBot="1">
      <c r="A89" s="1522" t="s">
        <v>1539</v>
      </c>
      <c r="B89" s="1516" t="s">
        <v>1341</v>
      </c>
      <c r="C89" s="2112">
        <v>0.1</v>
      </c>
      <c r="D89" s="2112">
        <v>0.1</v>
      </c>
      <c r="E89" s="2112">
        <v>9.7000000000000003E-2</v>
      </c>
      <c r="F89" s="2124"/>
    </row>
    <row r="90" spans="1:6" ht="14.25" thickBot="1">
      <c r="A90" s="1522" t="s">
        <v>1539</v>
      </c>
      <c r="B90" s="1516" t="s">
        <v>1352</v>
      </c>
      <c r="C90" s="2112">
        <v>9.8000000000000004E-2</v>
      </c>
      <c r="D90" s="2112">
        <v>9.8000000000000004E-2</v>
      </c>
      <c r="E90" s="2112">
        <v>8.7999999999999995E-2</v>
      </c>
      <c r="F90" s="2124"/>
    </row>
    <row r="91" spans="1:6" ht="14.25" thickBot="1">
      <c r="A91" s="1522" t="s">
        <v>1539</v>
      </c>
      <c r="B91" s="1516" t="s">
        <v>1362</v>
      </c>
      <c r="C91" s="2112">
        <v>9.9000000000000005E-2</v>
      </c>
      <c r="D91" s="2112">
        <v>9.9000000000000005E-2</v>
      </c>
      <c r="E91" s="2112">
        <v>9.0999999999999998E-2</v>
      </c>
      <c r="F91" s="2124"/>
    </row>
    <row r="92" spans="1:6" ht="14.25" thickBot="1">
      <c r="A92" s="1522" t="s">
        <v>1539</v>
      </c>
      <c r="B92" s="1516" t="s">
        <v>1372</v>
      </c>
      <c r="C92" s="2112">
        <v>9.6000000000000002E-2</v>
      </c>
      <c r="D92" s="2112">
        <v>9.6000000000000002E-2</v>
      </c>
      <c r="E92" s="2112">
        <v>7.2999999999999995E-2</v>
      </c>
      <c r="F92" s="2124"/>
    </row>
    <row r="93" spans="1:6" ht="14.25" thickBot="1">
      <c r="A93" s="1522" t="s">
        <v>1539</v>
      </c>
      <c r="B93" s="1516" t="s">
        <v>1382</v>
      </c>
      <c r="C93" s="2112">
        <v>9.6000000000000002E-2</v>
      </c>
      <c r="D93" s="2112">
        <v>9.6000000000000002E-2</v>
      </c>
      <c r="E93" s="2112">
        <v>9.9000000000000005E-2</v>
      </c>
      <c r="F93" s="2124"/>
    </row>
    <row r="94" spans="1:6" ht="14.25" thickBot="1">
      <c r="A94" s="1522" t="s">
        <v>1539</v>
      </c>
      <c r="B94" s="1516" t="s">
        <v>1392</v>
      </c>
      <c r="C94" s="2112">
        <v>7.5999999999999998E-2</v>
      </c>
      <c r="D94" s="2112">
        <v>7.3999999999999996E-2</v>
      </c>
      <c r="E94" s="2112">
        <v>9.7000000000000003E-2</v>
      </c>
      <c r="F94" s="2124"/>
    </row>
    <row r="95" spans="1:6" ht="14.25" thickBot="1">
      <c r="A95" s="1522" t="s">
        <v>1539</v>
      </c>
      <c r="B95" s="1516" t="s">
        <v>1401</v>
      </c>
      <c r="C95" s="2112">
        <v>9.9000000000000005E-2</v>
      </c>
      <c r="D95" s="2112">
        <v>9.4E-2</v>
      </c>
      <c r="E95" s="2112">
        <v>9.6000000000000002E-2</v>
      </c>
      <c r="F95" s="2124"/>
    </row>
    <row r="96" spans="1:6" ht="14.25" thickBot="1">
      <c r="A96" s="1522" t="s">
        <v>1539</v>
      </c>
      <c r="B96" s="1516" t="s">
        <v>1410</v>
      </c>
      <c r="C96" s="2112">
        <v>9.9000000000000005E-2</v>
      </c>
      <c r="D96" s="2112">
        <v>9.9000000000000005E-2</v>
      </c>
      <c r="E96" s="2112">
        <v>9.9000000000000005E-2</v>
      </c>
      <c r="F96" s="2124"/>
    </row>
    <row r="97" spans="1:6" ht="14.25" thickBot="1">
      <c r="A97" s="1522" t="s">
        <v>1539</v>
      </c>
      <c r="B97" s="1516" t="s">
        <v>1418</v>
      </c>
      <c r="C97" s="2112">
        <v>9.8000000000000004E-2</v>
      </c>
      <c r="D97" s="2112">
        <v>9.8000000000000004E-2</v>
      </c>
      <c r="E97" s="2112">
        <v>9.7000000000000003E-2</v>
      </c>
      <c r="F97" s="2124"/>
    </row>
    <row r="98" spans="1:6" ht="14.25" thickBot="1">
      <c r="A98" s="1522" t="s">
        <v>1539</v>
      </c>
      <c r="B98" s="1516" t="s">
        <v>1425</v>
      </c>
      <c r="C98" s="2112">
        <v>0.1</v>
      </c>
      <c r="D98" s="2112">
        <v>0.1</v>
      </c>
      <c r="E98" s="2112">
        <v>9.7000000000000003E-2</v>
      </c>
      <c r="F98" s="2124"/>
    </row>
    <row r="99" spans="1:6" ht="14.25" thickBot="1">
      <c r="A99" s="1522" t="s">
        <v>1539</v>
      </c>
      <c r="B99" s="1516" t="s">
        <v>1432</v>
      </c>
      <c r="C99" s="2112">
        <v>0.1</v>
      </c>
      <c r="D99" s="2112">
        <v>0.1</v>
      </c>
      <c r="E99" s="2125"/>
      <c r="F99" s="2124"/>
    </row>
    <row r="100" spans="1:6" ht="14.25" thickBot="1">
      <c r="A100" s="1522" t="s">
        <v>1539</v>
      </c>
      <c r="B100" s="1516" t="s">
        <v>1439</v>
      </c>
      <c r="C100" s="2112">
        <v>0.09</v>
      </c>
      <c r="D100" s="2112">
        <v>8.8999999999999996E-2</v>
      </c>
      <c r="E100" s="2125"/>
      <c r="F100" s="2124"/>
    </row>
    <row r="101" spans="1:6" ht="14.25" thickBot="1">
      <c r="A101" s="1522" t="s">
        <v>1539</v>
      </c>
      <c r="B101" s="1516" t="s">
        <v>1446</v>
      </c>
      <c r="C101" s="2112">
        <v>9.8000000000000004E-2</v>
      </c>
      <c r="D101" s="2112">
        <v>9.7000000000000003E-2</v>
      </c>
      <c r="E101" s="2125"/>
      <c r="F101" s="2124"/>
    </row>
    <row r="102" spans="1:6" ht="14.25" thickBot="1">
      <c r="A102" s="1522" t="s">
        <v>1539</v>
      </c>
      <c r="B102" s="1516" t="s">
        <v>2160</v>
      </c>
      <c r="C102" s="2125"/>
      <c r="D102" s="2125"/>
      <c r="E102" s="2125"/>
      <c r="F102" s="2113">
        <v>0.05</v>
      </c>
    </row>
    <row r="103" spans="1:6" ht="24.75" thickBot="1">
      <c r="A103" s="1522" t="s">
        <v>1539</v>
      </c>
      <c r="B103" s="1516" t="s">
        <v>2161</v>
      </c>
      <c r="C103" s="2125"/>
      <c r="D103" s="2125"/>
      <c r="E103" s="2125"/>
      <c r="F103" s="2113">
        <v>0.05</v>
      </c>
    </row>
    <row r="104" spans="1:6" ht="14.25" thickBot="1">
      <c r="A104" s="1522" t="s">
        <v>1539</v>
      </c>
      <c r="B104" s="1516" t="s">
        <v>2162</v>
      </c>
      <c r="C104" s="2125"/>
      <c r="D104" s="2125"/>
      <c r="E104" s="2125"/>
      <c r="F104" s="2113">
        <v>0.05</v>
      </c>
    </row>
    <row r="105" spans="1:6" ht="14.25" thickBot="1">
      <c r="A105" s="1522" t="s">
        <v>1539</v>
      </c>
      <c r="B105" s="1516" t="s">
        <v>2163</v>
      </c>
      <c r="C105" s="2125"/>
      <c r="D105" s="2125"/>
      <c r="E105" s="2125"/>
      <c r="F105" s="2113">
        <v>0.05</v>
      </c>
    </row>
    <row r="106" spans="1:6" ht="14.25" thickBot="1">
      <c r="A106" s="1522" t="s">
        <v>1539</v>
      </c>
      <c r="B106" s="1516" t="s">
        <v>2164</v>
      </c>
      <c r="C106" s="2125"/>
      <c r="D106" s="2125"/>
      <c r="E106" s="2125"/>
      <c r="F106" s="2113">
        <v>0.05</v>
      </c>
    </row>
    <row r="107" spans="1:6" ht="24.75" thickBot="1">
      <c r="A107" s="1522" t="s">
        <v>1539</v>
      </c>
      <c r="B107" s="1516" t="s">
        <v>2165</v>
      </c>
      <c r="C107" s="2125"/>
      <c r="D107" s="2125"/>
      <c r="E107" s="2125"/>
      <c r="F107" s="2113">
        <v>0.05</v>
      </c>
    </row>
    <row r="108" spans="1:6" ht="24.75" thickBot="1">
      <c r="A108" s="1522" t="s">
        <v>1539</v>
      </c>
      <c r="B108" s="1516" t="s">
        <v>2166</v>
      </c>
      <c r="C108" s="2125"/>
      <c r="D108" s="2125"/>
      <c r="E108" s="2125"/>
      <c r="F108" s="2113">
        <v>0.05</v>
      </c>
    </row>
    <row r="109" spans="1:6" ht="24.75" thickBot="1">
      <c r="A109" s="1532" t="s">
        <v>1539</v>
      </c>
      <c r="B109" s="1528" t="s">
        <v>2167</v>
      </c>
      <c r="C109" s="2122"/>
      <c r="D109" s="2122"/>
      <c r="E109" s="2122"/>
      <c r="F109" s="2115">
        <v>0.05</v>
      </c>
    </row>
    <row r="110" spans="1:6" ht="14.25" thickBot="1">
      <c r="A110" s="1522" t="s">
        <v>202</v>
      </c>
      <c r="B110" s="1523" t="s">
        <v>2168</v>
      </c>
      <c r="C110" s="2110">
        <v>0.129</v>
      </c>
      <c r="D110" s="2110">
        <v>0.129</v>
      </c>
      <c r="E110" s="2110">
        <v>0.126</v>
      </c>
      <c r="F110" s="2111">
        <v>0.13</v>
      </c>
    </row>
    <row r="111" spans="1:6" ht="14.25" thickBot="1">
      <c r="A111" s="1522" t="s">
        <v>202</v>
      </c>
      <c r="B111" s="1516" t="s">
        <v>1208</v>
      </c>
      <c r="C111" s="2112">
        <v>0.11</v>
      </c>
      <c r="D111" s="2112">
        <v>0.11</v>
      </c>
      <c r="E111" s="2112">
        <v>9.9000000000000005E-2</v>
      </c>
      <c r="F111" s="2113">
        <v>0.128</v>
      </c>
    </row>
    <row r="112" spans="1:6" ht="14.25" thickBot="1">
      <c r="A112" s="1522" t="s">
        <v>202</v>
      </c>
      <c r="B112" s="1516" t="s">
        <v>1221</v>
      </c>
      <c r="C112" s="2112">
        <v>0.125</v>
      </c>
      <c r="D112" s="2112">
        <v>0.125</v>
      </c>
      <c r="E112" s="2112">
        <v>0.12</v>
      </c>
      <c r="F112" s="2113">
        <v>0.125</v>
      </c>
    </row>
    <row r="113" spans="1:6" ht="14.25" thickBot="1">
      <c r="A113" s="1522" t="s">
        <v>202</v>
      </c>
      <c r="B113" s="1516" t="s">
        <v>1234</v>
      </c>
      <c r="C113" s="2112">
        <v>0.13</v>
      </c>
      <c r="D113" s="2112">
        <v>0.13</v>
      </c>
      <c r="E113" s="2112">
        <v>0.13</v>
      </c>
      <c r="F113" s="2113">
        <v>0.13</v>
      </c>
    </row>
    <row r="114" spans="1:6" ht="14.25" thickBot="1">
      <c r="A114" s="1522" t="s">
        <v>202</v>
      </c>
      <c r="B114" s="1516" t="s">
        <v>1246</v>
      </c>
      <c r="C114" s="2112">
        <v>0.123</v>
      </c>
      <c r="D114" s="2112">
        <v>0.123</v>
      </c>
      <c r="E114" s="2112">
        <v>0.12</v>
      </c>
      <c r="F114" s="2113">
        <v>0.13</v>
      </c>
    </row>
    <row r="115" spans="1:6" ht="14.25" thickBot="1">
      <c r="A115" s="1522" t="s">
        <v>202</v>
      </c>
      <c r="B115" s="1516" t="s">
        <v>1257</v>
      </c>
      <c r="C115" s="2112">
        <v>0.125</v>
      </c>
      <c r="D115" s="2112">
        <v>0.125</v>
      </c>
      <c r="E115" s="2112">
        <v>0.11700000000000001</v>
      </c>
      <c r="F115" s="2113">
        <v>0.13</v>
      </c>
    </row>
    <row r="116" spans="1:6" ht="14.25" thickBot="1">
      <c r="A116" s="1522" t="s">
        <v>202</v>
      </c>
      <c r="B116" s="1516" t="s">
        <v>1268</v>
      </c>
      <c r="C116" s="2112">
        <v>0.11700000000000001</v>
      </c>
      <c r="D116" s="2112">
        <v>0.11700000000000001</v>
      </c>
      <c r="E116" s="2112">
        <v>8.7999999999999995E-2</v>
      </c>
      <c r="F116" s="2113">
        <v>0.13</v>
      </c>
    </row>
    <row r="117" spans="1:6" ht="14.25" thickBot="1">
      <c r="A117" s="1522" t="s">
        <v>202</v>
      </c>
      <c r="B117" s="1516" t="s">
        <v>1279</v>
      </c>
      <c r="C117" s="2112">
        <v>0.13</v>
      </c>
      <c r="D117" s="2112">
        <v>0.13</v>
      </c>
      <c r="E117" s="2112">
        <v>0.129</v>
      </c>
      <c r="F117" s="2113">
        <v>0.13</v>
      </c>
    </row>
    <row r="118" spans="1:6" ht="14.25" thickBot="1">
      <c r="A118" s="1522" t="s">
        <v>202</v>
      </c>
      <c r="B118" s="1516" t="s">
        <v>1291</v>
      </c>
      <c r="C118" s="2112">
        <v>0.123</v>
      </c>
      <c r="D118" s="2112">
        <v>0.123</v>
      </c>
      <c r="E118" s="2112">
        <v>0.11600000000000001</v>
      </c>
      <c r="F118" s="2113">
        <v>0.13</v>
      </c>
    </row>
    <row r="119" spans="1:6" ht="14.25" thickBot="1">
      <c r="A119" s="1522" t="s">
        <v>202</v>
      </c>
      <c r="B119" s="1516" t="s">
        <v>1301</v>
      </c>
      <c r="C119" s="2112">
        <v>0.127</v>
      </c>
      <c r="D119" s="2112">
        <v>0.127</v>
      </c>
      <c r="E119" s="2112">
        <v>0.124</v>
      </c>
      <c r="F119" s="2113">
        <v>0.13</v>
      </c>
    </row>
    <row r="120" spans="1:6" ht="14.25" thickBot="1">
      <c r="A120" s="1522" t="s">
        <v>202</v>
      </c>
      <c r="B120" s="1516" t="s">
        <v>1311</v>
      </c>
      <c r="C120" s="2112">
        <v>0.125</v>
      </c>
      <c r="D120" s="2112">
        <v>0.125</v>
      </c>
      <c r="E120" s="2112">
        <v>0.122</v>
      </c>
      <c r="F120" s="2113">
        <v>0.13</v>
      </c>
    </row>
    <row r="121" spans="1:6" ht="14.25" thickBot="1">
      <c r="A121" s="1522" t="s">
        <v>202</v>
      </c>
      <c r="B121" s="1516" t="s">
        <v>1321</v>
      </c>
      <c r="C121" s="2112">
        <v>0.13</v>
      </c>
      <c r="D121" s="2112">
        <v>0.13</v>
      </c>
      <c r="E121" s="2112">
        <v>0.13</v>
      </c>
      <c r="F121" s="2113">
        <v>0.13</v>
      </c>
    </row>
    <row r="122" spans="1:6" ht="14.25" thickBot="1">
      <c r="A122" s="1522" t="s">
        <v>202</v>
      </c>
      <c r="B122" s="1516" t="s">
        <v>1331</v>
      </c>
      <c r="C122" s="2112">
        <v>0.13</v>
      </c>
      <c r="D122" s="2112">
        <v>0.13</v>
      </c>
      <c r="E122" s="2112">
        <v>0.125</v>
      </c>
      <c r="F122" s="2113">
        <v>0.13</v>
      </c>
    </row>
    <row r="123" spans="1:6" ht="14.25" thickBot="1">
      <c r="A123" s="1522" t="s">
        <v>202</v>
      </c>
      <c r="B123" s="1516" t="s">
        <v>1342</v>
      </c>
      <c r="C123" s="2112">
        <v>0.129</v>
      </c>
      <c r="D123" s="2112">
        <v>0.129</v>
      </c>
      <c r="E123" s="2112">
        <v>0.123</v>
      </c>
      <c r="F123" s="2113">
        <v>0.13</v>
      </c>
    </row>
    <row r="124" spans="1:6" ht="14.25" thickBot="1">
      <c r="A124" s="1522" t="s">
        <v>202</v>
      </c>
      <c r="B124" s="1516" t="s">
        <v>1353</v>
      </c>
      <c r="C124" s="2112">
        <v>0.10199999999999999</v>
      </c>
      <c r="D124" s="2112">
        <v>0.10100000000000001</v>
      </c>
      <c r="E124" s="2112">
        <v>0.08</v>
      </c>
      <c r="F124" s="2124"/>
    </row>
    <row r="125" spans="1:6" ht="14.25" thickBot="1">
      <c r="A125" s="1522" t="s">
        <v>202</v>
      </c>
      <c r="B125" s="1516" t="s">
        <v>1363</v>
      </c>
      <c r="C125" s="2112">
        <v>0.13</v>
      </c>
      <c r="D125" s="2112">
        <v>0.13</v>
      </c>
      <c r="E125" s="2112">
        <v>0.129</v>
      </c>
      <c r="F125" s="2124"/>
    </row>
    <row r="126" spans="1:6" ht="14.25" thickBot="1">
      <c r="A126" s="1522" t="s">
        <v>202</v>
      </c>
      <c r="B126" s="1516" t="s">
        <v>1373</v>
      </c>
      <c r="C126" s="2112">
        <v>0.13</v>
      </c>
      <c r="D126" s="2112">
        <v>0.13</v>
      </c>
      <c r="E126" s="2112">
        <v>0.126</v>
      </c>
      <c r="F126" s="2124"/>
    </row>
    <row r="127" spans="1:6" ht="14.25" thickBot="1">
      <c r="A127" s="1522" t="s">
        <v>202</v>
      </c>
      <c r="B127" s="1516" t="s">
        <v>1383</v>
      </c>
      <c r="C127" s="2112">
        <v>0.125</v>
      </c>
      <c r="D127" s="2112">
        <v>0.125</v>
      </c>
      <c r="E127" s="2112">
        <v>0.121</v>
      </c>
      <c r="F127" s="2124"/>
    </row>
    <row r="128" spans="1:6" ht="14.25" thickBot="1">
      <c r="A128" s="1522" t="s">
        <v>202</v>
      </c>
      <c r="B128" s="1516" t="s">
        <v>1393</v>
      </c>
      <c r="C128" s="2112">
        <v>0.12</v>
      </c>
      <c r="D128" s="2112">
        <v>0.12</v>
      </c>
      <c r="E128" s="2112">
        <v>0.105</v>
      </c>
      <c r="F128" s="2124"/>
    </row>
    <row r="129" spans="1:6" ht="14.25" thickBot="1">
      <c r="A129" s="1522" t="s">
        <v>202</v>
      </c>
      <c r="B129" s="1516" t="s">
        <v>1402</v>
      </c>
      <c r="C129" s="2112">
        <v>0.13</v>
      </c>
      <c r="D129" s="2112">
        <v>0.13</v>
      </c>
      <c r="E129" s="2112">
        <v>0.126</v>
      </c>
      <c r="F129" s="2124"/>
    </row>
    <row r="130" spans="1:6" ht="14.25" thickBot="1">
      <c r="A130" s="1522" t="s">
        <v>202</v>
      </c>
      <c r="B130" s="1516" t="s">
        <v>1411</v>
      </c>
      <c r="C130" s="2112">
        <v>0.125</v>
      </c>
      <c r="D130" s="2112">
        <v>0.125</v>
      </c>
      <c r="E130" s="2112">
        <v>0.122</v>
      </c>
      <c r="F130" s="2124"/>
    </row>
    <row r="131" spans="1:6" ht="14.25" thickBot="1">
      <c r="A131" s="1522" t="s">
        <v>202</v>
      </c>
      <c r="B131" s="1516" t="s">
        <v>1419</v>
      </c>
      <c r="C131" s="2112">
        <v>0.127</v>
      </c>
      <c r="D131" s="2112">
        <v>0.126</v>
      </c>
      <c r="E131" s="2112">
        <v>0.123</v>
      </c>
      <c r="F131" s="2124"/>
    </row>
    <row r="132" spans="1:6" ht="14.25" thickBot="1">
      <c r="A132" s="1522" t="s">
        <v>202</v>
      </c>
      <c r="B132" s="1516" t="s">
        <v>1426</v>
      </c>
      <c r="C132" s="2112">
        <v>9.0999999999999998E-2</v>
      </c>
      <c r="D132" s="2112">
        <v>0.121</v>
      </c>
      <c r="E132" s="2112">
        <v>9.9000000000000005E-2</v>
      </c>
      <c r="F132" s="2124"/>
    </row>
    <row r="133" spans="1:6" ht="14.25" thickBot="1">
      <c r="A133" s="1522" t="s">
        <v>202</v>
      </c>
      <c r="B133" s="1516" t="s">
        <v>1433</v>
      </c>
      <c r="C133" s="2112">
        <v>0.13</v>
      </c>
      <c r="D133" s="2112">
        <v>0.13</v>
      </c>
      <c r="E133" s="2112">
        <v>0.129</v>
      </c>
      <c r="F133" s="2124"/>
    </row>
    <row r="134" spans="1:6" ht="14.25" thickBot="1">
      <c r="A134" s="1522" t="s">
        <v>202</v>
      </c>
      <c r="B134" s="1516" t="s">
        <v>2169</v>
      </c>
      <c r="C134" s="2112">
        <v>6.8000000000000005E-2</v>
      </c>
      <c r="D134" s="2112">
        <v>6.5000000000000002E-2</v>
      </c>
      <c r="E134" s="2112">
        <v>6.5000000000000002E-2</v>
      </c>
      <c r="F134" s="2113">
        <v>0.13</v>
      </c>
    </row>
    <row r="135" spans="1:6" ht="14.25" thickBot="1">
      <c r="A135" s="1522" t="s">
        <v>202</v>
      </c>
      <c r="B135" s="1516" t="s">
        <v>1447</v>
      </c>
      <c r="C135" s="2112">
        <v>0.123</v>
      </c>
      <c r="D135" s="2112">
        <v>0.123</v>
      </c>
      <c r="E135" s="2112">
        <v>0.11</v>
      </c>
      <c r="F135" s="2124"/>
    </row>
    <row r="136" spans="1:6" ht="14.25" thickBot="1">
      <c r="A136" s="1522" t="s">
        <v>202</v>
      </c>
      <c r="B136" s="1516" t="s">
        <v>1454</v>
      </c>
      <c r="C136" s="2112">
        <v>0.13</v>
      </c>
      <c r="D136" s="2112">
        <v>0.13</v>
      </c>
      <c r="E136" s="2112">
        <v>0.125</v>
      </c>
      <c r="F136" s="2124"/>
    </row>
    <row r="137" spans="1:6" ht="14.25" thickBot="1">
      <c r="A137" s="1522" t="s">
        <v>202</v>
      </c>
      <c r="B137" s="1516" t="s">
        <v>1461</v>
      </c>
      <c r="C137" s="2112">
        <v>0.121</v>
      </c>
      <c r="D137" s="2112">
        <v>0.122</v>
      </c>
      <c r="E137" s="2112">
        <v>0.115</v>
      </c>
      <c r="F137" s="2124"/>
    </row>
    <row r="138" spans="1:6" ht="14.25" thickBot="1">
      <c r="A138" s="1522" t="s">
        <v>202</v>
      </c>
      <c r="B138" s="1516" t="s">
        <v>2170</v>
      </c>
      <c r="C138" s="2112">
        <v>0.105</v>
      </c>
      <c r="D138" s="2112">
        <v>0.125</v>
      </c>
      <c r="E138" s="2112">
        <v>0.112</v>
      </c>
      <c r="F138" s="2124"/>
    </row>
    <row r="139" spans="1:6" ht="14.25" thickBot="1">
      <c r="A139" s="1522" t="s">
        <v>202</v>
      </c>
      <c r="B139" s="1516" t="s">
        <v>2171</v>
      </c>
      <c r="C139" s="2112">
        <v>0.127</v>
      </c>
      <c r="D139" s="2112">
        <v>0.127</v>
      </c>
      <c r="E139" s="2112">
        <v>0.122</v>
      </c>
      <c r="F139" s="2113">
        <v>0.13</v>
      </c>
    </row>
    <row r="140" spans="1:6" ht="14.25" thickBot="1">
      <c r="A140" s="1522" t="s">
        <v>202</v>
      </c>
      <c r="B140" s="1516" t="s">
        <v>2172</v>
      </c>
      <c r="C140" s="2112">
        <v>0.125</v>
      </c>
      <c r="D140" s="2112">
        <v>0.125</v>
      </c>
      <c r="E140" s="2112">
        <v>0.11899999999999999</v>
      </c>
      <c r="F140" s="2113">
        <v>0.13</v>
      </c>
    </row>
    <row r="141" spans="1:6" ht="14.25" thickBot="1">
      <c r="A141" s="1522" t="s">
        <v>202</v>
      </c>
      <c r="B141" s="1516" t="s">
        <v>1480</v>
      </c>
      <c r="C141" s="2112">
        <v>0.125</v>
      </c>
      <c r="D141" s="2112">
        <v>0.125</v>
      </c>
      <c r="E141" s="2112">
        <v>0.11700000000000001</v>
      </c>
      <c r="F141" s="2124"/>
    </row>
    <row r="142" spans="1:6" ht="14.25" thickBot="1">
      <c r="A142" s="1522" t="s">
        <v>202</v>
      </c>
      <c r="B142" s="1516" t="s">
        <v>1485</v>
      </c>
      <c r="C142" s="2112">
        <v>0.125</v>
      </c>
      <c r="D142" s="2112">
        <v>0.125</v>
      </c>
      <c r="E142" s="2112">
        <v>0.115</v>
      </c>
      <c r="F142" s="2124"/>
    </row>
    <row r="143" spans="1:6" ht="14.25" thickBot="1">
      <c r="A143" s="1522" t="s">
        <v>202</v>
      </c>
      <c r="B143" s="1516" t="s">
        <v>1490</v>
      </c>
      <c r="C143" s="2112">
        <v>0.121</v>
      </c>
      <c r="D143" s="2112">
        <v>0.121</v>
      </c>
      <c r="E143" s="2112">
        <v>0.108</v>
      </c>
      <c r="F143" s="2124"/>
    </row>
    <row r="144" spans="1:6" ht="14.25" thickBot="1">
      <c r="A144" s="1522" t="s">
        <v>202</v>
      </c>
      <c r="B144" s="2116" t="s">
        <v>2173</v>
      </c>
      <c r="C144" s="2117">
        <v>0.126</v>
      </c>
      <c r="D144" s="2117">
        <v>0.126</v>
      </c>
      <c r="E144" s="2117">
        <v>0.121</v>
      </c>
      <c r="F144" s="2124"/>
    </row>
    <row r="145" spans="1:6" ht="14.25" thickBot="1">
      <c r="A145" s="1532" t="s">
        <v>202</v>
      </c>
      <c r="B145" s="2118" t="s">
        <v>2174</v>
      </c>
      <c r="C145" s="2126"/>
      <c r="D145" s="2126"/>
      <c r="E145" s="2126"/>
      <c r="F145" s="2119">
        <v>0.05</v>
      </c>
    </row>
    <row r="146" spans="1:6" ht="24.75" thickBot="1">
      <c r="A146" s="2120" t="s">
        <v>202</v>
      </c>
      <c r="B146" s="1526" t="s">
        <v>2175</v>
      </c>
      <c r="C146" s="2125"/>
      <c r="D146" s="2125"/>
      <c r="E146" s="2125"/>
      <c r="F146" s="2121">
        <v>0.05</v>
      </c>
    </row>
    <row r="147" spans="1:6" ht="24.75" thickBot="1">
      <c r="A147" s="1522" t="s">
        <v>202</v>
      </c>
      <c r="B147" s="1516" t="s">
        <v>2176</v>
      </c>
      <c r="C147" s="2125"/>
      <c r="D147" s="2125"/>
      <c r="E147" s="2125"/>
      <c r="F147" s="2113">
        <v>0.05</v>
      </c>
    </row>
    <row r="148" spans="1:6" ht="24.75" thickBot="1">
      <c r="A148" s="1522" t="s">
        <v>202</v>
      </c>
      <c r="B148" s="1516" t="s">
        <v>2177</v>
      </c>
      <c r="C148" s="2125"/>
      <c r="D148" s="2125"/>
      <c r="E148" s="2125"/>
      <c r="F148" s="2113">
        <v>0.05</v>
      </c>
    </row>
    <row r="149" spans="1:6" ht="24.75" thickBot="1">
      <c r="A149" s="1522" t="s">
        <v>202</v>
      </c>
      <c r="B149" s="1516" t="s">
        <v>2178</v>
      </c>
      <c r="C149" s="2125"/>
      <c r="D149" s="2125"/>
      <c r="E149" s="2125"/>
      <c r="F149" s="2113">
        <v>0.05</v>
      </c>
    </row>
    <row r="150" spans="1:6" ht="24.75" thickBot="1">
      <c r="A150" s="1522" t="s">
        <v>202</v>
      </c>
      <c r="B150" s="1516" t="s">
        <v>2179</v>
      </c>
      <c r="C150" s="2125"/>
      <c r="D150" s="2125"/>
      <c r="E150" s="2125"/>
      <c r="F150" s="2113">
        <v>0.05</v>
      </c>
    </row>
    <row r="151" spans="1:6" ht="24.75" thickBot="1">
      <c r="A151" s="1522" t="s">
        <v>202</v>
      </c>
      <c r="B151" s="1516" t="s">
        <v>2180</v>
      </c>
      <c r="C151" s="2125"/>
      <c r="D151" s="2125"/>
      <c r="E151" s="2125"/>
      <c r="F151" s="2113">
        <v>0.05</v>
      </c>
    </row>
    <row r="152" spans="1:6" ht="24.75" thickBot="1">
      <c r="A152" s="1522" t="s">
        <v>202</v>
      </c>
      <c r="B152" s="1516" t="s">
        <v>1523</v>
      </c>
      <c r="C152" s="2125"/>
      <c r="D152" s="2125"/>
      <c r="E152" s="2125"/>
      <c r="F152" s="2113">
        <v>0.05</v>
      </c>
    </row>
    <row r="153" spans="1:6" ht="14.25" thickBot="1">
      <c r="A153" s="1522" t="s">
        <v>202</v>
      </c>
      <c r="B153" s="1516" t="s">
        <v>2181</v>
      </c>
      <c r="C153" s="2125"/>
      <c r="D153" s="2125"/>
      <c r="E153" s="2125"/>
      <c r="F153" s="2113">
        <v>0.05</v>
      </c>
    </row>
    <row r="154" spans="1:6" ht="14.25" thickBot="1">
      <c r="A154" s="1522" t="s">
        <v>202</v>
      </c>
      <c r="B154" s="1516" t="s">
        <v>2182</v>
      </c>
      <c r="C154" s="2125"/>
      <c r="D154" s="2125"/>
      <c r="E154" s="2125"/>
      <c r="F154" s="2113">
        <v>0.05</v>
      </c>
    </row>
    <row r="155" spans="1:6" ht="24.75" thickBot="1">
      <c r="A155" s="1522" t="s">
        <v>202</v>
      </c>
      <c r="B155" s="1516" t="s">
        <v>2183</v>
      </c>
      <c r="C155" s="2125"/>
      <c r="D155" s="2125"/>
      <c r="E155" s="2125"/>
      <c r="F155" s="2113">
        <v>0.05</v>
      </c>
    </row>
    <row r="156" spans="1:6" ht="24.75" thickBot="1">
      <c r="A156" s="1522" t="s">
        <v>202</v>
      </c>
      <c r="B156" s="1516" t="s">
        <v>2184</v>
      </c>
      <c r="C156" s="2125"/>
      <c r="D156" s="2125"/>
      <c r="E156" s="2125"/>
      <c r="F156" s="2113">
        <v>0.05</v>
      </c>
    </row>
    <row r="157" spans="1:6" ht="14.25" thickBot="1">
      <c r="A157" s="1532" t="s">
        <v>202</v>
      </c>
      <c r="B157" s="1528" t="s">
        <v>2185</v>
      </c>
      <c r="C157" s="2122"/>
      <c r="D157" s="2122"/>
      <c r="E157" s="2122"/>
      <c r="F157" s="2115">
        <v>0.05</v>
      </c>
    </row>
    <row r="158" spans="1:6" ht="14.25" thickBot="1">
      <c r="A158" s="1522" t="s">
        <v>1542</v>
      </c>
      <c r="B158" s="1523" t="s">
        <v>2186</v>
      </c>
      <c r="C158" s="2110">
        <v>0.13</v>
      </c>
      <c r="D158" s="2110">
        <v>0.13</v>
      </c>
      <c r="E158" s="2110">
        <v>0.13</v>
      </c>
      <c r="F158" s="2111">
        <v>0.13</v>
      </c>
    </row>
    <row r="159" spans="1:6" ht="14.25" thickBot="1">
      <c r="A159" s="1522" t="s">
        <v>1542</v>
      </c>
      <c r="B159" s="1516" t="s">
        <v>1209</v>
      </c>
      <c r="C159" s="2112">
        <v>0.13</v>
      </c>
      <c r="D159" s="2112">
        <v>0.13</v>
      </c>
      <c r="E159" s="2112">
        <v>0.13</v>
      </c>
      <c r="F159" s="2113">
        <v>0.13</v>
      </c>
    </row>
    <row r="160" spans="1:6" ht="14.25" thickBot="1">
      <c r="A160" s="1522" t="s">
        <v>1542</v>
      </c>
      <c r="B160" s="1516" t="s">
        <v>1222</v>
      </c>
      <c r="C160" s="2112">
        <v>0.13</v>
      </c>
      <c r="D160" s="2112">
        <v>0.13</v>
      </c>
      <c r="E160" s="2112">
        <v>0.129</v>
      </c>
      <c r="F160" s="2113">
        <v>0.13</v>
      </c>
    </row>
    <row r="161" spans="1:6" ht="14.25" thickBot="1">
      <c r="A161" s="1522" t="s">
        <v>1542</v>
      </c>
      <c r="B161" s="1516" t="s">
        <v>1235</v>
      </c>
      <c r="C161" s="2112">
        <v>0.128</v>
      </c>
      <c r="D161" s="2112">
        <v>0.128</v>
      </c>
      <c r="E161" s="2112">
        <v>0.125</v>
      </c>
      <c r="F161" s="2113">
        <v>0.13</v>
      </c>
    </row>
    <row r="162" spans="1:6" ht="14.25" thickBot="1">
      <c r="A162" s="1522" t="s">
        <v>1542</v>
      </c>
      <c r="B162" s="1516" t="s">
        <v>1247</v>
      </c>
      <c r="C162" s="2112">
        <v>0.122</v>
      </c>
      <c r="D162" s="2112">
        <v>0.122</v>
      </c>
      <c r="E162" s="2112">
        <v>0.126</v>
      </c>
      <c r="F162" s="2113">
        <v>0.122</v>
      </c>
    </row>
    <row r="163" spans="1:6" ht="14.25" thickBot="1">
      <c r="A163" s="1522" t="s">
        <v>1542</v>
      </c>
      <c r="B163" s="1516" t="s">
        <v>1258</v>
      </c>
      <c r="C163" s="2112">
        <v>0.13</v>
      </c>
      <c r="D163" s="2112">
        <v>0.13</v>
      </c>
      <c r="E163" s="2112">
        <v>0.125</v>
      </c>
      <c r="F163" s="2113">
        <v>0.13</v>
      </c>
    </row>
    <row r="164" spans="1:6" ht="14.25" thickBot="1">
      <c r="A164" s="1522" t="s">
        <v>1542</v>
      </c>
      <c r="B164" s="1516" t="s">
        <v>1269</v>
      </c>
      <c r="C164" s="2112">
        <v>0.13</v>
      </c>
      <c r="D164" s="2112">
        <v>0.13</v>
      </c>
      <c r="E164" s="2112">
        <v>0.13</v>
      </c>
      <c r="F164" s="2113">
        <v>0.13</v>
      </c>
    </row>
    <row r="165" spans="1:6" ht="14.25" thickBot="1">
      <c r="A165" s="1522" t="s">
        <v>1542</v>
      </c>
      <c r="B165" s="1516" t="s">
        <v>1280</v>
      </c>
      <c r="C165" s="2112">
        <v>0.13</v>
      </c>
      <c r="D165" s="2112">
        <v>0.13</v>
      </c>
      <c r="E165" s="2112">
        <v>0.124</v>
      </c>
      <c r="F165" s="2113">
        <v>0.13</v>
      </c>
    </row>
    <row r="166" spans="1:6" ht="14.25" thickBot="1">
      <c r="A166" s="1522" t="s">
        <v>1542</v>
      </c>
      <c r="B166" s="1516" t="s">
        <v>1292</v>
      </c>
      <c r="C166" s="2112">
        <v>0.13</v>
      </c>
      <c r="D166" s="2112">
        <v>0.13</v>
      </c>
      <c r="E166" s="2112">
        <v>0.13</v>
      </c>
      <c r="F166" s="2113">
        <v>0.13</v>
      </c>
    </row>
    <row r="167" spans="1:6" ht="14.25" thickBot="1">
      <c r="A167" s="1522" t="s">
        <v>1542</v>
      </c>
      <c r="B167" s="1516" t="s">
        <v>1302</v>
      </c>
      <c r="C167" s="2112">
        <v>0.125</v>
      </c>
      <c r="D167" s="2112">
        <v>0.125</v>
      </c>
      <c r="E167" s="2112">
        <v>0.121</v>
      </c>
      <c r="F167" s="2124"/>
    </row>
    <row r="168" spans="1:6" ht="14.25" thickBot="1">
      <c r="A168" s="1522" t="s">
        <v>1542</v>
      </c>
      <c r="B168" s="1516" t="s">
        <v>1312</v>
      </c>
      <c r="C168" s="2112">
        <v>0.13</v>
      </c>
      <c r="D168" s="2112">
        <v>0.13</v>
      </c>
      <c r="E168" s="2112">
        <v>0.126</v>
      </c>
      <c r="F168" s="2124"/>
    </row>
    <row r="169" spans="1:6" ht="14.25" thickBot="1">
      <c r="A169" s="1522" t="s">
        <v>1542</v>
      </c>
      <c r="B169" s="1516" t="s">
        <v>1322</v>
      </c>
      <c r="C169" s="2112">
        <v>0.128</v>
      </c>
      <c r="D169" s="2112">
        <v>0.129</v>
      </c>
      <c r="E169" s="2112">
        <v>0.13</v>
      </c>
      <c r="F169" s="2124"/>
    </row>
    <row r="170" spans="1:6" ht="14.25" thickBot="1">
      <c r="A170" s="1522" t="s">
        <v>1542</v>
      </c>
      <c r="B170" s="1516" t="s">
        <v>1332</v>
      </c>
      <c r="C170" s="2112">
        <v>0.14099999999999999</v>
      </c>
      <c r="D170" s="2112">
        <v>0.13</v>
      </c>
      <c r="E170" s="2112">
        <v>0.125</v>
      </c>
      <c r="F170" s="2124"/>
    </row>
    <row r="171" spans="1:6" ht="14.25" thickBot="1">
      <c r="A171" s="1522" t="s">
        <v>1542</v>
      </c>
      <c r="B171" s="1516" t="s">
        <v>2187</v>
      </c>
      <c r="C171" s="2112">
        <v>0.127</v>
      </c>
      <c r="D171" s="2112">
        <v>0.126</v>
      </c>
      <c r="E171" s="2112">
        <v>0.126</v>
      </c>
      <c r="F171" s="2113">
        <v>0.11799999999999999</v>
      </c>
    </row>
    <row r="172" spans="1:6" ht="14.25" thickBot="1">
      <c r="A172" s="1522" t="s">
        <v>1542</v>
      </c>
      <c r="B172" s="1516" t="s">
        <v>2188</v>
      </c>
      <c r="C172" s="2112">
        <v>0.13</v>
      </c>
      <c r="D172" s="2112">
        <v>0.13</v>
      </c>
      <c r="E172" s="2112">
        <v>0.13</v>
      </c>
      <c r="F172" s="2124"/>
    </row>
    <row r="173" spans="1:6" ht="14.25" thickBot="1">
      <c r="A173" s="1522" t="s">
        <v>1542</v>
      </c>
      <c r="B173" s="1516" t="s">
        <v>1364</v>
      </c>
      <c r="C173" s="2112">
        <v>0.13</v>
      </c>
      <c r="D173" s="2112">
        <v>0.13</v>
      </c>
      <c r="E173" s="2112">
        <v>0.13</v>
      </c>
      <c r="F173" s="2124"/>
    </row>
    <row r="174" spans="1:6" ht="14.25" thickBot="1">
      <c r="A174" s="1522" t="s">
        <v>1542</v>
      </c>
      <c r="B174" s="1516" t="s">
        <v>2189</v>
      </c>
      <c r="C174" s="2112">
        <v>0.13</v>
      </c>
      <c r="D174" s="2112">
        <v>0.13</v>
      </c>
      <c r="E174" s="2112">
        <v>0.13</v>
      </c>
      <c r="F174" s="2113">
        <v>0.13</v>
      </c>
    </row>
    <row r="175" spans="1:6" ht="14.25" thickBot="1">
      <c r="A175" s="1522" t="s">
        <v>1542</v>
      </c>
      <c r="B175" s="1516" t="s">
        <v>2190</v>
      </c>
      <c r="C175" s="2112">
        <v>0.13</v>
      </c>
      <c r="D175" s="2112">
        <v>0.13</v>
      </c>
      <c r="E175" s="2112">
        <v>0.13</v>
      </c>
      <c r="F175" s="2113">
        <v>0.13</v>
      </c>
    </row>
    <row r="176" spans="1:6" ht="14.25" thickBot="1">
      <c r="A176" s="1522" t="s">
        <v>1542</v>
      </c>
      <c r="B176" s="1516" t="s">
        <v>1394</v>
      </c>
      <c r="C176" s="2112">
        <v>0.13</v>
      </c>
      <c r="D176" s="2112">
        <v>0.13</v>
      </c>
      <c r="E176" s="2112">
        <v>0.13</v>
      </c>
      <c r="F176" s="2113">
        <v>0.13</v>
      </c>
    </row>
    <row r="177" spans="1:6" ht="14.25" thickBot="1">
      <c r="A177" s="1522" t="s">
        <v>1542</v>
      </c>
      <c r="B177" s="1516" t="s">
        <v>2191</v>
      </c>
      <c r="C177" s="2112">
        <v>0.13</v>
      </c>
      <c r="D177" s="2112">
        <v>0.13</v>
      </c>
      <c r="E177" s="2112">
        <v>0.13</v>
      </c>
      <c r="F177" s="2113">
        <v>0.13</v>
      </c>
    </row>
    <row r="178" spans="1:6" ht="14.25" thickBot="1">
      <c r="A178" s="1522" t="s">
        <v>1542</v>
      </c>
      <c r="B178" s="1516" t="s">
        <v>1412</v>
      </c>
      <c r="C178" s="2112">
        <v>0.13</v>
      </c>
      <c r="D178" s="2112">
        <v>0.13</v>
      </c>
      <c r="E178" s="2112">
        <v>0.13</v>
      </c>
      <c r="F178" s="2113">
        <v>0.127</v>
      </c>
    </row>
    <row r="179" spans="1:6" ht="14.25" thickBot="1">
      <c r="A179" s="1522" t="s">
        <v>1542</v>
      </c>
      <c r="B179" s="1516" t="s">
        <v>1420</v>
      </c>
      <c r="C179" s="2112">
        <v>0.13</v>
      </c>
      <c r="D179" s="2112">
        <v>0.13</v>
      </c>
      <c r="E179" s="2112">
        <v>0.13</v>
      </c>
      <c r="F179" s="2124"/>
    </row>
    <row r="180" spans="1:6" ht="14.25" thickBot="1">
      <c r="A180" s="1522" t="s">
        <v>1542</v>
      </c>
      <c r="B180" s="1516" t="s">
        <v>2192</v>
      </c>
      <c r="C180" s="2112">
        <v>0.13</v>
      </c>
      <c r="D180" s="2112">
        <v>0.13</v>
      </c>
      <c r="E180" s="2112">
        <v>0.125</v>
      </c>
      <c r="F180" s="2113">
        <v>0.13</v>
      </c>
    </row>
    <row r="181" spans="1:6" ht="14.25" thickBot="1">
      <c r="A181" s="1522" t="s">
        <v>1542</v>
      </c>
      <c r="B181" s="1516" t="s">
        <v>1434</v>
      </c>
      <c r="C181" s="2112">
        <v>0.122</v>
      </c>
      <c r="D181" s="2112">
        <v>0.123</v>
      </c>
      <c r="E181" s="2112">
        <v>0.126</v>
      </c>
      <c r="F181" s="2113">
        <v>0.121</v>
      </c>
    </row>
    <row r="182" spans="1:6" ht="14.25" thickBot="1">
      <c r="A182" s="1522" t="s">
        <v>1542</v>
      </c>
      <c r="B182" s="1516" t="s">
        <v>1441</v>
      </c>
      <c r="C182" s="2112">
        <v>0.125</v>
      </c>
      <c r="D182" s="2112">
        <v>0.125</v>
      </c>
      <c r="E182" s="2112">
        <v>0.11700000000000001</v>
      </c>
      <c r="F182" s="2113">
        <v>0.13</v>
      </c>
    </row>
    <row r="183" spans="1:6" ht="14.25" thickBot="1">
      <c r="A183" s="1522" t="s">
        <v>1542</v>
      </c>
      <c r="B183" s="1516" t="s">
        <v>1448</v>
      </c>
      <c r="C183" s="2112">
        <v>0.127</v>
      </c>
      <c r="D183" s="2112">
        <v>0.127</v>
      </c>
      <c r="E183" s="2112">
        <v>0.128</v>
      </c>
      <c r="F183" s="2124"/>
    </row>
    <row r="184" spans="1:6" ht="14.25" thickBot="1">
      <c r="A184" s="1522" t="s">
        <v>1542</v>
      </c>
      <c r="B184" s="1516" t="s">
        <v>1455</v>
      </c>
      <c r="C184" s="2112">
        <v>0.125</v>
      </c>
      <c r="D184" s="2112">
        <v>0.125</v>
      </c>
      <c r="E184" s="2112">
        <v>0.127</v>
      </c>
      <c r="F184" s="2124"/>
    </row>
    <row r="185" spans="1:6" ht="14.25" thickBot="1">
      <c r="A185" s="1522" t="s">
        <v>1542</v>
      </c>
      <c r="B185" s="1516" t="s">
        <v>2193</v>
      </c>
      <c r="C185" s="2112">
        <v>0.127</v>
      </c>
      <c r="D185" s="2112">
        <v>0.127</v>
      </c>
      <c r="E185" s="2112">
        <v>0.128</v>
      </c>
      <c r="F185" s="2113">
        <v>0.13</v>
      </c>
    </row>
    <row r="186" spans="1:6" ht="24.75" thickBot="1">
      <c r="A186" s="1522" t="s">
        <v>1542</v>
      </c>
      <c r="B186" s="1516" t="s">
        <v>2194</v>
      </c>
      <c r="C186" s="2125"/>
      <c r="D186" s="2125"/>
      <c r="E186" s="2125"/>
      <c r="F186" s="2113">
        <v>0.05</v>
      </c>
    </row>
    <row r="187" spans="1:6" ht="14.25" thickBot="1">
      <c r="A187" s="1522" t="s">
        <v>1542</v>
      </c>
      <c r="B187" s="1516" t="s">
        <v>2195</v>
      </c>
      <c r="C187" s="2125"/>
      <c r="D187" s="2125"/>
      <c r="E187" s="2125"/>
      <c r="F187" s="2113">
        <v>0.05</v>
      </c>
    </row>
    <row r="188" spans="1:6" ht="14.25" thickBot="1">
      <c r="A188" s="1522" t="s">
        <v>1542</v>
      </c>
      <c r="B188" s="1516" t="s">
        <v>2196</v>
      </c>
      <c r="C188" s="2125"/>
      <c r="D188" s="2125"/>
      <c r="E188" s="2125"/>
      <c r="F188" s="2113">
        <v>0.05</v>
      </c>
    </row>
    <row r="189" spans="1:6" ht="24.75" thickBot="1">
      <c r="A189" s="1522" t="s">
        <v>1542</v>
      </c>
      <c r="B189" s="1516" t="s">
        <v>2197</v>
      </c>
      <c r="C189" s="2125"/>
      <c r="D189" s="2125"/>
      <c r="E189" s="2125"/>
      <c r="F189" s="2113">
        <v>0.05</v>
      </c>
    </row>
    <row r="190" spans="1:6" ht="24.75" thickBot="1">
      <c r="A190" s="1522" t="s">
        <v>1542</v>
      </c>
      <c r="B190" s="1516" t="s">
        <v>2198</v>
      </c>
      <c r="C190" s="2125"/>
      <c r="D190" s="2125"/>
      <c r="E190" s="2125"/>
      <c r="F190" s="2113">
        <v>0.05</v>
      </c>
    </row>
    <row r="191" spans="1:6" ht="24.75" thickBot="1">
      <c r="A191" s="1522" t="s">
        <v>1542</v>
      </c>
      <c r="B191" s="1516" t="s">
        <v>2199</v>
      </c>
      <c r="C191" s="2125"/>
      <c r="D191" s="2125"/>
      <c r="E191" s="2125"/>
      <c r="F191" s="2113">
        <v>0.05</v>
      </c>
    </row>
    <row r="192" spans="1:6" ht="24.75" thickBot="1">
      <c r="A192" s="1522" t="s">
        <v>1542</v>
      </c>
      <c r="B192" s="1516" t="s">
        <v>2200</v>
      </c>
      <c r="C192" s="2125"/>
      <c r="D192" s="2125"/>
      <c r="E192" s="2125"/>
      <c r="F192" s="2113">
        <v>0.05</v>
      </c>
    </row>
    <row r="193" spans="1:6" ht="24.75" thickBot="1">
      <c r="A193" s="1522" t="s">
        <v>1542</v>
      </c>
      <c r="B193" s="1516" t="s">
        <v>2201</v>
      </c>
      <c r="C193" s="2125"/>
      <c r="D193" s="2125"/>
      <c r="E193" s="2125"/>
      <c r="F193" s="2113">
        <v>0.05</v>
      </c>
    </row>
    <row r="194" spans="1:6" ht="24.75" thickBot="1">
      <c r="A194" s="1522" t="s">
        <v>1542</v>
      </c>
      <c r="B194" s="1516" t="s">
        <v>2202</v>
      </c>
      <c r="C194" s="2125"/>
      <c r="D194" s="2125"/>
      <c r="E194" s="2125"/>
      <c r="F194" s="2113">
        <v>0.05</v>
      </c>
    </row>
    <row r="195" spans="1:6" ht="14.25" thickBot="1">
      <c r="A195" s="1522" t="s">
        <v>1542</v>
      </c>
      <c r="B195" s="1516" t="s">
        <v>2203</v>
      </c>
      <c r="C195" s="2125"/>
      <c r="D195" s="2125"/>
      <c r="E195" s="2125"/>
      <c r="F195" s="2113">
        <v>0.05</v>
      </c>
    </row>
    <row r="196" spans="1:6" ht="24.75" thickBot="1">
      <c r="A196" s="1522" t="s">
        <v>1542</v>
      </c>
      <c r="B196" s="1516" t="s">
        <v>2204</v>
      </c>
      <c r="C196" s="2125"/>
      <c r="D196" s="2125"/>
      <c r="E196" s="2125"/>
      <c r="F196" s="2113">
        <v>0.05</v>
      </c>
    </row>
    <row r="197" spans="1:6" ht="24.75" thickBot="1">
      <c r="A197" s="1522" t="s">
        <v>1542</v>
      </c>
      <c r="B197" s="1516" t="s">
        <v>2205</v>
      </c>
      <c r="C197" s="2125"/>
      <c r="D197" s="2125"/>
      <c r="E197" s="2125"/>
      <c r="F197" s="2113">
        <v>0.05</v>
      </c>
    </row>
    <row r="198" spans="1:6" ht="24.75" thickBot="1">
      <c r="A198" s="1522" t="s">
        <v>1542</v>
      </c>
      <c r="B198" s="1516" t="s">
        <v>2206</v>
      </c>
      <c r="C198" s="2125"/>
      <c r="D198" s="2125"/>
      <c r="E198" s="2125"/>
      <c r="F198" s="2113">
        <v>0.05</v>
      </c>
    </row>
    <row r="199" spans="1:6" ht="24.75" thickBot="1">
      <c r="A199" s="1522" t="s">
        <v>1542</v>
      </c>
      <c r="B199" s="1516" t="s">
        <v>2207</v>
      </c>
      <c r="C199" s="2125"/>
      <c r="D199" s="2125"/>
      <c r="E199" s="2125"/>
      <c r="F199" s="2113">
        <v>0.05</v>
      </c>
    </row>
    <row r="200" spans="1:6" ht="24.75" thickBot="1">
      <c r="A200" s="1522" t="s">
        <v>1542</v>
      </c>
      <c r="B200" s="1516" t="s">
        <v>2208</v>
      </c>
      <c r="C200" s="2125"/>
      <c r="D200" s="2125"/>
      <c r="E200" s="2125"/>
      <c r="F200" s="2113">
        <v>0.05</v>
      </c>
    </row>
    <row r="201" spans="1:6" ht="24.75" thickBot="1">
      <c r="A201" s="1522" t="s">
        <v>1542</v>
      </c>
      <c r="B201" s="1516" t="s">
        <v>2209</v>
      </c>
      <c r="C201" s="2125"/>
      <c r="D201" s="2125"/>
      <c r="E201" s="2125"/>
      <c r="F201" s="2113">
        <v>0.05</v>
      </c>
    </row>
    <row r="202" spans="1:6" ht="24.75" thickBot="1">
      <c r="A202" s="1522" t="s">
        <v>1542</v>
      </c>
      <c r="B202" s="1516" t="s">
        <v>2210</v>
      </c>
      <c r="C202" s="2125"/>
      <c r="D202" s="2125"/>
      <c r="E202" s="2125"/>
      <c r="F202" s="2113">
        <v>0.05</v>
      </c>
    </row>
    <row r="203" spans="1:6" ht="24.75" thickBot="1">
      <c r="A203" s="1522" t="s">
        <v>1542</v>
      </c>
      <c r="B203" s="1516" t="s">
        <v>2211</v>
      </c>
      <c r="C203" s="2125"/>
      <c r="D203" s="2125"/>
      <c r="E203" s="2125"/>
      <c r="F203" s="2113">
        <v>0.05</v>
      </c>
    </row>
    <row r="204" spans="1:6" ht="14.25" thickBot="1">
      <c r="A204" s="1522" t="s">
        <v>1542</v>
      </c>
      <c r="B204" s="1516" t="s">
        <v>2212</v>
      </c>
      <c r="C204" s="2125"/>
      <c r="D204" s="2125"/>
      <c r="E204" s="2125"/>
      <c r="F204" s="2113">
        <v>0.05</v>
      </c>
    </row>
    <row r="205" spans="1:6" ht="14.25" thickBot="1">
      <c r="A205" s="1532" t="s">
        <v>1542</v>
      </c>
      <c r="B205" s="1528" t="s">
        <v>2213</v>
      </c>
      <c r="C205" s="2122"/>
      <c r="D205" s="2122"/>
      <c r="E205" s="2122"/>
      <c r="F205" s="2115">
        <v>0.05</v>
      </c>
    </row>
    <row r="206" spans="1:6" ht="14.25" thickBot="1">
      <c r="A206" s="1522" t="s">
        <v>1544</v>
      </c>
      <c r="B206" s="1523" t="s">
        <v>2214</v>
      </c>
      <c r="C206" s="2110">
        <v>0.15</v>
      </c>
      <c r="D206" s="2110">
        <v>0.15</v>
      </c>
      <c r="E206" s="2110">
        <v>0.15</v>
      </c>
      <c r="F206" s="2111">
        <v>0.15</v>
      </c>
    </row>
    <row r="207" spans="1:6" ht="14.25" thickBot="1">
      <c r="A207" s="1522" t="s">
        <v>1544</v>
      </c>
      <c r="B207" s="1516" t="s">
        <v>1210</v>
      </c>
      <c r="C207" s="2112">
        <v>0.15</v>
      </c>
      <c r="D207" s="2112">
        <v>0.15</v>
      </c>
      <c r="E207" s="2112">
        <v>0.15</v>
      </c>
      <c r="F207" s="2113">
        <v>0.14399999999999999</v>
      </c>
    </row>
    <row r="208" spans="1:6" ht="14.25" thickBot="1">
      <c r="A208" s="1522" t="s">
        <v>1544</v>
      </c>
      <c r="B208" s="1516" t="s">
        <v>1223</v>
      </c>
      <c r="C208" s="2112">
        <v>0.15</v>
      </c>
      <c r="D208" s="2112">
        <v>0.15</v>
      </c>
      <c r="E208" s="2112">
        <v>0.15</v>
      </c>
      <c r="F208" s="2113">
        <v>0.15</v>
      </c>
    </row>
    <row r="209" spans="1:6" ht="14.25" thickBot="1">
      <c r="A209" s="1522" t="s">
        <v>1544</v>
      </c>
      <c r="B209" s="1516" t="s">
        <v>1236</v>
      </c>
      <c r="C209" s="2112">
        <v>0.13700000000000001</v>
      </c>
      <c r="D209" s="2112">
        <v>0.13700000000000001</v>
      </c>
      <c r="E209" s="2112">
        <v>0.14000000000000001</v>
      </c>
      <c r="F209" s="2113">
        <v>0.11700000000000001</v>
      </c>
    </row>
    <row r="210" spans="1:6" ht="14.25" thickBot="1">
      <c r="A210" s="1522" t="s">
        <v>1544</v>
      </c>
      <c r="B210" s="1516" t="s">
        <v>2215</v>
      </c>
      <c r="C210" s="2112">
        <v>0.15</v>
      </c>
      <c r="D210" s="2112">
        <v>0.15</v>
      </c>
      <c r="E210" s="2112">
        <v>0.15</v>
      </c>
      <c r="F210" s="2113">
        <v>0.13800000000000001</v>
      </c>
    </row>
    <row r="211" spans="1:6" ht="14.25" thickBot="1">
      <c r="A211" s="1522" t="s">
        <v>1544</v>
      </c>
      <c r="B211" s="1516" t="s">
        <v>2216</v>
      </c>
      <c r="C211" s="2112">
        <v>0.13700000000000001</v>
      </c>
      <c r="D211" s="2112">
        <v>0.13500000000000001</v>
      </c>
      <c r="E211" s="2112">
        <v>0.13600000000000001</v>
      </c>
      <c r="F211" s="2113">
        <v>0.1</v>
      </c>
    </row>
    <row r="212" spans="1:6" ht="14.25" thickBot="1">
      <c r="A212" s="1522" t="s">
        <v>1544</v>
      </c>
      <c r="B212" s="1516" t="s">
        <v>2217</v>
      </c>
      <c r="C212" s="2112">
        <v>0.15</v>
      </c>
      <c r="D212" s="2112">
        <v>0.15</v>
      </c>
      <c r="E212" s="2112">
        <v>0.14799999999999999</v>
      </c>
      <c r="F212" s="2113">
        <v>0.13600000000000001</v>
      </c>
    </row>
    <row r="213" spans="1:6" ht="14.25" thickBot="1">
      <c r="A213" s="1522" t="s">
        <v>1544</v>
      </c>
      <c r="B213" s="1516" t="s">
        <v>1281</v>
      </c>
      <c r="C213" s="2112">
        <v>0.15</v>
      </c>
      <c r="D213" s="2112">
        <v>0.15</v>
      </c>
      <c r="E213" s="2112">
        <v>0.15</v>
      </c>
      <c r="F213" s="2113">
        <v>0.13800000000000001</v>
      </c>
    </row>
    <row r="214" spans="1:6" ht="14.25" thickBot="1">
      <c r="A214" s="1522" t="s">
        <v>1544</v>
      </c>
      <c r="B214" s="1516" t="s">
        <v>1293</v>
      </c>
      <c r="C214" s="2112">
        <v>9.0999999999999998E-2</v>
      </c>
      <c r="D214" s="2112">
        <v>0.09</v>
      </c>
      <c r="E214" s="2112">
        <v>9.1999999999999998E-2</v>
      </c>
      <c r="F214" s="2124"/>
    </row>
    <row r="215" spans="1:6" ht="14.25" thickBot="1">
      <c r="A215" s="1522" t="s">
        <v>1544</v>
      </c>
      <c r="B215" s="1516" t="s">
        <v>2218</v>
      </c>
      <c r="C215" s="2112">
        <v>0.15</v>
      </c>
      <c r="D215" s="2112">
        <v>0.15</v>
      </c>
      <c r="E215" s="2112">
        <v>0.15</v>
      </c>
      <c r="F215" s="2113">
        <v>0.15</v>
      </c>
    </row>
    <row r="216" spans="1:6" ht="14.25" thickBot="1">
      <c r="A216" s="1522" t="s">
        <v>1544</v>
      </c>
      <c r="B216" s="1516" t="s">
        <v>1313</v>
      </c>
      <c r="C216" s="2112">
        <v>0.14699999999999999</v>
      </c>
      <c r="D216" s="2112">
        <v>0.14699999999999999</v>
      </c>
      <c r="E216" s="2112">
        <v>0.15</v>
      </c>
      <c r="F216" s="2113">
        <v>0.14000000000000001</v>
      </c>
    </row>
    <row r="217" spans="1:6" ht="14.25" thickBot="1">
      <c r="A217" s="1522" t="s">
        <v>1544</v>
      </c>
      <c r="B217" s="1516" t="s">
        <v>1323</v>
      </c>
      <c r="C217" s="2112">
        <v>0.15</v>
      </c>
      <c r="D217" s="2112">
        <v>0.15</v>
      </c>
      <c r="E217" s="2112">
        <v>0.15</v>
      </c>
      <c r="F217" s="2113">
        <v>0.15</v>
      </c>
    </row>
    <row r="218" spans="1:6" ht="14.25" thickBot="1">
      <c r="A218" s="1522" t="s">
        <v>1544</v>
      </c>
      <c r="B218" s="1516" t="s">
        <v>2219</v>
      </c>
      <c r="C218" s="2112">
        <v>0.15</v>
      </c>
      <c r="D218" s="2112">
        <v>0.15</v>
      </c>
      <c r="E218" s="2112">
        <v>0.15</v>
      </c>
      <c r="F218" s="2113">
        <v>0.15</v>
      </c>
    </row>
    <row r="219" spans="1:6" ht="14.25" thickBot="1">
      <c r="A219" s="1522" t="s">
        <v>1544</v>
      </c>
      <c r="B219" s="1516" t="s">
        <v>1344</v>
      </c>
      <c r="C219" s="2112">
        <v>0.15</v>
      </c>
      <c r="D219" s="2112">
        <v>0.15</v>
      </c>
      <c r="E219" s="2112">
        <v>0.15</v>
      </c>
      <c r="F219" s="2113">
        <v>0.14799999999999999</v>
      </c>
    </row>
    <row r="220" spans="1:6" ht="14.25" thickBot="1">
      <c r="A220" s="1522" t="s">
        <v>1544</v>
      </c>
      <c r="B220" s="1516" t="s">
        <v>2220</v>
      </c>
      <c r="C220" s="2112">
        <v>0.15</v>
      </c>
      <c r="D220" s="2112">
        <v>0.15</v>
      </c>
      <c r="E220" s="2112">
        <v>0.15</v>
      </c>
      <c r="F220" s="2113">
        <v>0.15</v>
      </c>
    </row>
    <row r="221" spans="1:6" ht="14.25" thickBot="1">
      <c r="A221" s="1522" t="s">
        <v>1544</v>
      </c>
      <c r="B221" s="1516" t="s">
        <v>1365</v>
      </c>
      <c r="C221" s="2112"/>
      <c r="D221" s="2125"/>
      <c r="E221" s="2125"/>
      <c r="F221" s="2113">
        <v>0.14799999999999999</v>
      </c>
    </row>
    <row r="222" spans="1:6" ht="14.25" thickBot="1">
      <c r="A222" s="1522" t="s">
        <v>1544</v>
      </c>
      <c r="B222" s="1516" t="s">
        <v>1375</v>
      </c>
      <c r="C222" s="2112"/>
      <c r="D222" s="2125"/>
      <c r="E222" s="2125"/>
      <c r="F222" s="2113">
        <v>0.1</v>
      </c>
    </row>
    <row r="223" spans="1:6" ht="14.25" thickBot="1">
      <c r="A223" s="1522" t="s">
        <v>1544</v>
      </c>
      <c r="B223" s="1516" t="s">
        <v>1385</v>
      </c>
      <c r="C223" s="2112"/>
      <c r="D223" s="2125"/>
      <c r="E223" s="2125"/>
      <c r="F223" s="2113">
        <v>0.15</v>
      </c>
    </row>
    <row r="224" spans="1:6" ht="14.25" thickBot="1">
      <c r="A224" s="1522" t="s">
        <v>1544</v>
      </c>
      <c r="B224" s="1516" t="s">
        <v>1395</v>
      </c>
      <c r="C224" s="2112"/>
      <c r="D224" s="2125"/>
      <c r="E224" s="2125"/>
      <c r="F224" s="2113">
        <v>0.15</v>
      </c>
    </row>
    <row r="225" spans="1:6" ht="14.25" thickBot="1">
      <c r="A225" s="1522" t="s">
        <v>1544</v>
      </c>
      <c r="B225" s="1516" t="s">
        <v>2221</v>
      </c>
      <c r="C225" s="2112">
        <v>0.15</v>
      </c>
      <c r="D225" s="2112">
        <v>0.15</v>
      </c>
      <c r="E225" s="2112">
        <v>0.15</v>
      </c>
      <c r="F225" s="2113">
        <v>0.15</v>
      </c>
    </row>
    <row r="226" spans="1:6" ht="14.25" thickBot="1">
      <c r="A226" s="1522" t="s">
        <v>1544</v>
      </c>
      <c r="B226" s="1516" t="s">
        <v>1413</v>
      </c>
      <c r="C226" s="2112">
        <v>0.15</v>
      </c>
      <c r="D226" s="2112">
        <v>0.15</v>
      </c>
      <c r="E226" s="2112">
        <v>0.15</v>
      </c>
      <c r="F226" s="2113">
        <v>0.14799999999999999</v>
      </c>
    </row>
    <row r="227" spans="1:6" ht="14.25" thickBot="1">
      <c r="A227" s="1522" t="s">
        <v>1544</v>
      </c>
      <c r="B227" s="1516" t="s">
        <v>2222</v>
      </c>
      <c r="C227" s="2112">
        <v>0.15</v>
      </c>
      <c r="D227" s="2112">
        <v>0.15</v>
      </c>
      <c r="E227" s="2112">
        <v>0.15</v>
      </c>
      <c r="F227" s="2113">
        <v>0.15</v>
      </c>
    </row>
    <row r="228" spans="1:6" ht="14.25" thickBot="1">
      <c r="A228" s="1522" t="s">
        <v>1544</v>
      </c>
      <c r="B228" s="1516" t="s">
        <v>1428</v>
      </c>
      <c r="C228" s="2112">
        <v>0.15</v>
      </c>
      <c r="D228" s="2112">
        <v>0.15</v>
      </c>
      <c r="E228" s="2112">
        <v>0.15</v>
      </c>
      <c r="F228" s="2113">
        <v>0.15</v>
      </c>
    </row>
    <row r="229" spans="1:6" ht="14.25" thickBot="1">
      <c r="A229" s="1522" t="s">
        <v>1544</v>
      </c>
      <c r="B229" s="1516" t="s">
        <v>1435</v>
      </c>
      <c r="C229" s="2112">
        <v>0.15</v>
      </c>
      <c r="D229" s="2112">
        <v>0.15</v>
      </c>
      <c r="E229" s="2112">
        <v>0.15</v>
      </c>
      <c r="F229" s="2124"/>
    </row>
    <row r="230" spans="1:6" ht="14.25" thickBot="1">
      <c r="A230" s="1522" t="s">
        <v>1544</v>
      </c>
      <c r="B230" s="1516" t="s">
        <v>1442</v>
      </c>
      <c r="C230" s="2112">
        <v>0.14499999999999999</v>
      </c>
      <c r="D230" s="2112">
        <v>0.14499999999999999</v>
      </c>
      <c r="E230" s="2112">
        <v>0.14399999999999999</v>
      </c>
      <c r="F230" s="2124"/>
    </row>
    <row r="231" spans="1:6" ht="14.25" thickBot="1">
      <c r="A231" s="1522" t="s">
        <v>1544</v>
      </c>
      <c r="B231" s="1516" t="s">
        <v>2223</v>
      </c>
      <c r="C231" s="2112">
        <v>0.128</v>
      </c>
      <c r="D231" s="2112">
        <v>0.125</v>
      </c>
      <c r="E231" s="2112">
        <v>0.13200000000000001</v>
      </c>
      <c r="F231" s="2124"/>
    </row>
    <row r="232" spans="1:6" ht="14.25" thickBot="1">
      <c r="A232" s="1522" t="s">
        <v>1544</v>
      </c>
      <c r="B232" s="1516" t="s">
        <v>2224</v>
      </c>
      <c r="C232" s="2112">
        <v>0.14499999999999999</v>
      </c>
      <c r="D232" s="2112">
        <v>0.14399999999999999</v>
      </c>
      <c r="E232" s="2112">
        <v>0.14599999999999999</v>
      </c>
      <c r="F232" s="2113">
        <v>0.13800000000000001</v>
      </c>
    </row>
    <row r="233" spans="1:6" ht="14.25" thickBot="1">
      <c r="A233" s="1522" t="s">
        <v>1544</v>
      </c>
      <c r="B233" s="1516" t="s">
        <v>2225</v>
      </c>
      <c r="C233" s="2112">
        <v>0.14499999999999999</v>
      </c>
      <c r="D233" s="2112">
        <v>0.14299999999999999</v>
      </c>
      <c r="E233" s="2112">
        <v>0.14199999999999999</v>
      </c>
      <c r="F233" s="2124"/>
    </row>
    <row r="234" spans="1:6" ht="14.25" thickBot="1">
      <c r="A234" s="1522" t="s">
        <v>1544</v>
      </c>
      <c r="B234" s="1516" t="s">
        <v>2226</v>
      </c>
      <c r="C234" s="2112">
        <v>0.14000000000000001</v>
      </c>
      <c r="D234" s="2112">
        <v>0.14000000000000001</v>
      </c>
      <c r="E234" s="2112">
        <v>0.14399999999999999</v>
      </c>
      <c r="F234" s="2124"/>
    </row>
    <row r="235" spans="1:6" ht="14.25" thickBot="1">
      <c r="A235" s="1522" t="s">
        <v>1544</v>
      </c>
      <c r="B235" s="1516" t="s">
        <v>2227</v>
      </c>
      <c r="C235" s="2112">
        <v>0.14099999999999999</v>
      </c>
      <c r="D235" s="2112">
        <v>0.14199999999999999</v>
      </c>
      <c r="E235" s="2112">
        <v>0.14499999999999999</v>
      </c>
      <c r="F235" s="2113">
        <v>0.15</v>
      </c>
    </row>
    <row r="236" spans="1:6" ht="14.25" thickBot="1">
      <c r="A236" s="1522" t="s">
        <v>1544</v>
      </c>
      <c r="B236" s="1516" t="s">
        <v>1477</v>
      </c>
      <c r="C236" s="2125"/>
      <c r="D236" s="2125"/>
      <c r="E236" s="2125"/>
      <c r="F236" s="2113">
        <v>0.14299999999999999</v>
      </c>
    </row>
    <row r="237" spans="1:6" ht="24.75" thickBot="1">
      <c r="A237" s="1522" t="s">
        <v>1544</v>
      </c>
      <c r="B237" s="1516" t="s">
        <v>2228</v>
      </c>
      <c r="C237" s="2125"/>
      <c r="D237" s="2125"/>
      <c r="E237" s="2125"/>
      <c r="F237" s="2113">
        <v>0.05</v>
      </c>
    </row>
    <row r="238" spans="1:6" ht="24.75" thickBot="1">
      <c r="A238" s="1522" t="s">
        <v>1544</v>
      </c>
      <c r="B238" s="1516" t="s">
        <v>2229</v>
      </c>
      <c r="C238" s="2125"/>
      <c r="D238" s="2125"/>
      <c r="E238" s="2125"/>
      <c r="F238" s="2113">
        <v>0.05</v>
      </c>
    </row>
    <row r="239" spans="1:6" ht="24.75" thickBot="1">
      <c r="A239" s="1522" t="s">
        <v>1544</v>
      </c>
      <c r="B239" s="1516" t="s">
        <v>2230</v>
      </c>
      <c r="C239" s="2125"/>
      <c r="D239" s="2125"/>
      <c r="E239" s="2125"/>
      <c r="F239" s="2113">
        <v>0.05</v>
      </c>
    </row>
    <row r="240" spans="1:6" ht="24.75" thickBot="1">
      <c r="A240" s="1522" t="s">
        <v>1544</v>
      </c>
      <c r="B240" s="1516" t="s">
        <v>2231</v>
      </c>
      <c r="C240" s="2125"/>
      <c r="D240" s="2125"/>
      <c r="E240" s="2125"/>
      <c r="F240" s="2113">
        <v>0.05</v>
      </c>
    </row>
    <row r="241" spans="1:6" ht="24.75" thickBot="1">
      <c r="A241" s="1522" t="s">
        <v>1544</v>
      </c>
      <c r="B241" s="1516" t="s">
        <v>2232</v>
      </c>
      <c r="C241" s="2125"/>
      <c r="D241" s="2125"/>
      <c r="E241" s="2125"/>
      <c r="F241" s="2113">
        <v>0.05</v>
      </c>
    </row>
    <row r="242" spans="1:6" ht="24.75" thickBot="1">
      <c r="A242" s="1522" t="s">
        <v>1544</v>
      </c>
      <c r="B242" s="1516" t="s">
        <v>2233</v>
      </c>
      <c r="C242" s="2125"/>
      <c r="D242" s="2125"/>
      <c r="E242" s="2125"/>
      <c r="F242" s="2113">
        <v>0.05</v>
      </c>
    </row>
    <row r="243" spans="1:6" ht="24.75" thickBot="1">
      <c r="A243" s="1522" t="s">
        <v>1544</v>
      </c>
      <c r="B243" s="1516" t="s">
        <v>2234</v>
      </c>
      <c r="C243" s="2125"/>
      <c r="D243" s="2125"/>
      <c r="E243" s="2125"/>
      <c r="F243" s="2113">
        <v>0.05</v>
      </c>
    </row>
    <row r="244" spans="1:6" ht="24.75" thickBot="1">
      <c r="A244" s="1532" t="s">
        <v>1544</v>
      </c>
      <c r="B244" s="1528" t="s">
        <v>2235</v>
      </c>
      <c r="C244" s="2122"/>
      <c r="D244" s="2122"/>
      <c r="E244" s="2122"/>
      <c r="F244" s="2115">
        <v>0.05</v>
      </c>
    </row>
    <row r="245" spans="1:6" ht="14.25" thickBot="1">
      <c r="A245" s="1522" t="s">
        <v>1546</v>
      </c>
      <c r="B245" s="1523" t="s">
        <v>2236</v>
      </c>
      <c r="C245" s="2110">
        <v>0.15</v>
      </c>
      <c r="D245" s="2110">
        <v>0.15</v>
      </c>
      <c r="E245" s="2110">
        <v>0.15</v>
      </c>
      <c r="F245" s="2111">
        <v>0.14299999999999999</v>
      </c>
    </row>
    <row r="246" spans="1:6" ht="14.25" thickBot="1">
      <c r="A246" s="1522" t="s">
        <v>1546</v>
      </c>
      <c r="B246" s="1516" t="s">
        <v>1211</v>
      </c>
      <c r="C246" s="2112">
        <v>0.15</v>
      </c>
      <c r="D246" s="2112">
        <v>0.15</v>
      </c>
      <c r="E246" s="2112">
        <v>0.15</v>
      </c>
      <c r="F246" s="2113">
        <v>0.114</v>
      </c>
    </row>
    <row r="247" spans="1:6" ht="14.25" thickBot="1">
      <c r="A247" s="1522" t="s">
        <v>1546</v>
      </c>
      <c r="B247" s="1516" t="s">
        <v>2237</v>
      </c>
      <c r="C247" s="2112">
        <v>0.15</v>
      </c>
      <c r="D247" s="2112">
        <v>0.15</v>
      </c>
      <c r="E247" s="2112">
        <v>0.15</v>
      </c>
      <c r="F247" s="2113">
        <v>0.15</v>
      </c>
    </row>
    <row r="248" spans="1:6" ht="14.25" thickBot="1">
      <c r="A248" s="1522" t="s">
        <v>1546</v>
      </c>
      <c r="B248" s="1516" t="s">
        <v>2238</v>
      </c>
      <c r="C248" s="2112">
        <v>0.15</v>
      </c>
      <c r="D248" s="2112">
        <v>0.15</v>
      </c>
      <c r="E248" s="2112">
        <v>0.15</v>
      </c>
      <c r="F248" s="2113">
        <v>0.14000000000000001</v>
      </c>
    </row>
    <row r="249" spans="1:6" ht="14.25" thickBot="1">
      <c r="A249" s="1522" t="s">
        <v>1546</v>
      </c>
      <c r="B249" s="1516" t="s">
        <v>2239</v>
      </c>
      <c r="C249" s="2112">
        <v>0.15</v>
      </c>
      <c r="D249" s="2112">
        <v>0.14899999999999999</v>
      </c>
      <c r="E249" s="2112">
        <v>0.15</v>
      </c>
      <c r="F249" s="2113">
        <v>0.1</v>
      </c>
    </row>
    <row r="250" spans="1:6" ht="14.25" thickBot="1">
      <c r="A250" s="1522" t="s">
        <v>1546</v>
      </c>
      <c r="B250" s="1516" t="s">
        <v>2240</v>
      </c>
      <c r="C250" s="2112">
        <v>0.15</v>
      </c>
      <c r="D250" s="2112">
        <v>0.15</v>
      </c>
      <c r="E250" s="2112">
        <v>0.15</v>
      </c>
      <c r="F250" s="2113">
        <v>0.14399999999999999</v>
      </c>
    </row>
    <row r="251" spans="1:6" ht="14.25" thickBot="1">
      <c r="A251" s="1522" t="s">
        <v>1546</v>
      </c>
      <c r="B251" s="1516" t="s">
        <v>1271</v>
      </c>
      <c r="C251" s="2112">
        <v>0.15</v>
      </c>
      <c r="D251" s="2112">
        <v>0.15</v>
      </c>
      <c r="E251" s="2112">
        <v>0.15</v>
      </c>
      <c r="F251" s="2113">
        <v>0.14299999999999999</v>
      </c>
    </row>
    <row r="252" spans="1:6" ht="14.25" thickBot="1">
      <c r="A252" s="1522" t="s">
        <v>1546</v>
      </c>
      <c r="B252" s="1516" t="s">
        <v>1282</v>
      </c>
      <c r="C252" s="2112">
        <v>0.15</v>
      </c>
      <c r="D252" s="2112">
        <v>0.15</v>
      </c>
      <c r="E252" s="2112">
        <v>0.15</v>
      </c>
      <c r="F252" s="2113">
        <v>0.1</v>
      </c>
    </row>
    <row r="253" spans="1:6" ht="14.25" thickBot="1">
      <c r="A253" s="1522" t="s">
        <v>1546</v>
      </c>
      <c r="B253" s="1516" t="s">
        <v>1294</v>
      </c>
      <c r="C253" s="2112">
        <v>0.15</v>
      </c>
      <c r="D253" s="2112">
        <v>0.15</v>
      </c>
      <c r="E253" s="2112">
        <v>0.15</v>
      </c>
      <c r="F253" s="2113">
        <v>0.1</v>
      </c>
    </row>
    <row r="254" spans="1:6" ht="14.25" thickBot="1">
      <c r="A254" s="1522" t="s">
        <v>1546</v>
      </c>
      <c r="B254" s="1516" t="s">
        <v>1304</v>
      </c>
      <c r="C254" s="2125"/>
      <c r="D254" s="2125"/>
      <c r="E254" s="2125"/>
      <c r="F254" s="2113">
        <v>0.15</v>
      </c>
    </row>
    <row r="255" spans="1:6" ht="14.25" thickBot="1">
      <c r="A255" s="1522" t="s">
        <v>1546</v>
      </c>
      <c r="B255" s="1516" t="s">
        <v>1314</v>
      </c>
      <c r="C255" s="2125"/>
      <c r="D255" s="2125"/>
      <c r="E255" s="2125"/>
      <c r="F255" s="2113">
        <v>0.14299999999999999</v>
      </c>
    </row>
    <row r="256" spans="1:6" ht="14.25" thickBot="1">
      <c r="A256" s="1522" t="s">
        <v>1546</v>
      </c>
      <c r="B256" s="1516" t="s">
        <v>2241</v>
      </c>
      <c r="C256" s="2112">
        <v>0.14599999999999999</v>
      </c>
      <c r="D256" s="2112">
        <v>0.14699999999999999</v>
      </c>
      <c r="E256" s="2112">
        <v>0.15</v>
      </c>
      <c r="F256" s="2113">
        <v>0.13200000000000001</v>
      </c>
    </row>
    <row r="257" spans="1:6" ht="14.25" thickBot="1">
      <c r="A257" s="1522" t="s">
        <v>1546</v>
      </c>
      <c r="B257" s="1516" t="s">
        <v>1334</v>
      </c>
      <c r="C257" s="2112">
        <v>0.15</v>
      </c>
      <c r="D257" s="2112">
        <v>0.15</v>
      </c>
      <c r="E257" s="2112">
        <v>0.15</v>
      </c>
      <c r="F257" s="2113">
        <v>0.13900000000000001</v>
      </c>
    </row>
    <row r="258" spans="1:6" ht="14.25" thickBot="1">
      <c r="A258" s="1522" t="s">
        <v>1546</v>
      </c>
      <c r="B258" s="1516" t="s">
        <v>1345</v>
      </c>
      <c r="C258" s="2112">
        <v>0.15</v>
      </c>
      <c r="D258" s="2112">
        <v>0.15</v>
      </c>
      <c r="E258" s="2112">
        <v>0.15</v>
      </c>
      <c r="F258" s="2113">
        <v>0.13</v>
      </c>
    </row>
    <row r="259" spans="1:6" ht="14.25" thickBot="1">
      <c r="A259" s="1522" t="s">
        <v>1546</v>
      </c>
      <c r="B259" s="1516" t="s">
        <v>2242</v>
      </c>
      <c r="C259" s="2112">
        <v>0.14799999999999999</v>
      </c>
      <c r="D259" s="2112">
        <v>0.14899999999999999</v>
      </c>
      <c r="E259" s="2112">
        <v>0.15</v>
      </c>
      <c r="F259" s="2113">
        <v>0.13700000000000001</v>
      </c>
    </row>
    <row r="260" spans="1:6" ht="14.25" thickBot="1">
      <c r="A260" s="1522" t="s">
        <v>1546</v>
      </c>
      <c r="B260" s="1516" t="s">
        <v>1366</v>
      </c>
      <c r="C260" s="2112">
        <v>0.15</v>
      </c>
      <c r="D260" s="2112">
        <v>0.15</v>
      </c>
      <c r="E260" s="2112">
        <v>0.15</v>
      </c>
      <c r="F260" s="2113">
        <v>0.14199999999999999</v>
      </c>
    </row>
    <row r="261" spans="1:6" ht="14.25" thickBot="1">
      <c r="A261" s="1522" t="s">
        <v>1546</v>
      </c>
      <c r="B261" s="1516" t="s">
        <v>1376</v>
      </c>
      <c r="C261" s="2112">
        <v>0.15</v>
      </c>
      <c r="D261" s="2112">
        <v>0.15</v>
      </c>
      <c r="E261" s="2112">
        <v>0.14899999999999999</v>
      </c>
      <c r="F261" s="2113">
        <v>0.14799999999999999</v>
      </c>
    </row>
    <row r="262" spans="1:6" ht="14.25" thickBot="1">
      <c r="A262" s="1522" t="s">
        <v>1546</v>
      </c>
      <c r="B262" s="1516" t="s">
        <v>1386</v>
      </c>
      <c r="C262" s="2112">
        <v>0.15</v>
      </c>
      <c r="D262" s="2112">
        <v>0.15</v>
      </c>
      <c r="E262" s="2112">
        <v>0.15</v>
      </c>
      <c r="F262" s="2124"/>
    </row>
    <row r="263" spans="1:6" ht="14.25" thickBot="1">
      <c r="A263" s="1522" t="s">
        <v>1546</v>
      </c>
      <c r="B263" s="1516" t="s">
        <v>2243</v>
      </c>
      <c r="C263" s="2112">
        <v>0.14899999999999999</v>
      </c>
      <c r="D263" s="2112">
        <v>0.14899999999999999</v>
      </c>
      <c r="E263" s="2112">
        <v>0.15</v>
      </c>
      <c r="F263" s="2113">
        <v>0.13</v>
      </c>
    </row>
    <row r="264" spans="1:6" ht="14.25" thickBot="1">
      <c r="A264" s="1522" t="s">
        <v>1546</v>
      </c>
      <c r="B264" s="1516" t="s">
        <v>1405</v>
      </c>
      <c r="C264" s="2112">
        <v>0.14799999999999999</v>
      </c>
      <c r="D264" s="2112">
        <v>0.14699999999999999</v>
      </c>
      <c r="E264" s="2112">
        <v>0.15</v>
      </c>
      <c r="F264" s="2113">
        <v>7.8E-2</v>
      </c>
    </row>
    <row r="265" spans="1:6" ht="14.25" thickBot="1">
      <c r="A265" s="1522" t="s">
        <v>1546</v>
      </c>
      <c r="B265" s="1516" t="s">
        <v>1414</v>
      </c>
      <c r="C265" s="2112">
        <v>0.15</v>
      </c>
      <c r="D265" s="2112">
        <v>0.15</v>
      </c>
      <c r="E265" s="2112">
        <v>0.15</v>
      </c>
      <c r="F265" s="2113">
        <v>7.3999999999999996E-2</v>
      </c>
    </row>
    <row r="266" spans="1:6" ht="14.25" thickBot="1">
      <c r="A266" s="1522" t="s">
        <v>1546</v>
      </c>
      <c r="B266" s="1516" t="s">
        <v>1422</v>
      </c>
      <c r="C266" s="2112">
        <v>0.14699999999999999</v>
      </c>
      <c r="D266" s="2112">
        <v>0.14699999999999999</v>
      </c>
      <c r="E266" s="2112">
        <v>0.15</v>
      </c>
      <c r="F266" s="2113">
        <v>0.14299999999999999</v>
      </c>
    </row>
    <row r="267" spans="1:6" ht="14.25" thickBot="1">
      <c r="A267" s="1522" t="s">
        <v>1546</v>
      </c>
      <c r="B267" s="1516" t="s">
        <v>1429</v>
      </c>
      <c r="C267" s="2112">
        <v>0.14199999999999999</v>
      </c>
      <c r="D267" s="2112">
        <v>0.14299999999999999</v>
      </c>
      <c r="E267" s="2112">
        <v>0.15</v>
      </c>
      <c r="F267" s="2124"/>
    </row>
    <row r="268" spans="1:6" ht="14.25" thickBot="1">
      <c r="A268" s="1522" t="s">
        <v>1546</v>
      </c>
      <c r="B268" s="1516" t="s">
        <v>2244</v>
      </c>
      <c r="C268" s="2112">
        <v>0.15</v>
      </c>
      <c r="D268" s="2112">
        <v>0.15</v>
      </c>
      <c r="E268" s="2112">
        <v>0.15</v>
      </c>
      <c r="F268" s="2113">
        <v>0.13</v>
      </c>
    </row>
    <row r="269" spans="1:6" ht="14.25" thickBot="1">
      <c r="A269" s="1522" t="s">
        <v>1546</v>
      </c>
      <c r="B269" s="1516" t="s">
        <v>1443</v>
      </c>
      <c r="C269" s="2112">
        <v>0.15</v>
      </c>
      <c r="D269" s="2112">
        <v>0.15</v>
      </c>
      <c r="E269" s="2112">
        <v>0.15</v>
      </c>
      <c r="F269" s="2113">
        <v>0.14299999999999999</v>
      </c>
    </row>
    <row r="270" spans="1:6" ht="14.25" thickBot="1">
      <c r="A270" s="1522" t="s">
        <v>1546</v>
      </c>
      <c r="B270" s="1516" t="s">
        <v>1450</v>
      </c>
      <c r="C270" s="2112">
        <v>0.14499999999999999</v>
      </c>
      <c r="D270" s="2112">
        <v>0.14499999999999999</v>
      </c>
      <c r="E270" s="2112">
        <v>0.15</v>
      </c>
      <c r="F270" s="2113">
        <v>0.14699999999999999</v>
      </c>
    </row>
    <row r="271" spans="1:6" ht="14.25" thickBot="1">
      <c r="A271" s="1522" t="s">
        <v>1546</v>
      </c>
      <c r="B271" s="1516" t="s">
        <v>1457</v>
      </c>
      <c r="C271" s="2112">
        <v>0.15</v>
      </c>
      <c r="D271" s="2112">
        <v>0.15</v>
      </c>
      <c r="E271" s="2112">
        <v>0.15</v>
      </c>
      <c r="F271" s="2113">
        <v>0.13800000000000001</v>
      </c>
    </row>
    <row r="272" spans="1:6" ht="14.25" thickBot="1">
      <c r="A272" s="1522" t="s">
        <v>1546</v>
      </c>
      <c r="B272" s="1516" t="s">
        <v>1464</v>
      </c>
      <c r="C272" s="2125"/>
      <c r="D272" s="2125"/>
      <c r="E272" s="2125"/>
      <c r="F272" s="2113">
        <v>0.14000000000000001</v>
      </c>
    </row>
    <row r="273" spans="1:6" ht="14.25" thickBot="1">
      <c r="A273" s="1522" t="s">
        <v>1546</v>
      </c>
      <c r="B273" s="1516" t="s">
        <v>2245</v>
      </c>
      <c r="C273" s="2112">
        <v>0.14199999999999999</v>
      </c>
      <c r="D273" s="2112">
        <v>0.14299999999999999</v>
      </c>
      <c r="E273" s="2112">
        <v>0.15</v>
      </c>
      <c r="F273" s="2113">
        <v>0.1</v>
      </c>
    </row>
    <row r="274" spans="1:6" ht="14.25" thickBot="1">
      <c r="A274" s="1522" t="s">
        <v>1546</v>
      </c>
      <c r="B274" s="1516" t="s">
        <v>2246</v>
      </c>
      <c r="C274" s="2112">
        <v>0.14799999999999999</v>
      </c>
      <c r="D274" s="2112">
        <v>0.14799999999999999</v>
      </c>
      <c r="E274" s="2112">
        <v>0.15</v>
      </c>
      <c r="F274" s="2113">
        <v>6.7000000000000004E-2</v>
      </c>
    </row>
    <row r="275" spans="1:6" ht="14.25" thickBot="1">
      <c r="A275" s="1522" t="s">
        <v>1546</v>
      </c>
      <c r="B275" s="1516" t="s">
        <v>2247</v>
      </c>
      <c r="C275" s="2112">
        <v>0.15</v>
      </c>
      <c r="D275" s="2112">
        <v>0.15</v>
      </c>
      <c r="E275" s="2112">
        <v>0.15</v>
      </c>
      <c r="F275" s="2113">
        <v>0.15</v>
      </c>
    </row>
    <row r="276" spans="1:6" ht="14.25" thickBot="1">
      <c r="A276" s="1522" t="s">
        <v>1546</v>
      </c>
      <c r="B276" s="1516" t="s">
        <v>2248</v>
      </c>
      <c r="C276" s="2112">
        <v>0.14499999999999999</v>
      </c>
      <c r="D276" s="2112">
        <v>0.14299999999999999</v>
      </c>
      <c r="E276" s="2112">
        <v>0.15</v>
      </c>
      <c r="F276" s="2113">
        <v>5.8999999999999997E-2</v>
      </c>
    </row>
    <row r="277" spans="1:6" ht="14.25" thickBot="1">
      <c r="A277" s="1522" t="s">
        <v>1546</v>
      </c>
      <c r="B277" s="1516" t="s">
        <v>2249</v>
      </c>
      <c r="C277" s="2112">
        <v>0.15</v>
      </c>
      <c r="D277" s="2112">
        <v>0.15</v>
      </c>
      <c r="E277" s="2112">
        <v>0.15</v>
      </c>
      <c r="F277" s="2113">
        <v>0.121</v>
      </c>
    </row>
    <row r="278" spans="1:6" ht="14.25" thickBot="1">
      <c r="A278" s="1522" t="s">
        <v>1546</v>
      </c>
      <c r="B278" s="1516" t="s">
        <v>2250</v>
      </c>
      <c r="C278" s="2112">
        <v>0.15</v>
      </c>
      <c r="D278" s="2112">
        <v>0.15</v>
      </c>
      <c r="E278" s="2112">
        <v>0.15</v>
      </c>
      <c r="F278" s="2113">
        <v>0.13800000000000001</v>
      </c>
    </row>
    <row r="279" spans="1:6" ht="24.75" thickBot="1">
      <c r="A279" s="1522" t="s">
        <v>1546</v>
      </c>
      <c r="B279" s="1516" t="s">
        <v>2251</v>
      </c>
      <c r="C279" s="2125"/>
      <c r="D279" s="2125"/>
      <c r="E279" s="2125"/>
      <c r="F279" s="2113">
        <v>0.05</v>
      </c>
    </row>
    <row r="280" spans="1:6" ht="24.75" thickBot="1">
      <c r="A280" s="1522" t="s">
        <v>1546</v>
      </c>
      <c r="B280" s="1516" t="s">
        <v>2252</v>
      </c>
      <c r="C280" s="2125"/>
      <c r="D280" s="2125"/>
      <c r="E280" s="2125"/>
      <c r="F280" s="2113">
        <v>0.05</v>
      </c>
    </row>
    <row r="281" spans="1:6" ht="24.75" thickBot="1">
      <c r="A281" s="1522" t="s">
        <v>1546</v>
      </c>
      <c r="B281" s="1516" t="s">
        <v>2253</v>
      </c>
      <c r="C281" s="2125"/>
      <c r="D281" s="2125"/>
      <c r="E281" s="2125"/>
      <c r="F281" s="2113">
        <v>0.05</v>
      </c>
    </row>
    <row r="282" spans="1:6" ht="24.75" thickBot="1">
      <c r="A282" s="1522" t="s">
        <v>1546</v>
      </c>
      <c r="B282" s="1516" t="s">
        <v>2254</v>
      </c>
      <c r="C282" s="2125"/>
      <c r="D282" s="2125"/>
      <c r="E282" s="2125"/>
      <c r="F282" s="2113">
        <v>0.05</v>
      </c>
    </row>
    <row r="283" spans="1:6" ht="24.75" thickBot="1">
      <c r="A283" s="1522" t="s">
        <v>1546</v>
      </c>
      <c r="B283" s="1516" t="s">
        <v>2255</v>
      </c>
      <c r="C283" s="2125"/>
      <c r="D283" s="2125"/>
      <c r="E283" s="2125"/>
      <c r="F283" s="2113">
        <v>0.05</v>
      </c>
    </row>
    <row r="284" spans="1:6" ht="24.75" thickBot="1">
      <c r="A284" s="1522" t="s">
        <v>1546</v>
      </c>
      <c r="B284" s="1516" t="s">
        <v>2256</v>
      </c>
      <c r="C284" s="2125"/>
      <c r="D284" s="2125"/>
      <c r="E284" s="2125"/>
      <c r="F284" s="2113">
        <v>0.05</v>
      </c>
    </row>
    <row r="285" spans="1:6" ht="24.75" thickBot="1">
      <c r="A285" s="1522" t="s">
        <v>1546</v>
      </c>
      <c r="B285" s="1516" t="s">
        <v>2257</v>
      </c>
      <c r="C285" s="2125"/>
      <c r="D285" s="2125"/>
      <c r="E285" s="2125"/>
      <c r="F285" s="2113">
        <v>0.05</v>
      </c>
    </row>
    <row r="286" spans="1:6" ht="24.75" thickBot="1">
      <c r="A286" s="1522" t="s">
        <v>1546</v>
      </c>
      <c r="B286" s="1516" t="s">
        <v>2258</v>
      </c>
      <c r="C286" s="2125"/>
      <c r="D286" s="2125"/>
      <c r="E286" s="2125"/>
      <c r="F286" s="2113">
        <v>0.05</v>
      </c>
    </row>
    <row r="287" spans="1:6" ht="24.75" thickBot="1">
      <c r="A287" s="1522" t="s">
        <v>1546</v>
      </c>
      <c r="B287" s="1516" t="s">
        <v>2259</v>
      </c>
      <c r="C287" s="2125"/>
      <c r="D287" s="2125"/>
      <c r="E287" s="2125"/>
      <c r="F287" s="2113">
        <v>0.05</v>
      </c>
    </row>
    <row r="288" spans="1:6" ht="24.75" thickBot="1">
      <c r="A288" s="1522" t="s">
        <v>1546</v>
      </c>
      <c r="B288" s="1516" t="s">
        <v>2260</v>
      </c>
      <c r="C288" s="2125"/>
      <c r="D288" s="2125"/>
      <c r="E288" s="2125"/>
      <c r="F288" s="2113">
        <v>0.05</v>
      </c>
    </row>
    <row r="289" spans="1:6" ht="24.75" thickBot="1">
      <c r="A289" s="1532" t="s">
        <v>1546</v>
      </c>
      <c r="B289" s="1528" t="s">
        <v>2261</v>
      </c>
      <c r="C289" s="2122"/>
      <c r="D289" s="2122"/>
      <c r="E289" s="2122"/>
      <c r="F289" s="2115">
        <v>0.05</v>
      </c>
    </row>
    <row r="290" spans="1:6" ht="14.25" thickBot="1">
      <c r="A290" s="1522" t="s">
        <v>1550</v>
      </c>
      <c r="B290" s="1523" t="s">
        <v>2262</v>
      </c>
      <c r="C290" s="2110">
        <v>0.15</v>
      </c>
      <c r="D290" s="2110">
        <v>0.15</v>
      </c>
      <c r="E290" s="2110">
        <v>0.15</v>
      </c>
      <c r="F290" s="2127"/>
    </row>
    <row r="291" spans="1:6" ht="14.25" thickBot="1">
      <c r="A291" s="1522" t="s">
        <v>1550</v>
      </c>
      <c r="B291" s="1516" t="s">
        <v>1212</v>
      </c>
      <c r="C291" s="2112">
        <v>0.15</v>
      </c>
      <c r="D291" s="2112">
        <v>0.15</v>
      </c>
      <c r="E291" s="2112">
        <v>0.15</v>
      </c>
      <c r="F291" s="2124"/>
    </row>
    <row r="292" spans="1:6" ht="14.25" thickBot="1">
      <c r="A292" s="1522" t="s">
        <v>1550</v>
      </c>
      <c r="B292" s="1516" t="s">
        <v>2263</v>
      </c>
      <c r="C292" s="2112">
        <v>0.15</v>
      </c>
      <c r="D292" s="2112">
        <v>0.15</v>
      </c>
      <c r="E292" s="2112">
        <v>0.15</v>
      </c>
      <c r="F292" s="2113">
        <v>0.14699999999999999</v>
      </c>
    </row>
    <row r="293" spans="1:6" ht="14.25" thickBot="1">
      <c r="A293" s="1522" t="s">
        <v>1550</v>
      </c>
      <c r="B293" s="1516" t="s">
        <v>2264</v>
      </c>
      <c r="C293" s="2125"/>
      <c r="D293" s="2125"/>
      <c r="E293" s="2125"/>
      <c r="F293" s="2113">
        <v>0.1</v>
      </c>
    </row>
    <row r="294" spans="1:6" ht="14.25" thickBot="1">
      <c r="A294" s="1522" t="s">
        <v>1550</v>
      </c>
      <c r="B294" s="1516" t="s">
        <v>2265</v>
      </c>
      <c r="C294" s="2112">
        <v>0.15</v>
      </c>
      <c r="D294" s="2112">
        <v>0.15</v>
      </c>
      <c r="E294" s="2112">
        <v>0.15</v>
      </c>
      <c r="F294" s="2113">
        <v>0.15</v>
      </c>
    </row>
    <row r="295" spans="1:6" ht="14.25" thickBot="1">
      <c r="A295" s="1522" t="s">
        <v>1550</v>
      </c>
      <c r="B295" s="1516" t="s">
        <v>1250</v>
      </c>
      <c r="C295" s="2112">
        <v>0.15</v>
      </c>
      <c r="D295" s="2112">
        <v>0.15</v>
      </c>
      <c r="E295" s="2112">
        <v>0.15</v>
      </c>
      <c r="F295" s="2113">
        <v>0.15</v>
      </c>
    </row>
    <row r="296" spans="1:6" ht="14.25" thickBot="1">
      <c r="A296" s="1522" t="s">
        <v>1550</v>
      </c>
      <c r="B296" s="1516" t="s">
        <v>2266</v>
      </c>
      <c r="C296" s="2112">
        <v>0.15</v>
      </c>
      <c r="D296" s="2112">
        <v>0.15</v>
      </c>
      <c r="E296" s="2112">
        <v>0.15</v>
      </c>
      <c r="F296" s="2113">
        <v>0.15</v>
      </c>
    </row>
    <row r="297" spans="1:6" ht="14.25" thickBot="1">
      <c r="A297" s="1522" t="s">
        <v>1550</v>
      </c>
      <c r="B297" s="1516" t="s">
        <v>2267</v>
      </c>
      <c r="C297" s="2112">
        <v>0.14799999999999999</v>
      </c>
      <c r="D297" s="2112">
        <v>0.14899999999999999</v>
      </c>
      <c r="E297" s="2112">
        <v>0.15</v>
      </c>
      <c r="F297" s="2113">
        <v>0.13700000000000001</v>
      </c>
    </row>
    <row r="298" spans="1:6" ht="14.25" thickBot="1">
      <c r="A298" s="1522" t="s">
        <v>1550</v>
      </c>
      <c r="B298" s="1516" t="s">
        <v>1283</v>
      </c>
      <c r="C298" s="2112">
        <v>0.13400000000000001</v>
      </c>
      <c r="D298" s="2112">
        <v>0.13400000000000001</v>
      </c>
      <c r="E298" s="2112">
        <v>0.14499999999999999</v>
      </c>
      <c r="F298" s="2113">
        <v>0.14799999999999999</v>
      </c>
    </row>
    <row r="299" spans="1:6" ht="14.25" thickBot="1">
      <c r="A299" s="1522" t="s">
        <v>1550</v>
      </c>
      <c r="B299" s="1516" t="s">
        <v>1295</v>
      </c>
      <c r="C299" s="2112">
        <v>0.15</v>
      </c>
      <c r="D299" s="2112">
        <v>0.15</v>
      </c>
      <c r="E299" s="2112">
        <v>0.15</v>
      </c>
      <c r="F299" s="2124"/>
    </row>
    <row r="300" spans="1:6" ht="14.25" thickBot="1">
      <c r="A300" s="1522" t="s">
        <v>1550</v>
      </c>
      <c r="B300" s="1516" t="s">
        <v>2268</v>
      </c>
      <c r="C300" s="2112">
        <v>0.15</v>
      </c>
      <c r="D300" s="2112">
        <v>0.15</v>
      </c>
      <c r="E300" s="2112">
        <v>0.15</v>
      </c>
      <c r="F300" s="2113">
        <v>0.15</v>
      </c>
    </row>
    <row r="301" spans="1:6" ht="14.25" thickBot="1">
      <c r="A301" s="1522" t="s">
        <v>1550</v>
      </c>
      <c r="B301" s="1516" t="s">
        <v>1315</v>
      </c>
      <c r="C301" s="2112">
        <v>0.15</v>
      </c>
      <c r="D301" s="2112">
        <v>0.15</v>
      </c>
      <c r="E301" s="2112">
        <v>0.15</v>
      </c>
      <c r="F301" s="2124"/>
    </row>
    <row r="302" spans="1:6" ht="14.25" thickBot="1">
      <c r="A302" s="1522" t="s">
        <v>1550</v>
      </c>
      <c r="B302" s="1516" t="s">
        <v>2269</v>
      </c>
      <c r="C302" s="2112">
        <v>0.15</v>
      </c>
      <c r="D302" s="2112">
        <v>0.15</v>
      </c>
      <c r="E302" s="2112">
        <v>0.15</v>
      </c>
      <c r="F302" s="2113">
        <v>0.15</v>
      </c>
    </row>
    <row r="303" spans="1:6" ht="14.25" thickBot="1">
      <c r="A303" s="1522" t="s">
        <v>1550</v>
      </c>
      <c r="B303" s="1516" t="s">
        <v>1335</v>
      </c>
      <c r="C303" s="2112">
        <v>0.15</v>
      </c>
      <c r="D303" s="2112">
        <v>0.15</v>
      </c>
      <c r="E303" s="2112">
        <v>0.15</v>
      </c>
      <c r="F303" s="2113">
        <v>0.15</v>
      </c>
    </row>
    <row r="304" spans="1:6" ht="14.25" thickBot="1">
      <c r="A304" s="1522" t="s">
        <v>1550</v>
      </c>
      <c r="B304" s="1516" t="s">
        <v>1346</v>
      </c>
      <c r="C304" s="2112">
        <v>0.15</v>
      </c>
      <c r="D304" s="2112">
        <v>0.15</v>
      </c>
      <c r="E304" s="2112">
        <v>0.15</v>
      </c>
      <c r="F304" s="2124"/>
    </row>
    <row r="305" spans="1:6" ht="14.25" thickBot="1">
      <c r="A305" s="1522" t="s">
        <v>1550</v>
      </c>
      <c r="B305" s="1516" t="s">
        <v>2270</v>
      </c>
      <c r="C305" s="2112">
        <v>0.15</v>
      </c>
      <c r="D305" s="2112">
        <v>0.15</v>
      </c>
      <c r="E305" s="2112">
        <v>0.15</v>
      </c>
      <c r="F305" s="2113">
        <v>0.14000000000000001</v>
      </c>
    </row>
    <row r="306" spans="1:6" ht="14.25" thickBot="1">
      <c r="A306" s="1522" t="s">
        <v>1550</v>
      </c>
      <c r="B306" s="1516" t="s">
        <v>1367</v>
      </c>
      <c r="C306" s="2112">
        <v>0.15</v>
      </c>
      <c r="D306" s="2112">
        <v>0.15</v>
      </c>
      <c r="E306" s="2112">
        <v>0.15</v>
      </c>
      <c r="F306" s="2124"/>
    </row>
    <row r="307" spans="1:6" ht="14.25" thickBot="1">
      <c r="A307" s="1522" t="s">
        <v>1550</v>
      </c>
      <c r="B307" s="1516" t="s">
        <v>2271</v>
      </c>
      <c r="C307" s="2112">
        <v>0.15</v>
      </c>
      <c r="D307" s="2112">
        <v>0.15</v>
      </c>
      <c r="E307" s="2112">
        <v>0.15</v>
      </c>
      <c r="F307" s="2113">
        <v>0.14299999999999999</v>
      </c>
    </row>
    <row r="308" spans="1:6" ht="14.25" thickBot="1">
      <c r="A308" s="1522" t="s">
        <v>1550</v>
      </c>
      <c r="B308" s="1516" t="s">
        <v>1387</v>
      </c>
      <c r="C308" s="2112">
        <v>0.15</v>
      </c>
      <c r="D308" s="2112">
        <v>0.15</v>
      </c>
      <c r="E308" s="2112">
        <v>0.15</v>
      </c>
      <c r="F308" s="2113">
        <v>0.15</v>
      </c>
    </row>
    <row r="309" spans="1:6" ht="14.25" thickBot="1">
      <c r="A309" s="1522" t="s">
        <v>1550</v>
      </c>
      <c r="B309" s="1516" t="s">
        <v>1397</v>
      </c>
      <c r="C309" s="2112">
        <v>0.15</v>
      </c>
      <c r="D309" s="2112">
        <v>0.15</v>
      </c>
      <c r="E309" s="2112">
        <v>0.15</v>
      </c>
      <c r="F309" s="2124"/>
    </row>
    <row r="310" spans="1:6" ht="14.25" thickBot="1">
      <c r="A310" s="1522" t="s">
        <v>1550</v>
      </c>
      <c r="B310" s="1516" t="s">
        <v>2272</v>
      </c>
      <c r="C310" s="2112">
        <v>0.15</v>
      </c>
      <c r="D310" s="2112">
        <v>0.15</v>
      </c>
      <c r="E310" s="2112">
        <v>0.15</v>
      </c>
      <c r="F310" s="2113">
        <v>0.13700000000000001</v>
      </c>
    </row>
    <row r="311" spans="1:6" ht="14.25" thickBot="1">
      <c r="A311" s="1522" t="s">
        <v>1550</v>
      </c>
      <c r="B311" s="1516" t="s">
        <v>2273</v>
      </c>
      <c r="C311" s="2112">
        <v>0.15</v>
      </c>
      <c r="D311" s="2112">
        <v>0.15</v>
      </c>
      <c r="E311" s="2112">
        <v>0.15</v>
      </c>
      <c r="F311" s="2113">
        <v>0.15</v>
      </c>
    </row>
    <row r="312" spans="1:6" ht="14.25" thickBot="1">
      <c r="A312" s="1522" t="s">
        <v>1550</v>
      </c>
      <c r="B312" s="1516" t="s">
        <v>1423</v>
      </c>
      <c r="C312" s="2112">
        <v>0.15</v>
      </c>
      <c r="D312" s="2112">
        <v>0.15</v>
      </c>
      <c r="E312" s="2112">
        <v>0.15</v>
      </c>
      <c r="F312" s="2113">
        <v>0.1</v>
      </c>
    </row>
    <row r="313" spans="1:6" ht="14.25" thickBot="1">
      <c r="A313" s="1522" t="s">
        <v>1550</v>
      </c>
      <c r="B313" s="1516" t="s">
        <v>2274</v>
      </c>
      <c r="C313" s="2112">
        <v>0.15</v>
      </c>
      <c r="D313" s="2112">
        <v>0.15</v>
      </c>
      <c r="E313" s="2112">
        <v>0.15</v>
      </c>
      <c r="F313" s="2113">
        <v>0.15</v>
      </c>
    </row>
    <row r="314" spans="1:6" ht="24.75" thickBot="1">
      <c r="A314" s="1522" t="s">
        <v>1550</v>
      </c>
      <c r="B314" s="1516" t="s">
        <v>2275</v>
      </c>
      <c r="C314" s="2125"/>
      <c r="D314" s="2125"/>
      <c r="E314" s="2125"/>
      <c r="F314" s="2113">
        <v>0.05</v>
      </c>
    </row>
    <row r="315" spans="1:6" ht="24.75" thickBot="1">
      <c r="A315" s="1522" t="s">
        <v>1550</v>
      </c>
      <c r="B315" s="1516" t="s">
        <v>2276</v>
      </c>
      <c r="C315" s="2125"/>
      <c r="D315" s="2125"/>
      <c r="E315" s="2125"/>
      <c r="F315" s="2113">
        <v>0.05</v>
      </c>
    </row>
    <row r="316" spans="1:6" ht="24.75" thickBot="1">
      <c r="A316" s="1532" t="s">
        <v>1550</v>
      </c>
      <c r="B316" s="1528" t="s">
        <v>2277</v>
      </c>
      <c r="C316" s="2122"/>
      <c r="D316" s="2122"/>
      <c r="E316" s="2122"/>
      <c r="F316" s="2115">
        <v>0.05</v>
      </c>
    </row>
    <row r="317" spans="1:6" ht="14.25" thickBot="1">
      <c r="A317" s="1522" t="s">
        <v>2278</v>
      </c>
      <c r="B317" s="1523" t="s">
        <v>2279</v>
      </c>
      <c r="C317" s="2110">
        <v>0.15</v>
      </c>
      <c r="D317" s="2110">
        <v>0.15</v>
      </c>
      <c r="E317" s="2110">
        <v>0.15</v>
      </c>
      <c r="F317" s="2111">
        <v>0.15</v>
      </c>
    </row>
    <row r="318" spans="1:6" ht="14.25" thickBot="1">
      <c r="A318" s="1522" t="s">
        <v>2278</v>
      </c>
      <c r="B318" s="1516" t="s">
        <v>2280</v>
      </c>
      <c r="C318" s="2112">
        <v>0.107</v>
      </c>
      <c r="D318" s="2112">
        <v>0.11</v>
      </c>
      <c r="E318" s="2112">
        <v>0.112</v>
      </c>
      <c r="F318" s="2124"/>
    </row>
    <row r="319" spans="1:6" ht="14.25" thickBot="1">
      <c r="A319" s="1522" t="s">
        <v>2278</v>
      </c>
      <c r="B319" s="1516" t="s">
        <v>2281</v>
      </c>
      <c r="C319" s="2112">
        <v>0.15</v>
      </c>
      <c r="D319" s="2112">
        <v>0.15</v>
      </c>
      <c r="E319" s="2112">
        <v>0.15</v>
      </c>
      <c r="F319" s="2113">
        <v>0.15</v>
      </c>
    </row>
    <row r="320" spans="1:6" ht="14.25" thickBot="1">
      <c r="A320" s="1522" t="s">
        <v>2278</v>
      </c>
      <c r="B320" s="1516" t="s">
        <v>1239</v>
      </c>
      <c r="C320" s="2112">
        <v>0.15</v>
      </c>
      <c r="D320" s="2112">
        <v>0.15</v>
      </c>
      <c r="E320" s="2112">
        <v>0.15</v>
      </c>
      <c r="F320" s="2124"/>
    </row>
    <row r="321" spans="1:6" ht="14.25" thickBot="1">
      <c r="A321" s="1522" t="s">
        <v>2278</v>
      </c>
      <c r="B321" s="1516" t="s">
        <v>2282</v>
      </c>
      <c r="C321" s="2112">
        <v>0.15</v>
      </c>
      <c r="D321" s="2112">
        <v>0.15</v>
      </c>
      <c r="E321" s="2112">
        <v>0.15</v>
      </c>
      <c r="F321" s="2124"/>
    </row>
    <row r="322" spans="1:6" ht="14.25" thickBot="1">
      <c r="A322" s="1522" t="s">
        <v>2278</v>
      </c>
      <c r="B322" s="1516" t="s">
        <v>2283</v>
      </c>
      <c r="C322" s="2112">
        <v>0.15</v>
      </c>
      <c r="D322" s="2112">
        <v>0.15</v>
      </c>
      <c r="E322" s="2112">
        <v>0.15</v>
      </c>
      <c r="F322" s="2113">
        <v>0.15</v>
      </c>
    </row>
    <row r="323" spans="1:6" ht="14.25" thickBot="1">
      <c r="A323" s="1522" t="s">
        <v>2278</v>
      </c>
      <c r="B323" s="1516" t="s">
        <v>2284</v>
      </c>
      <c r="C323" s="2112">
        <v>0.15</v>
      </c>
      <c r="D323" s="2112">
        <v>0.15</v>
      </c>
      <c r="E323" s="2112">
        <v>0.15</v>
      </c>
      <c r="F323" s="2124"/>
    </row>
    <row r="324" spans="1:6" ht="14.25" thickBot="1">
      <c r="A324" s="1522" t="s">
        <v>2278</v>
      </c>
      <c r="B324" s="1516" t="s">
        <v>2285</v>
      </c>
      <c r="C324" s="2112">
        <v>0.15</v>
      </c>
      <c r="D324" s="2112">
        <v>0.15</v>
      </c>
      <c r="E324" s="2112">
        <v>0.15</v>
      </c>
      <c r="F324" s="2124"/>
    </row>
    <row r="325" spans="1:6" ht="14.25" thickBot="1">
      <c r="A325" s="1522" t="s">
        <v>2278</v>
      </c>
      <c r="B325" s="1516" t="s">
        <v>2286</v>
      </c>
      <c r="C325" s="2112">
        <v>0.15</v>
      </c>
      <c r="D325" s="2112">
        <v>0.15</v>
      </c>
      <c r="E325" s="2112">
        <v>0.15</v>
      </c>
      <c r="F325" s="2113">
        <v>0.14699999999999999</v>
      </c>
    </row>
    <row r="326" spans="1:6" ht="14.25" thickBot="1">
      <c r="A326" s="1522" t="s">
        <v>2278</v>
      </c>
      <c r="B326" s="1516" t="s">
        <v>1306</v>
      </c>
      <c r="C326" s="2112">
        <v>0.15</v>
      </c>
      <c r="D326" s="2112">
        <v>0.15</v>
      </c>
      <c r="E326" s="2112">
        <v>0.15</v>
      </c>
      <c r="F326" s="2124"/>
    </row>
    <row r="327" spans="1:6" ht="14.25" thickBot="1">
      <c r="A327" s="1522" t="s">
        <v>2278</v>
      </c>
      <c r="B327" s="1516" t="s">
        <v>2287</v>
      </c>
      <c r="C327" s="2112">
        <v>0.15</v>
      </c>
      <c r="D327" s="2112">
        <v>0.15</v>
      </c>
      <c r="E327" s="2112">
        <v>0.15</v>
      </c>
      <c r="F327" s="2113">
        <v>0.15</v>
      </c>
    </row>
    <row r="328" spans="1:6" ht="14.25" thickBot="1">
      <c r="A328" s="1522" t="s">
        <v>2278</v>
      </c>
      <c r="B328" s="1516" t="s">
        <v>1326</v>
      </c>
      <c r="C328" s="2112">
        <v>0.15</v>
      </c>
      <c r="D328" s="2112">
        <v>0.15</v>
      </c>
      <c r="E328" s="2112">
        <v>0.15</v>
      </c>
      <c r="F328" s="2113">
        <v>0.14099999999999999</v>
      </c>
    </row>
    <row r="329" spans="1:6" ht="14.25" thickBot="1">
      <c r="A329" s="1522" t="s">
        <v>2278</v>
      </c>
      <c r="B329" s="1516" t="s">
        <v>1336</v>
      </c>
      <c r="C329" s="2112">
        <v>0.15</v>
      </c>
      <c r="D329" s="2112">
        <v>0.15</v>
      </c>
      <c r="E329" s="2112">
        <v>0.15</v>
      </c>
      <c r="F329" s="2113">
        <v>0.15</v>
      </c>
    </row>
    <row r="330" spans="1:6" ht="14.25" thickBot="1">
      <c r="A330" s="1522" t="s">
        <v>2278</v>
      </c>
      <c r="B330" s="1516" t="s">
        <v>1347</v>
      </c>
      <c r="C330" s="2112">
        <v>0.15</v>
      </c>
      <c r="D330" s="2112">
        <v>0.15</v>
      </c>
      <c r="E330" s="2112">
        <v>0.15</v>
      </c>
      <c r="F330" s="2124"/>
    </row>
    <row r="331" spans="1:6" ht="14.25" thickBot="1">
      <c r="A331" s="1522" t="s">
        <v>2278</v>
      </c>
      <c r="B331" s="1516" t="s">
        <v>2288</v>
      </c>
      <c r="C331" s="2112">
        <v>0.15</v>
      </c>
      <c r="D331" s="2112">
        <v>0.15</v>
      </c>
      <c r="E331" s="2112">
        <v>0.15</v>
      </c>
      <c r="F331" s="2113">
        <v>0.15</v>
      </c>
    </row>
    <row r="332" spans="1:6" ht="14.25" thickBot="1">
      <c r="A332" s="1522" t="s">
        <v>2278</v>
      </c>
      <c r="B332" s="1516" t="s">
        <v>1368</v>
      </c>
      <c r="C332" s="2112">
        <v>0.15</v>
      </c>
      <c r="D332" s="2112">
        <v>0.15</v>
      </c>
      <c r="E332" s="2112">
        <v>0.15</v>
      </c>
      <c r="F332" s="2113">
        <v>0.15</v>
      </c>
    </row>
    <row r="333" spans="1:6" ht="14.25" thickBot="1">
      <c r="A333" s="1522" t="s">
        <v>2278</v>
      </c>
      <c r="B333" s="1516" t="s">
        <v>2289</v>
      </c>
      <c r="C333" s="2112">
        <v>0.15</v>
      </c>
      <c r="D333" s="2112">
        <v>0.15</v>
      </c>
      <c r="E333" s="2112">
        <v>0.15</v>
      </c>
      <c r="F333" s="2113">
        <v>0.14099999999999999</v>
      </c>
    </row>
    <row r="334" spans="1:6" ht="14.25" thickBot="1">
      <c r="A334" s="1522" t="s">
        <v>2278</v>
      </c>
      <c r="B334" s="1516" t="s">
        <v>1388</v>
      </c>
      <c r="C334" s="2112">
        <v>0.15</v>
      </c>
      <c r="D334" s="2112">
        <v>0.15</v>
      </c>
      <c r="E334" s="2112">
        <v>0.15</v>
      </c>
      <c r="F334" s="2113">
        <v>0.15</v>
      </c>
    </row>
    <row r="335" spans="1:6" ht="14.25" thickBot="1">
      <c r="A335" s="1522" t="s">
        <v>2278</v>
      </c>
      <c r="B335" s="1516" t="s">
        <v>1398</v>
      </c>
      <c r="C335" s="2112">
        <v>0.15</v>
      </c>
      <c r="D335" s="2112">
        <v>0.15</v>
      </c>
      <c r="E335" s="2112">
        <v>0.15</v>
      </c>
      <c r="F335" s="2124"/>
    </row>
    <row r="336" spans="1:6" ht="14.25" thickBot="1">
      <c r="A336" s="1522" t="s">
        <v>2278</v>
      </c>
      <c r="B336" s="1516" t="s">
        <v>2290</v>
      </c>
      <c r="C336" s="2112">
        <v>0.15</v>
      </c>
      <c r="D336" s="2112">
        <v>0.15</v>
      </c>
      <c r="E336" s="2112">
        <v>0.15</v>
      </c>
      <c r="F336" s="2113">
        <v>0.11799999999999999</v>
      </c>
    </row>
    <row r="337" spans="1:6" ht="14.25" thickBot="1">
      <c r="A337" s="1532" t="s">
        <v>2278</v>
      </c>
      <c r="B337" s="1528" t="s">
        <v>1416</v>
      </c>
      <c r="C337" s="2122"/>
      <c r="D337" s="2122"/>
      <c r="E337" s="2122"/>
      <c r="F337" s="2115">
        <v>0.14299999999999999</v>
      </c>
    </row>
    <row r="338" spans="1:6" ht="14.25" thickBot="1">
      <c r="A338" s="1522" t="s">
        <v>2291</v>
      </c>
      <c r="B338" s="1523" t="s">
        <v>2292</v>
      </c>
      <c r="C338" s="2110">
        <v>0.15</v>
      </c>
      <c r="D338" s="2110">
        <v>0.15</v>
      </c>
      <c r="E338" s="2110">
        <v>0.15</v>
      </c>
      <c r="F338" s="2127"/>
    </row>
    <row r="339" spans="1:6" ht="14.25" thickBot="1">
      <c r="A339" s="1522" t="s">
        <v>2291</v>
      </c>
      <c r="B339" s="1516" t="s">
        <v>2293</v>
      </c>
      <c r="C339" s="2112">
        <v>0.15</v>
      </c>
      <c r="D339" s="2112">
        <v>0.15</v>
      </c>
      <c r="E339" s="2112">
        <v>0.15</v>
      </c>
      <c r="F339" s="2124"/>
    </row>
    <row r="340" spans="1:6" ht="14.25" thickBot="1">
      <c r="A340" s="1522" t="s">
        <v>2291</v>
      </c>
      <c r="B340" s="1516" t="s">
        <v>2294</v>
      </c>
      <c r="C340" s="2112">
        <v>0.15</v>
      </c>
      <c r="D340" s="2112">
        <v>0.15</v>
      </c>
      <c r="E340" s="2112">
        <v>0.15</v>
      </c>
      <c r="F340" s="2124"/>
    </row>
    <row r="341" spans="1:6" ht="14.25" thickBot="1">
      <c r="A341" s="1522" t="s">
        <v>2291</v>
      </c>
      <c r="B341" s="1516" t="s">
        <v>2295</v>
      </c>
      <c r="C341" s="2112">
        <v>0.15</v>
      </c>
      <c r="D341" s="2112">
        <v>0.15</v>
      </c>
      <c r="E341" s="2112">
        <v>0.15</v>
      </c>
      <c r="F341" s="2113">
        <v>0.15</v>
      </c>
    </row>
    <row r="342" spans="1:6" ht="14.25" thickBot="1">
      <c r="A342" s="1522" t="s">
        <v>2291</v>
      </c>
      <c r="B342" s="1516" t="s">
        <v>2296</v>
      </c>
      <c r="C342" s="2112">
        <v>0.15</v>
      </c>
      <c r="D342" s="2112">
        <v>0.15</v>
      </c>
      <c r="E342" s="2112">
        <v>0.15</v>
      </c>
      <c r="F342" s="2113">
        <v>0.15</v>
      </c>
    </row>
    <row r="343" spans="1:6" ht="14.25" thickBot="1">
      <c r="A343" s="1522" t="s">
        <v>2291</v>
      </c>
      <c r="B343" s="1516" t="s">
        <v>2297</v>
      </c>
      <c r="C343" s="2112">
        <v>0.15</v>
      </c>
      <c r="D343" s="2112">
        <v>0.15</v>
      </c>
      <c r="E343" s="2112">
        <v>0.15</v>
      </c>
      <c r="F343" s="2113">
        <v>0.15</v>
      </c>
    </row>
    <row r="344" spans="1:6" ht="14.25" thickBot="1">
      <c r="A344" s="1532" t="s">
        <v>2291</v>
      </c>
      <c r="B344" s="1528" t="s">
        <v>2298</v>
      </c>
      <c r="C344" s="2114">
        <v>0.15</v>
      </c>
      <c r="D344" s="2114">
        <v>0.15</v>
      </c>
      <c r="E344" s="2114">
        <v>0.15</v>
      </c>
      <c r="F344" s="2115">
        <v>0.15</v>
      </c>
    </row>
  </sheetData>
  <sheetProtection password="C66D" sheet="1" objects="1" scenarios="1"/>
  <mergeCells count="1">
    <mergeCell ref="A1:B1"/>
  </mergeCells>
  <phoneticPr fontId="1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2914</v>
      </c>
      <c r="C1" s="3194">
        <f>项目基本情况!D3</f>
        <v>42941</v>
      </c>
      <c r="D1" s="3200" t="s">
        <v>2915</v>
      </c>
      <c r="E1" s="3195">
        <f>'数据-取费表'!B22</f>
        <v>1.5</v>
      </c>
      <c r="F1" s="3200" t="s">
        <v>2916</v>
      </c>
      <c r="G1" s="3196">
        <f ca="1">INDIRECT("d"&amp;$K$1)/100</f>
        <v>4.7500000000000001E-2</v>
      </c>
      <c r="H1" s="3200" t="s">
        <v>2946</v>
      </c>
      <c r="I1" s="3196">
        <f ca="1">F4/100</f>
        <v>1.4999999999999999E-2</v>
      </c>
      <c r="J1" s="3201">
        <f>IF(C1&gt;C13,0,MATCH(C1,C$13:C$100,-1))+IF(SUMIF(C13:C100,C1,D13:D100)=0,13,12)</f>
        <v>13</v>
      </c>
      <c r="K1" s="3201">
        <f>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2917</v>
      </c>
      <c r="E2" s="3136"/>
      <c r="F2" s="3136" t="s">
        <v>2918</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2919</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2920</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2921</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2922</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2923</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2924</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2925</v>
      </c>
      <c r="C10" s="3164"/>
      <c r="D10" s="3164"/>
      <c r="E10" s="3164"/>
      <c r="F10" s="3164"/>
      <c r="G10" s="3164"/>
      <c r="H10" s="3164"/>
      <c r="I10" s="3138"/>
      <c r="J10" s="3138"/>
      <c r="K10" s="3164"/>
      <c r="L10" s="3165" t="s">
        <v>2926</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2927</v>
      </c>
      <c r="C11" s="3169" t="s">
        <v>2928</v>
      </c>
      <c r="D11" s="3170" t="s">
        <v>2929</v>
      </c>
      <c r="E11" s="3171"/>
      <c r="F11" s="3170" t="s">
        <v>2930</v>
      </c>
      <c r="G11" s="3172"/>
      <c r="H11" s="3171"/>
      <c r="I11" s="3170" t="s">
        <v>2931</v>
      </c>
      <c r="J11" s="3171"/>
      <c r="K11" s="3167"/>
      <c r="L11" s="3168" t="s">
        <v>2927</v>
      </c>
      <c r="M11" s="3169" t="s">
        <v>2928</v>
      </c>
      <c r="N11" s="3168" t="s">
        <v>2932</v>
      </c>
      <c r="O11" s="3170" t="s">
        <v>2933</v>
      </c>
      <c r="P11" s="3172"/>
      <c r="Q11" s="3172"/>
      <c r="R11" s="3172"/>
      <c r="S11" s="3172"/>
      <c r="T11" s="3171"/>
      <c r="U11" s="3170" t="s">
        <v>2934</v>
      </c>
      <c r="V11" s="3172"/>
      <c r="W11" s="3171"/>
      <c r="X11" s="3168" t="s">
        <v>2935</v>
      </c>
      <c r="Y11" s="3168" t="s">
        <v>2936</v>
      </c>
      <c r="Z11" s="3168" t="s">
        <v>2937</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2938</v>
      </c>
      <c r="E12" s="3177" t="s">
        <v>2939</v>
      </c>
      <c r="F12" s="3177" t="s">
        <v>2940</v>
      </c>
      <c r="G12" s="3177" t="s">
        <v>2941</v>
      </c>
      <c r="H12" s="3177" t="s">
        <v>2923</v>
      </c>
      <c r="I12" s="3178" t="s">
        <v>2942</v>
      </c>
      <c r="J12" s="3178" t="s">
        <v>2942</v>
      </c>
      <c r="K12" s="3174"/>
      <c r="L12" s="3175"/>
      <c r="M12" s="3176"/>
      <c r="N12" s="3175"/>
      <c r="O12" s="3178" t="s">
        <v>2943</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2944</v>
      </c>
      <c r="C13" s="3182">
        <v>42301</v>
      </c>
      <c r="D13" s="3183">
        <v>4.3499999999999996</v>
      </c>
      <c r="E13" s="3183">
        <v>4.3499999999999996</v>
      </c>
      <c r="F13" s="3183">
        <v>4.75</v>
      </c>
      <c r="G13" s="3183">
        <v>4.75</v>
      </c>
      <c r="H13" s="3183">
        <v>4.9000000000000004</v>
      </c>
      <c r="I13" s="3183">
        <v>2.75</v>
      </c>
      <c r="J13" s="3183">
        <v>3.25</v>
      </c>
      <c r="K13" s="3180"/>
      <c r="L13" s="3181" t="s">
        <v>2944</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2945</v>
      </c>
      <c r="Y42" s="3187" t="s">
        <v>2945</v>
      </c>
      <c r="Z42" s="3187" t="s">
        <v>2945</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2945</v>
      </c>
      <c r="Y43" s="3187" t="s">
        <v>2945</v>
      </c>
      <c r="Z43" s="3187" t="s">
        <v>2945</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2945</v>
      </c>
      <c r="Y44" s="3187" t="s">
        <v>2945</v>
      </c>
      <c r="Z44" s="3187" t="s">
        <v>2945</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2945</v>
      </c>
      <c r="Y45" s="3187" t="s">
        <v>2945</v>
      </c>
      <c r="Z45" s="3187" t="s">
        <v>2945</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2945</v>
      </c>
      <c r="Y46" s="3187" t="s">
        <v>2945</v>
      </c>
      <c r="Z46" s="3187" t="s">
        <v>2945</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2945</v>
      </c>
      <c r="Y47" s="3187" t="s">
        <v>2945</v>
      </c>
      <c r="Z47" s="3187" t="s">
        <v>2945</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2945</v>
      </c>
      <c r="Y48" s="3187" t="s">
        <v>2945</v>
      </c>
      <c r="Z48" s="3187" t="s">
        <v>2945</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2945</v>
      </c>
      <c r="Y49" s="3187" t="s">
        <v>2945</v>
      </c>
      <c r="Z49" s="3187" t="s">
        <v>2945</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2945</v>
      </c>
      <c r="Y50" s="3187" t="s">
        <v>2945</v>
      </c>
      <c r="Z50" s="3187" t="s">
        <v>2945</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2945</v>
      </c>
      <c r="V51" s="3187" t="s">
        <v>2945</v>
      </c>
      <c r="W51" s="3187" t="s">
        <v>2945</v>
      </c>
      <c r="X51" s="3187" t="s">
        <v>2945</v>
      </c>
      <c r="Y51" s="3187" t="s">
        <v>2945</v>
      </c>
      <c r="Z51" s="3187" t="s">
        <v>2945</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2945</v>
      </c>
      <c r="J55" s="3187" t="s">
        <v>2945</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N31"/>
  <sheetViews>
    <sheetView workbookViewId="0">
      <selection activeCell="A11" sqref="A11"/>
    </sheetView>
  </sheetViews>
  <sheetFormatPr defaultRowHeight="13.5"/>
  <cols>
    <col min="1" max="1" width="32.75" style="3135" customWidth="1"/>
    <col min="2" max="2" width="6.25" style="3135" customWidth="1"/>
    <col min="3" max="3" width="11.75" style="3135" customWidth="1"/>
    <col min="4" max="4" width="7.875" style="3135" customWidth="1"/>
    <col min="5" max="6" width="13.875" style="3135" customWidth="1"/>
    <col min="7" max="7" width="24" style="3135" customWidth="1"/>
    <col min="8" max="8" width="9" style="3135" customWidth="1"/>
    <col min="9" max="9" width="36" style="3135" customWidth="1"/>
    <col min="10" max="10" width="10.625" style="3135" customWidth="1"/>
    <col min="11" max="11" width="16" style="3135" customWidth="1"/>
    <col min="12" max="12" width="14.375" style="3135" customWidth="1"/>
    <col min="13" max="13" width="6.25" style="3135" customWidth="1"/>
    <col min="14" max="14" width="7.875" style="3135" customWidth="1"/>
    <col min="15" max="256" width="9" style="3135"/>
    <col min="257" max="257" width="32.75" style="3135" customWidth="1"/>
    <col min="258" max="258" width="6.25" style="3135" customWidth="1"/>
    <col min="259" max="259" width="11.75" style="3135" customWidth="1"/>
    <col min="260" max="260" width="7.875" style="3135" customWidth="1"/>
    <col min="261" max="262" width="13.875" style="3135" customWidth="1"/>
    <col min="263" max="263" width="24" style="3135" customWidth="1"/>
    <col min="264" max="264" width="9" style="3135" customWidth="1"/>
    <col min="265" max="265" width="36" style="3135" customWidth="1"/>
    <col min="266" max="266" width="10.625" style="3135" customWidth="1"/>
    <col min="267" max="267" width="16" style="3135" customWidth="1"/>
    <col min="268" max="268" width="14.375" style="3135" customWidth="1"/>
    <col min="269" max="269" width="6.25" style="3135" customWidth="1"/>
    <col min="270" max="270" width="7.875" style="3135" customWidth="1"/>
    <col min="271" max="512" width="9" style="3135"/>
    <col min="513" max="513" width="32.75" style="3135" customWidth="1"/>
    <col min="514" max="514" width="6.25" style="3135" customWidth="1"/>
    <col min="515" max="515" width="11.75" style="3135" customWidth="1"/>
    <col min="516" max="516" width="7.875" style="3135" customWidth="1"/>
    <col min="517" max="518" width="13.875" style="3135" customWidth="1"/>
    <col min="519" max="519" width="24" style="3135" customWidth="1"/>
    <col min="520" max="520" width="9" style="3135" customWidth="1"/>
    <col min="521" max="521" width="36" style="3135" customWidth="1"/>
    <col min="522" max="522" width="10.625" style="3135" customWidth="1"/>
    <col min="523" max="523" width="16" style="3135" customWidth="1"/>
    <col min="524" max="524" width="14.375" style="3135" customWidth="1"/>
    <col min="525" max="525" width="6.25" style="3135" customWidth="1"/>
    <col min="526" max="526" width="7.875" style="3135" customWidth="1"/>
    <col min="527" max="768" width="9" style="3135"/>
    <col min="769" max="769" width="32.75" style="3135" customWidth="1"/>
    <col min="770" max="770" width="6.25" style="3135" customWidth="1"/>
    <col min="771" max="771" width="11.75" style="3135" customWidth="1"/>
    <col min="772" max="772" width="7.875" style="3135" customWidth="1"/>
    <col min="773" max="774" width="13.875" style="3135" customWidth="1"/>
    <col min="775" max="775" width="24" style="3135" customWidth="1"/>
    <col min="776" max="776" width="9" style="3135" customWidth="1"/>
    <col min="777" max="777" width="36" style="3135" customWidth="1"/>
    <col min="778" max="778" width="10.625" style="3135" customWidth="1"/>
    <col min="779" max="779" width="16" style="3135" customWidth="1"/>
    <col min="780" max="780" width="14.375" style="3135" customWidth="1"/>
    <col min="781" max="781" width="6.25" style="3135" customWidth="1"/>
    <col min="782" max="782" width="7.875" style="3135" customWidth="1"/>
    <col min="783" max="1024" width="9" style="3135"/>
    <col min="1025" max="1025" width="32.75" style="3135" customWidth="1"/>
    <col min="1026" max="1026" width="6.25" style="3135" customWidth="1"/>
    <col min="1027" max="1027" width="11.75" style="3135" customWidth="1"/>
    <col min="1028" max="1028" width="7.875" style="3135" customWidth="1"/>
    <col min="1029" max="1030" width="13.875" style="3135" customWidth="1"/>
    <col min="1031" max="1031" width="24" style="3135" customWidth="1"/>
    <col min="1032" max="1032" width="9" style="3135" customWidth="1"/>
    <col min="1033" max="1033" width="36" style="3135" customWidth="1"/>
    <col min="1034" max="1034" width="10.625" style="3135" customWidth="1"/>
    <col min="1035" max="1035" width="16" style="3135" customWidth="1"/>
    <col min="1036" max="1036" width="14.375" style="3135" customWidth="1"/>
    <col min="1037" max="1037" width="6.25" style="3135" customWidth="1"/>
    <col min="1038" max="1038" width="7.875" style="3135" customWidth="1"/>
    <col min="1039" max="1280" width="9" style="3135"/>
    <col min="1281" max="1281" width="32.75" style="3135" customWidth="1"/>
    <col min="1282" max="1282" width="6.25" style="3135" customWidth="1"/>
    <col min="1283" max="1283" width="11.75" style="3135" customWidth="1"/>
    <col min="1284" max="1284" width="7.875" style="3135" customWidth="1"/>
    <col min="1285" max="1286" width="13.875" style="3135" customWidth="1"/>
    <col min="1287" max="1287" width="24" style="3135" customWidth="1"/>
    <col min="1288" max="1288" width="9" style="3135" customWidth="1"/>
    <col min="1289" max="1289" width="36" style="3135" customWidth="1"/>
    <col min="1290" max="1290" width="10.625" style="3135" customWidth="1"/>
    <col min="1291" max="1291" width="16" style="3135" customWidth="1"/>
    <col min="1292" max="1292" width="14.375" style="3135" customWidth="1"/>
    <col min="1293" max="1293" width="6.25" style="3135" customWidth="1"/>
    <col min="1294" max="1294" width="7.875" style="3135" customWidth="1"/>
    <col min="1295" max="1536" width="9" style="3135"/>
    <col min="1537" max="1537" width="32.75" style="3135" customWidth="1"/>
    <col min="1538" max="1538" width="6.25" style="3135" customWidth="1"/>
    <col min="1539" max="1539" width="11.75" style="3135" customWidth="1"/>
    <col min="1540" max="1540" width="7.875" style="3135" customWidth="1"/>
    <col min="1541" max="1542" width="13.875" style="3135" customWidth="1"/>
    <col min="1543" max="1543" width="24" style="3135" customWidth="1"/>
    <col min="1544" max="1544" width="9" style="3135" customWidth="1"/>
    <col min="1545" max="1545" width="36" style="3135" customWidth="1"/>
    <col min="1546" max="1546" width="10.625" style="3135" customWidth="1"/>
    <col min="1547" max="1547" width="16" style="3135" customWidth="1"/>
    <col min="1548" max="1548" width="14.375" style="3135" customWidth="1"/>
    <col min="1549" max="1549" width="6.25" style="3135" customWidth="1"/>
    <col min="1550" max="1550" width="7.875" style="3135" customWidth="1"/>
    <col min="1551" max="1792" width="9" style="3135"/>
    <col min="1793" max="1793" width="32.75" style="3135" customWidth="1"/>
    <col min="1794" max="1794" width="6.25" style="3135" customWidth="1"/>
    <col min="1795" max="1795" width="11.75" style="3135" customWidth="1"/>
    <col min="1796" max="1796" width="7.875" style="3135" customWidth="1"/>
    <col min="1797" max="1798" width="13.875" style="3135" customWidth="1"/>
    <col min="1799" max="1799" width="24" style="3135" customWidth="1"/>
    <col min="1800" max="1800" width="9" style="3135" customWidth="1"/>
    <col min="1801" max="1801" width="36" style="3135" customWidth="1"/>
    <col min="1802" max="1802" width="10.625" style="3135" customWidth="1"/>
    <col min="1803" max="1803" width="16" style="3135" customWidth="1"/>
    <col min="1804" max="1804" width="14.375" style="3135" customWidth="1"/>
    <col min="1805" max="1805" width="6.25" style="3135" customWidth="1"/>
    <col min="1806" max="1806" width="7.875" style="3135" customWidth="1"/>
    <col min="1807" max="2048" width="9" style="3135"/>
    <col min="2049" max="2049" width="32.75" style="3135" customWidth="1"/>
    <col min="2050" max="2050" width="6.25" style="3135" customWidth="1"/>
    <col min="2051" max="2051" width="11.75" style="3135" customWidth="1"/>
    <col min="2052" max="2052" width="7.875" style="3135" customWidth="1"/>
    <col min="2053" max="2054" width="13.875" style="3135" customWidth="1"/>
    <col min="2055" max="2055" width="24" style="3135" customWidth="1"/>
    <col min="2056" max="2056" width="9" style="3135" customWidth="1"/>
    <col min="2057" max="2057" width="36" style="3135" customWidth="1"/>
    <col min="2058" max="2058" width="10.625" style="3135" customWidth="1"/>
    <col min="2059" max="2059" width="16" style="3135" customWidth="1"/>
    <col min="2060" max="2060" width="14.375" style="3135" customWidth="1"/>
    <col min="2061" max="2061" width="6.25" style="3135" customWidth="1"/>
    <col min="2062" max="2062" width="7.875" style="3135" customWidth="1"/>
    <col min="2063" max="2304" width="9" style="3135"/>
    <col min="2305" max="2305" width="32.75" style="3135" customWidth="1"/>
    <col min="2306" max="2306" width="6.25" style="3135" customWidth="1"/>
    <col min="2307" max="2307" width="11.75" style="3135" customWidth="1"/>
    <col min="2308" max="2308" width="7.875" style="3135" customWidth="1"/>
    <col min="2309" max="2310" width="13.875" style="3135" customWidth="1"/>
    <col min="2311" max="2311" width="24" style="3135" customWidth="1"/>
    <col min="2312" max="2312" width="9" style="3135" customWidth="1"/>
    <col min="2313" max="2313" width="36" style="3135" customWidth="1"/>
    <col min="2314" max="2314" width="10.625" style="3135" customWidth="1"/>
    <col min="2315" max="2315" width="16" style="3135" customWidth="1"/>
    <col min="2316" max="2316" width="14.375" style="3135" customWidth="1"/>
    <col min="2317" max="2317" width="6.25" style="3135" customWidth="1"/>
    <col min="2318" max="2318" width="7.875" style="3135" customWidth="1"/>
    <col min="2319" max="2560" width="9" style="3135"/>
    <col min="2561" max="2561" width="32.75" style="3135" customWidth="1"/>
    <col min="2562" max="2562" width="6.25" style="3135" customWidth="1"/>
    <col min="2563" max="2563" width="11.75" style="3135" customWidth="1"/>
    <col min="2564" max="2564" width="7.875" style="3135" customWidth="1"/>
    <col min="2565" max="2566" width="13.875" style="3135" customWidth="1"/>
    <col min="2567" max="2567" width="24" style="3135" customWidth="1"/>
    <col min="2568" max="2568" width="9" style="3135" customWidth="1"/>
    <col min="2569" max="2569" width="36" style="3135" customWidth="1"/>
    <col min="2570" max="2570" width="10.625" style="3135" customWidth="1"/>
    <col min="2571" max="2571" width="16" style="3135" customWidth="1"/>
    <col min="2572" max="2572" width="14.375" style="3135" customWidth="1"/>
    <col min="2573" max="2573" width="6.25" style="3135" customWidth="1"/>
    <col min="2574" max="2574" width="7.875" style="3135" customWidth="1"/>
    <col min="2575" max="2816" width="9" style="3135"/>
    <col min="2817" max="2817" width="32.75" style="3135" customWidth="1"/>
    <col min="2818" max="2818" width="6.25" style="3135" customWidth="1"/>
    <col min="2819" max="2819" width="11.75" style="3135" customWidth="1"/>
    <col min="2820" max="2820" width="7.875" style="3135" customWidth="1"/>
    <col min="2821" max="2822" width="13.875" style="3135" customWidth="1"/>
    <col min="2823" max="2823" width="24" style="3135" customWidth="1"/>
    <col min="2824" max="2824" width="9" style="3135" customWidth="1"/>
    <col min="2825" max="2825" width="36" style="3135" customWidth="1"/>
    <col min="2826" max="2826" width="10.625" style="3135" customWidth="1"/>
    <col min="2827" max="2827" width="16" style="3135" customWidth="1"/>
    <col min="2828" max="2828" width="14.375" style="3135" customWidth="1"/>
    <col min="2829" max="2829" width="6.25" style="3135" customWidth="1"/>
    <col min="2830" max="2830" width="7.875" style="3135" customWidth="1"/>
    <col min="2831" max="3072" width="9" style="3135"/>
    <col min="3073" max="3073" width="32.75" style="3135" customWidth="1"/>
    <col min="3074" max="3074" width="6.25" style="3135" customWidth="1"/>
    <col min="3075" max="3075" width="11.75" style="3135" customWidth="1"/>
    <col min="3076" max="3076" width="7.875" style="3135" customWidth="1"/>
    <col min="3077" max="3078" width="13.875" style="3135" customWidth="1"/>
    <col min="3079" max="3079" width="24" style="3135" customWidth="1"/>
    <col min="3080" max="3080" width="9" style="3135" customWidth="1"/>
    <col min="3081" max="3081" width="36" style="3135" customWidth="1"/>
    <col min="3082" max="3082" width="10.625" style="3135" customWidth="1"/>
    <col min="3083" max="3083" width="16" style="3135" customWidth="1"/>
    <col min="3084" max="3084" width="14.375" style="3135" customWidth="1"/>
    <col min="3085" max="3085" width="6.25" style="3135" customWidth="1"/>
    <col min="3086" max="3086" width="7.875" style="3135" customWidth="1"/>
    <col min="3087" max="3328" width="9" style="3135"/>
    <col min="3329" max="3329" width="32.75" style="3135" customWidth="1"/>
    <col min="3330" max="3330" width="6.25" style="3135" customWidth="1"/>
    <col min="3331" max="3331" width="11.75" style="3135" customWidth="1"/>
    <col min="3332" max="3332" width="7.875" style="3135" customWidth="1"/>
    <col min="3333" max="3334" width="13.875" style="3135" customWidth="1"/>
    <col min="3335" max="3335" width="24" style="3135" customWidth="1"/>
    <col min="3336" max="3336" width="9" style="3135" customWidth="1"/>
    <col min="3337" max="3337" width="36" style="3135" customWidth="1"/>
    <col min="3338" max="3338" width="10.625" style="3135" customWidth="1"/>
    <col min="3339" max="3339" width="16" style="3135" customWidth="1"/>
    <col min="3340" max="3340" width="14.375" style="3135" customWidth="1"/>
    <col min="3341" max="3341" width="6.25" style="3135" customWidth="1"/>
    <col min="3342" max="3342" width="7.875" style="3135" customWidth="1"/>
    <col min="3343" max="3584" width="9" style="3135"/>
    <col min="3585" max="3585" width="32.75" style="3135" customWidth="1"/>
    <col min="3586" max="3586" width="6.25" style="3135" customWidth="1"/>
    <col min="3587" max="3587" width="11.75" style="3135" customWidth="1"/>
    <col min="3588" max="3588" width="7.875" style="3135" customWidth="1"/>
    <col min="3589" max="3590" width="13.875" style="3135" customWidth="1"/>
    <col min="3591" max="3591" width="24" style="3135" customWidth="1"/>
    <col min="3592" max="3592" width="9" style="3135" customWidth="1"/>
    <col min="3593" max="3593" width="36" style="3135" customWidth="1"/>
    <col min="3594" max="3594" width="10.625" style="3135" customWidth="1"/>
    <col min="3595" max="3595" width="16" style="3135" customWidth="1"/>
    <col min="3596" max="3596" width="14.375" style="3135" customWidth="1"/>
    <col min="3597" max="3597" width="6.25" style="3135" customWidth="1"/>
    <col min="3598" max="3598" width="7.875" style="3135" customWidth="1"/>
    <col min="3599" max="3840" width="9" style="3135"/>
    <col min="3841" max="3841" width="32.75" style="3135" customWidth="1"/>
    <col min="3842" max="3842" width="6.25" style="3135" customWidth="1"/>
    <col min="3843" max="3843" width="11.75" style="3135" customWidth="1"/>
    <col min="3844" max="3844" width="7.875" style="3135" customWidth="1"/>
    <col min="3845" max="3846" width="13.875" style="3135" customWidth="1"/>
    <col min="3847" max="3847" width="24" style="3135" customWidth="1"/>
    <col min="3848" max="3848" width="9" style="3135" customWidth="1"/>
    <col min="3849" max="3849" width="36" style="3135" customWidth="1"/>
    <col min="3850" max="3850" width="10.625" style="3135" customWidth="1"/>
    <col min="3851" max="3851" width="16" style="3135" customWidth="1"/>
    <col min="3852" max="3852" width="14.375" style="3135" customWidth="1"/>
    <col min="3853" max="3853" width="6.25" style="3135" customWidth="1"/>
    <col min="3854" max="3854" width="7.875" style="3135" customWidth="1"/>
    <col min="3855" max="4096" width="9" style="3135"/>
    <col min="4097" max="4097" width="32.75" style="3135" customWidth="1"/>
    <col min="4098" max="4098" width="6.25" style="3135" customWidth="1"/>
    <col min="4099" max="4099" width="11.75" style="3135" customWidth="1"/>
    <col min="4100" max="4100" width="7.875" style="3135" customWidth="1"/>
    <col min="4101" max="4102" width="13.875" style="3135" customWidth="1"/>
    <col min="4103" max="4103" width="24" style="3135" customWidth="1"/>
    <col min="4104" max="4104" width="9" style="3135" customWidth="1"/>
    <col min="4105" max="4105" width="36" style="3135" customWidth="1"/>
    <col min="4106" max="4106" width="10.625" style="3135" customWidth="1"/>
    <col min="4107" max="4107" width="16" style="3135" customWidth="1"/>
    <col min="4108" max="4108" width="14.375" style="3135" customWidth="1"/>
    <col min="4109" max="4109" width="6.25" style="3135" customWidth="1"/>
    <col min="4110" max="4110" width="7.875" style="3135" customWidth="1"/>
    <col min="4111" max="4352" width="9" style="3135"/>
    <col min="4353" max="4353" width="32.75" style="3135" customWidth="1"/>
    <col min="4354" max="4354" width="6.25" style="3135" customWidth="1"/>
    <col min="4355" max="4355" width="11.75" style="3135" customWidth="1"/>
    <col min="4356" max="4356" width="7.875" style="3135" customWidth="1"/>
    <col min="4357" max="4358" width="13.875" style="3135" customWidth="1"/>
    <col min="4359" max="4359" width="24" style="3135" customWidth="1"/>
    <col min="4360" max="4360" width="9" style="3135" customWidth="1"/>
    <col min="4361" max="4361" width="36" style="3135" customWidth="1"/>
    <col min="4362" max="4362" width="10.625" style="3135" customWidth="1"/>
    <col min="4363" max="4363" width="16" style="3135" customWidth="1"/>
    <col min="4364" max="4364" width="14.375" style="3135" customWidth="1"/>
    <col min="4365" max="4365" width="6.25" style="3135" customWidth="1"/>
    <col min="4366" max="4366" width="7.875" style="3135" customWidth="1"/>
    <col min="4367" max="4608" width="9" style="3135"/>
    <col min="4609" max="4609" width="32.75" style="3135" customWidth="1"/>
    <col min="4610" max="4610" width="6.25" style="3135" customWidth="1"/>
    <col min="4611" max="4611" width="11.75" style="3135" customWidth="1"/>
    <col min="4612" max="4612" width="7.875" style="3135" customWidth="1"/>
    <col min="4613" max="4614" width="13.875" style="3135" customWidth="1"/>
    <col min="4615" max="4615" width="24" style="3135" customWidth="1"/>
    <col min="4616" max="4616" width="9" style="3135" customWidth="1"/>
    <col min="4617" max="4617" width="36" style="3135" customWidth="1"/>
    <col min="4618" max="4618" width="10.625" style="3135" customWidth="1"/>
    <col min="4619" max="4619" width="16" style="3135" customWidth="1"/>
    <col min="4620" max="4620" width="14.375" style="3135" customWidth="1"/>
    <col min="4621" max="4621" width="6.25" style="3135" customWidth="1"/>
    <col min="4622" max="4622" width="7.875" style="3135" customWidth="1"/>
    <col min="4623" max="4864" width="9" style="3135"/>
    <col min="4865" max="4865" width="32.75" style="3135" customWidth="1"/>
    <col min="4866" max="4866" width="6.25" style="3135" customWidth="1"/>
    <col min="4867" max="4867" width="11.75" style="3135" customWidth="1"/>
    <col min="4868" max="4868" width="7.875" style="3135" customWidth="1"/>
    <col min="4869" max="4870" width="13.875" style="3135" customWidth="1"/>
    <col min="4871" max="4871" width="24" style="3135" customWidth="1"/>
    <col min="4872" max="4872" width="9" style="3135" customWidth="1"/>
    <col min="4873" max="4873" width="36" style="3135" customWidth="1"/>
    <col min="4874" max="4874" width="10.625" style="3135" customWidth="1"/>
    <col min="4875" max="4875" width="16" style="3135" customWidth="1"/>
    <col min="4876" max="4876" width="14.375" style="3135" customWidth="1"/>
    <col min="4877" max="4877" width="6.25" style="3135" customWidth="1"/>
    <col min="4878" max="4878" width="7.875" style="3135" customWidth="1"/>
    <col min="4879" max="5120" width="9" style="3135"/>
    <col min="5121" max="5121" width="32.75" style="3135" customWidth="1"/>
    <col min="5122" max="5122" width="6.25" style="3135" customWidth="1"/>
    <col min="5123" max="5123" width="11.75" style="3135" customWidth="1"/>
    <col min="5124" max="5124" width="7.875" style="3135" customWidth="1"/>
    <col min="5125" max="5126" width="13.875" style="3135" customWidth="1"/>
    <col min="5127" max="5127" width="24" style="3135" customWidth="1"/>
    <col min="5128" max="5128" width="9" style="3135" customWidth="1"/>
    <col min="5129" max="5129" width="36" style="3135" customWidth="1"/>
    <col min="5130" max="5130" width="10.625" style="3135" customWidth="1"/>
    <col min="5131" max="5131" width="16" style="3135" customWidth="1"/>
    <col min="5132" max="5132" width="14.375" style="3135" customWidth="1"/>
    <col min="5133" max="5133" width="6.25" style="3135" customWidth="1"/>
    <col min="5134" max="5134" width="7.875" style="3135" customWidth="1"/>
    <col min="5135" max="5376" width="9" style="3135"/>
    <col min="5377" max="5377" width="32.75" style="3135" customWidth="1"/>
    <col min="5378" max="5378" width="6.25" style="3135" customWidth="1"/>
    <col min="5379" max="5379" width="11.75" style="3135" customWidth="1"/>
    <col min="5380" max="5380" width="7.875" style="3135" customWidth="1"/>
    <col min="5381" max="5382" width="13.875" style="3135" customWidth="1"/>
    <col min="5383" max="5383" width="24" style="3135" customWidth="1"/>
    <col min="5384" max="5384" width="9" style="3135" customWidth="1"/>
    <col min="5385" max="5385" width="36" style="3135" customWidth="1"/>
    <col min="5386" max="5386" width="10.625" style="3135" customWidth="1"/>
    <col min="5387" max="5387" width="16" style="3135" customWidth="1"/>
    <col min="5388" max="5388" width="14.375" style="3135" customWidth="1"/>
    <col min="5389" max="5389" width="6.25" style="3135" customWidth="1"/>
    <col min="5390" max="5390" width="7.875" style="3135" customWidth="1"/>
    <col min="5391" max="5632" width="9" style="3135"/>
    <col min="5633" max="5633" width="32.75" style="3135" customWidth="1"/>
    <col min="5634" max="5634" width="6.25" style="3135" customWidth="1"/>
    <col min="5635" max="5635" width="11.75" style="3135" customWidth="1"/>
    <col min="5636" max="5636" width="7.875" style="3135" customWidth="1"/>
    <col min="5637" max="5638" width="13.875" style="3135" customWidth="1"/>
    <col min="5639" max="5639" width="24" style="3135" customWidth="1"/>
    <col min="5640" max="5640" width="9" style="3135" customWidth="1"/>
    <col min="5641" max="5641" width="36" style="3135" customWidth="1"/>
    <col min="5642" max="5642" width="10.625" style="3135" customWidth="1"/>
    <col min="5643" max="5643" width="16" style="3135" customWidth="1"/>
    <col min="5644" max="5644" width="14.375" style="3135" customWidth="1"/>
    <col min="5645" max="5645" width="6.25" style="3135" customWidth="1"/>
    <col min="5646" max="5646" width="7.875" style="3135" customWidth="1"/>
    <col min="5647" max="5888" width="9" style="3135"/>
    <col min="5889" max="5889" width="32.75" style="3135" customWidth="1"/>
    <col min="5890" max="5890" width="6.25" style="3135" customWidth="1"/>
    <col min="5891" max="5891" width="11.75" style="3135" customWidth="1"/>
    <col min="5892" max="5892" width="7.875" style="3135" customWidth="1"/>
    <col min="5893" max="5894" width="13.875" style="3135" customWidth="1"/>
    <col min="5895" max="5895" width="24" style="3135" customWidth="1"/>
    <col min="5896" max="5896" width="9" style="3135" customWidth="1"/>
    <col min="5897" max="5897" width="36" style="3135" customWidth="1"/>
    <col min="5898" max="5898" width="10.625" style="3135" customWidth="1"/>
    <col min="5899" max="5899" width="16" style="3135" customWidth="1"/>
    <col min="5900" max="5900" width="14.375" style="3135" customWidth="1"/>
    <col min="5901" max="5901" width="6.25" style="3135" customWidth="1"/>
    <col min="5902" max="5902" width="7.875" style="3135" customWidth="1"/>
    <col min="5903" max="6144" width="9" style="3135"/>
    <col min="6145" max="6145" width="32.75" style="3135" customWidth="1"/>
    <col min="6146" max="6146" width="6.25" style="3135" customWidth="1"/>
    <col min="6147" max="6147" width="11.75" style="3135" customWidth="1"/>
    <col min="6148" max="6148" width="7.875" style="3135" customWidth="1"/>
    <col min="6149" max="6150" width="13.875" style="3135" customWidth="1"/>
    <col min="6151" max="6151" width="24" style="3135" customWidth="1"/>
    <col min="6152" max="6152" width="9" style="3135" customWidth="1"/>
    <col min="6153" max="6153" width="36" style="3135" customWidth="1"/>
    <col min="6154" max="6154" width="10.625" style="3135" customWidth="1"/>
    <col min="6155" max="6155" width="16" style="3135" customWidth="1"/>
    <col min="6156" max="6156" width="14.375" style="3135" customWidth="1"/>
    <col min="6157" max="6157" width="6.25" style="3135" customWidth="1"/>
    <col min="6158" max="6158" width="7.875" style="3135" customWidth="1"/>
    <col min="6159" max="6400" width="9" style="3135"/>
    <col min="6401" max="6401" width="32.75" style="3135" customWidth="1"/>
    <col min="6402" max="6402" width="6.25" style="3135" customWidth="1"/>
    <col min="6403" max="6403" width="11.75" style="3135" customWidth="1"/>
    <col min="6404" max="6404" width="7.875" style="3135" customWidth="1"/>
    <col min="6405" max="6406" width="13.875" style="3135" customWidth="1"/>
    <col min="6407" max="6407" width="24" style="3135" customWidth="1"/>
    <col min="6408" max="6408" width="9" style="3135" customWidth="1"/>
    <col min="6409" max="6409" width="36" style="3135" customWidth="1"/>
    <col min="6410" max="6410" width="10.625" style="3135" customWidth="1"/>
    <col min="6411" max="6411" width="16" style="3135" customWidth="1"/>
    <col min="6412" max="6412" width="14.375" style="3135" customWidth="1"/>
    <col min="6413" max="6413" width="6.25" style="3135" customWidth="1"/>
    <col min="6414" max="6414" width="7.875" style="3135" customWidth="1"/>
    <col min="6415" max="6656" width="9" style="3135"/>
    <col min="6657" max="6657" width="32.75" style="3135" customWidth="1"/>
    <col min="6658" max="6658" width="6.25" style="3135" customWidth="1"/>
    <col min="6659" max="6659" width="11.75" style="3135" customWidth="1"/>
    <col min="6660" max="6660" width="7.875" style="3135" customWidth="1"/>
    <col min="6661" max="6662" width="13.875" style="3135" customWidth="1"/>
    <col min="6663" max="6663" width="24" style="3135" customWidth="1"/>
    <col min="6664" max="6664" width="9" style="3135" customWidth="1"/>
    <col min="6665" max="6665" width="36" style="3135" customWidth="1"/>
    <col min="6666" max="6666" width="10.625" style="3135" customWidth="1"/>
    <col min="6667" max="6667" width="16" style="3135" customWidth="1"/>
    <col min="6668" max="6668" width="14.375" style="3135" customWidth="1"/>
    <col min="6669" max="6669" width="6.25" style="3135" customWidth="1"/>
    <col min="6670" max="6670" width="7.875" style="3135" customWidth="1"/>
    <col min="6671" max="6912" width="9" style="3135"/>
    <col min="6913" max="6913" width="32.75" style="3135" customWidth="1"/>
    <col min="6914" max="6914" width="6.25" style="3135" customWidth="1"/>
    <col min="6915" max="6915" width="11.75" style="3135" customWidth="1"/>
    <col min="6916" max="6916" width="7.875" style="3135" customWidth="1"/>
    <col min="6917" max="6918" width="13.875" style="3135" customWidth="1"/>
    <col min="6919" max="6919" width="24" style="3135" customWidth="1"/>
    <col min="6920" max="6920" width="9" style="3135" customWidth="1"/>
    <col min="6921" max="6921" width="36" style="3135" customWidth="1"/>
    <col min="6922" max="6922" width="10.625" style="3135" customWidth="1"/>
    <col min="6923" max="6923" width="16" style="3135" customWidth="1"/>
    <col min="6924" max="6924" width="14.375" style="3135" customWidth="1"/>
    <col min="6925" max="6925" width="6.25" style="3135" customWidth="1"/>
    <col min="6926" max="6926" width="7.875" style="3135" customWidth="1"/>
    <col min="6927" max="7168" width="9" style="3135"/>
    <col min="7169" max="7169" width="32.75" style="3135" customWidth="1"/>
    <col min="7170" max="7170" width="6.25" style="3135" customWidth="1"/>
    <col min="7171" max="7171" width="11.75" style="3135" customWidth="1"/>
    <col min="7172" max="7172" width="7.875" style="3135" customWidth="1"/>
    <col min="7173" max="7174" width="13.875" style="3135" customWidth="1"/>
    <col min="7175" max="7175" width="24" style="3135" customWidth="1"/>
    <col min="7176" max="7176" width="9" style="3135" customWidth="1"/>
    <col min="7177" max="7177" width="36" style="3135" customWidth="1"/>
    <col min="7178" max="7178" width="10.625" style="3135" customWidth="1"/>
    <col min="7179" max="7179" width="16" style="3135" customWidth="1"/>
    <col min="7180" max="7180" width="14.375" style="3135" customWidth="1"/>
    <col min="7181" max="7181" width="6.25" style="3135" customWidth="1"/>
    <col min="7182" max="7182" width="7.875" style="3135" customWidth="1"/>
    <col min="7183" max="7424" width="9" style="3135"/>
    <col min="7425" max="7425" width="32.75" style="3135" customWidth="1"/>
    <col min="7426" max="7426" width="6.25" style="3135" customWidth="1"/>
    <col min="7427" max="7427" width="11.75" style="3135" customWidth="1"/>
    <col min="7428" max="7428" width="7.875" style="3135" customWidth="1"/>
    <col min="7429" max="7430" width="13.875" style="3135" customWidth="1"/>
    <col min="7431" max="7431" width="24" style="3135" customWidth="1"/>
    <col min="7432" max="7432" width="9" style="3135" customWidth="1"/>
    <col min="7433" max="7433" width="36" style="3135" customWidth="1"/>
    <col min="7434" max="7434" width="10.625" style="3135" customWidth="1"/>
    <col min="7435" max="7435" width="16" style="3135" customWidth="1"/>
    <col min="7436" max="7436" width="14.375" style="3135" customWidth="1"/>
    <col min="7437" max="7437" width="6.25" style="3135" customWidth="1"/>
    <col min="7438" max="7438" width="7.875" style="3135" customWidth="1"/>
    <col min="7439" max="7680" width="9" style="3135"/>
    <col min="7681" max="7681" width="32.75" style="3135" customWidth="1"/>
    <col min="7682" max="7682" width="6.25" style="3135" customWidth="1"/>
    <col min="7683" max="7683" width="11.75" style="3135" customWidth="1"/>
    <col min="7684" max="7684" width="7.875" style="3135" customWidth="1"/>
    <col min="7685" max="7686" width="13.875" style="3135" customWidth="1"/>
    <col min="7687" max="7687" width="24" style="3135" customWidth="1"/>
    <col min="7688" max="7688" width="9" style="3135" customWidth="1"/>
    <col min="7689" max="7689" width="36" style="3135" customWidth="1"/>
    <col min="7690" max="7690" width="10.625" style="3135" customWidth="1"/>
    <col min="7691" max="7691" width="16" style="3135" customWidth="1"/>
    <col min="7692" max="7692" width="14.375" style="3135" customWidth="1"/>
    <col min="7693" max="7693" width="6.25" style="3135" customWidth="1"/>
    <col min="7694" max="7694" width="7.875" style="3135" customWidth="1"/>
    <col min="7695" max="7936" width="9" style="3135"/>
    <col min="7937" max="7937" width="32.75" style="3135" customWidth="1"/>
    <col min="7938" max="7938" width="6.25" style="3135" customWidth="1"/>
    <col min="7939" max="7939" width="11.75" style="3135" customWidth="1"/>
    <col min="7940" max="7940" width="7.875" style="3135" customWidth="1"/>
    <col min="7941" max="7942" width="13.875" style="3135" customWidth="1"/>
    <col min="7943" max="7943" width="24" style="3135" customWidth="1"/>
    <col min="7944" max="7944" width="9" style="3135" customWidth="1"/>
    <col min="7945" max="7945" width="36" style="3135" customWidth="1"/>
    <col min="7946" max="7946" width="10.625" style="3135" customWidth="1"/>
    <col min="7947" max="7947" width="16" style="3135" customWidth="1"/>
    <col min="7948" max="7948" width="14.375" style="3135" customWidth="1"/>
    <col min="7949" max="7949" width="6.25" style="3135" customWidth="1"/>
    <col min="7950" max="7950" width="7.875" style="3135" customWidth="1"/>
    <col min="7951" max="8192" width="9" style="3135"/>
    <col min="8193" max="8193" width="32.75" style="3135" customWidth="1"/>
    <col min="8194" max="8194" width="6.25" style="3135" customWidth="1"/>
    <col min="8195" max="8195" width="11.75" style="3135" customWidth="1"/>
    <col min="8196" max="8196" width="7.875" style="3135" customWidth="1"/>
    <col min="8197" max="8198" width="13.875" style="3135" customWidth="1"/>
    <col min="8199" max="8199" width="24" style="3135" customWidth="1"/>
    <col min="8200" max="8200" width="9" style="3135" customWidth="1"/>
    <col min="8201" max="8201" width="36" style="3135" customWidth="1"/>
    <col min="8202" max="8202" width="10.625" style="3135" customWidth="1"/>
    <col min="8203" max="8203" width="16" style="3135" customWidth="1"/>
    <col min="8204" max="8204" width="14.375" style="3135" customWidth="1"/>
    <col min="8205" max="8205" width="6.25" style="3135" customWidth="1"/>
    <col min="8206" max="8206" width="7.875" style="3135" customWidth="1"/>
    <col min="8207" max="8448" width="9" style="3135"/>
    <col min="8449" max="8449" width="32.75" style="3135" customWidth="1"/>
    <col min="8450" max="8450" width="6.25" style="3135" customWidth="1"/>
    <col min="8451" max="8451" width="11.75" style="3135" customWidth="1"/>
    <col min="8452" max="8452" width="7.875" style="3135" customWidth="1"/>
    <col min="8453" max="8454" width="13.875" style="3135" customWidth="1"/>
    <col min="8455" max="8455" width="24" style="3135" customWidth="1"/>
    <col min="8456" max="8456" width="9" style="3135" customWidth="1"/>
    <col min="8457" max="8457" width="36" style="3135" customWidth="1"/>
    <col min="8458" max="8458" width="10.625" style="3135" customWidth="1"/>
    <col min="8459" max="8459" width="16" style="3135" customWidth="1"/>
    <col min="8460" max="8460" width="14.375" style="3135" customWidth="1"/>
    <col min="8461" max="8461" width="6.25" style="3135" customWidth="1"/>
    <col min="8462" max="8462" width="7.875" style="3135" customWidth="1"/>
    <col min="8463" max="8704" width="9" style="3135"/>
    <col min="8705" max="8705" width="32.75" style="3135" customWidth="1"/>
    <col min="8706" max="8706" width="6.25" style="3135" customWidth="1"/>
    <col min="8707" max="8707" width="11.75" style="3135" customWidth="1"/>
    <col min="8708" max="8708" width="7.875" style="3135" customWidth="1"/>
    <col min="8709" max="8710" width="13.875" style="3135" customWidth="1"/>
    <col min="8711" max="8711" width="24" style="3135" customWidth="1"/>
    <col min="8712" max="8712" width="9" style="3135" customWidth="1"/>
    <col min="8713" max="8713" width="36" style="3135" customWidth="1"/>
    <col min="8714" max="8714" width="10.625" style="3135" customWidth="1"/>
    <col min="8715" max="8715" width="16" style="3135" customWidth="1"/>
    <col min="8716" max="8716" width="14.375" style="3135" customWidth="1"/>
    <col min="8717" max="8717" width="6.25" style="3135" customWidth="1"/>
    <col min="8718" max="8718" width="7.875" style="3135" customWidth="1"/>
    <col min="8719" max="8960" width="9" style="3135"/>
    <col min="8961" max="8961" width="32.75" style="3135" customWidth="1"/>
    <col min="8962" max="8962" width="6.25" style="3135" customWidth="1"/>
    <col min="8963" max="8963" width="11.75" style="3135" customWidth="1"/>
    <col min="8964" max="8964" width="7.875" style="3135" customWidth="1"/>
    <col min="8965" max="8966" width="13.875" style="3135" customWidth="1"/>
    <col min="8967" max="8967" width="24" style="3135" customWidth="1"/>
    <col min="8968" max="8968" width="9" style="3135" customWidth="1"/>
    <col min="8969" max="8969" width="36" style="3135" customWidth="1"/>
    <col min="8970" max="8970" width="10.625" style="3135" customWidth="1"/>
    <col min="8971" max="8971" width="16" style="3135" customWidth="1"/>
    <col min="8972" max="8972" width="14.375" style="3135" customWidth="1"/>
    <col min="8973" max="8973" width="6.25" style="3135" customWidth="1"/>
    <col min="8974" max="8974" width="7.875" style="3135" customWidth="1"/>
    <col min="8975" max="9216" width="9" style="3135"/>
    <col min="9217" max="9217" width="32.75" style="3135" customWidth="1"/>
    <col min="9218" max="9218" width="6.25" style="3135" customWidth="1"/>
    <col min="9219" max="9219" width="11.75" style="3135" customWidth="1"/>
    <col min="9220" max="9220" width="7.875" style="3135" customWidth="1"/>
    <col min="9221" max="9222" width="13.875" style="3135" customWidth="1"/>
    <col min="9223" max="9223" width="24" style="3135" customWidth="1"/>
    <col min="9224" max="9224" width="9" style="3135" customWidth="1"/>
    <col min="9225" max="9225" width="36" style="3135" customWidth="1"/>
    <col min="9226" max="9226" width="10.625" style="3135" customWidth="1"/>
    <col min="9227" max="9227" width="16" style="3135" customWidth="1"/>
    <col min="9228" max="9228" width="14.375" style="3135" customWidth="1"/>
    <col min="9229" max="9229" width="6.25" style="3135" customWidth="1"/>
    <col min="9230" max="9230" width="7.875" style="3135" customWidth="1"/>
    <col min="9231" max="9472" width="9" style="3135"/>
    <col min="9473" max="9473" width="32.75" style="3135" customWidth="1"/>
    <col min="9474" max="9474" width="6.25" style="3135" customWidth="1"/>
    <col min="9475" max="9475" width="11.75" style="3135" customWidth="1"/>
    <col min="9476" max="9476" width="7.875" style="3135" customWidth="1"/>
    <col min="9477" max="9478" width="13.875" style="3135" customWidth="1"/>
    <col min="9479" max="9479" width="24" style="3135" customWidth="1"/>
    <col min="9480" max="9480" width="9" style="3135" customWidth="1"/>
    <col min="9481" max="9481" width="36" style="3135" customWidth="1"/>
    <col min="9482" max="9482" width="10.625" style="3135" customWidth="1"/>
    <col min="9483" max="9483" width="16" style="3135" customWidth="1"/>
    <col min="9484" max="9484" width="14.375" style="3135" customWidth="1"/>
    <col min="9485" max="9485" width="6.25" style="3135" customWidth="1"/>
    <col min="9486" max="9486" width="7.875" style="3135" customWidth="1"/>
    <col min="9487" max="9728" width="9" style="3135"/>
    <col min="9729" max="9729" width="32.75" style="3135" customWidth="1"/>
    <col min="9730" max="9730" width="6.25" style="3135" customWidth="1"/>
    <col min="9731" max="9731" width="11.75" style="3135" customWidth="1"/>
    <col min="9732" max="9732" width="7.875" style="3135" customWidth="1"/>
    <col min="9733" max="9734" width="13.875" style="3135" customWidth="1"/>
    <col min="9735" max="9735" width="24" style="3135" customWidth="1"/>
    <col min="9736" max="9736" width="9" style="3135" customWidth="1"/>
    <col min="9737" max="9737" width="36" style="3135" customWidth="1"/>
    <col min="9738" max="9738" width="10.625" style="3135" customWidth="1"/>
    <col min="9739" max="9739" width="16" style="3135" customWidth="1"/>
    <col min="9740" max="9740" width="14.375" style="3135" customWidth="1"/>
    <col min="9741" max="9741" width="6.25" style="3135" customWidth="1"/>
    <col min="9742" max="9742" width="7.875" style="3135" customWidth="1"/>
    <col min="9743" max="9984" width="9" style="3135"/>
    <col min="9985" max="9985" width="32.75" style="3135" customWidth="1"/>
    <col min="9986" max="9986" width="6.25" style="3135" customWidth="1"/>
    <col min="9987" max="9987" width="11.75" style="3135" customWidth="1"/>
    <col min="9988" max="9988" width="7.875" style="3135" customWidth="1"/>
    <col min="9989" max="9990" width="13.875" style="3135" customWidth="1"/>
    <col min="9991" max="9991" width="24" style="3135" customWidth="1"/>
    <col min="9992" max="9992" width="9" style="3135" customWidth="1"/>
    <col min="9993" max="9993" width="36" style="3135" customWidth="1"/>
    <col min="9994" max="9994" width="10.625" style="3135" customWidth="1"/>
    <col min="9995" max="9995" width="16" style="3135" customWidth="1"/>
    <col min="9996" max="9996" width="14.375" style="3135" customWidth="1"/>
    <col min="9997" max="9997" width="6.25" style="3135" customWidth="1"/>
    <col min="9998" max="9998" width="7.875" style="3135" customWidth="1"/>
    <col min="9999" max="10240" width="9" style="3135"/>
    <col min="10241" max="10241" width="32.75" style="3135" customWidth="1"/>
    <col min="10242" max="10242" width="6.25" style="3135" customWidth="1"/>
    <col min="10243" max="10243" width="11.75" style="3135" customWidth="1"/>
    <col min="10244" max="10244" width="7.875" style="3135" customWidth="1"/>
    <col min="10245" max="10246" width="13.875" style="3135" customWidth="1"/>
    <col min="10247" max="10247" width="24" style="3135" customWidth="1"/>
    <col min="10248" max="10248" width="9" style="3135" customWidth="1"/>
    <col min="10249" max="10249" width="36" style="3135" customWidth="1"/>
    <col min="10250" max="10250" width="10.625" style="3135" customWidth="1"/>
    <col min="10251" max="10251" width="16" style="3135" customWidth="1"/>
    <col min="10252" max="10252" width="14.375" style="3135" customWidth="1"/>
    <col min="10253" max="10253" width="6.25" style="3135" customWidth="1"/>
    <col min="10254" max="10254" width="7.875" style="3135" customWidth="1"/>
    <col min="10255" max="10496" width="9" style="3135"/>
    <col min="10497" max="10497" width="32.75" style="3135" customWidth="1"/>
    <col min="10498" max="10498" width="6.25" style="3135" customWidth="1"/>
    <col min="10499" max="10499" width="11.75" style="3135" customWidth="1"/>
    <col min="10500" max="10500" width="7.875" style="3135" customWidth="1"/>
    <col min="10501" max="10502" width="13.875" style="3135" customWidth="1"/>
    <col min="10503" max="10503" width="24" style="3135" customWidth="1"/>
    <col min="10504" max="10504" width="9" style="3135" customWidth="1"/>
    <col min="10505" max="10505" width="36" style="3135" customWidth="1"/>
    <col min="10506" max="10506" width="10.625" style="3135" customWidth="1"/>
    <col min="10507" max="10507" width="16" style="3135" customWidth="1"/>
    <col min="10508" max="10508" width="14.375" style="3135" customWidth="1"/>
    <col min="10509" max="10509" width="6.25" style="3135" customWidth="1"/>
    <col min="10510" max="10510" width="7.875" style="3135" customWidth="1"/>
    <col min="10511" max="10752" width="9" style="3135"/>
    <col min="10753" max="10753" width="32.75" style="3135" customWidth="1"/>
    <col min="10754" max="10754" width="6.25" style="3135" customWidth="1"/>
    <col min="10755" max="10755" width="11.75" style="3135" customWidth="1"/>
    <col min="10756" max="10756" width="7.875" style="3135" customWidth="1"/>
    <col min="10757" max="10758" width="13.875" style="3135" customWidth="1"/>
    <col min="10759" max="10759" width="24" style="3135" customWidth="1"/>
    <col min="10760" max="10760" width="9" style="3135" customWidth="1"/>
    <col min="10761" max="10761" width="36" style="3135" customWidth="1"/>
    <col min="10762" max="10762" width="10.625" style="3135" customWidth="1"/>
    <col min="10763" max="10763" width="16" style="3135" customWidth="1"/>
    <col min="10764" max="10764" width="14.375" style="3135" customWidth="1"/>
    <col min="10765" max="10765" width="6.25" style="3135" customWidth="1"/>
    <col min="10766" max="10766" width="7.875" style="3135" customWidth="1"/>
    <col min="10767" max="11008" width="9" style="3135"/>
    <col min="11009" max="11009" width="32.75" style="3135" customWidth="1"/>
    <col min="11010" max="11010" width="6.25" style="3135" customWidth="1"/>
    <col min="11011" max="11011" width="11.75" style="3135" customWidth="1"/>
    <col min="11012" max="11012" width="7.875" style="3135" customWidth="1"/>
    <col min="11013" max="11014" width="13.875" style="3135" customWidth="1"/>
    <col min="11015" max="11015" width="24" style="3135" customWidth="1"/>
    <col min="11016" max="11016" width="9" style="3135" customWidth="1"/>
    <col min="11017" max="11017" width="36" style="3135" customWidth="1"/>
    <col min="11018" max="11018" width="10.625" style="3135" customWidth="1"/>
    <col min="11019" max="11019" width="16" style="3135" customWidth="1"/>
    <col min="11020" max="11020" width="14.375" style="3135" customWidth="1"/>
    <col min="11021" max="11021" width="6.25" style="3135" customWidth="1"/>
    <col min="11022" max="11022" width="7.875" style="3135" customWidth="1"/>
    <col min="11023" max="11264" width="9" style="3135"/>
    <col min="11265" max="11265" width="32.75" style="3135" customWidth="1"/>
    <col min="11266" max="11266" width="6.25" style="3135" customWidth="1"/>
    <col min="11267" max="11267" width="11.75" style="3135" customWidth="1"/>
    <col min="11268" max="11268" width="7.875" style="3135" customWidth="1"/>
    <col min="11269" max="11270" width="13.875" style="3135" customWidth="1"/>
    <col min="11271" max="11271" width="24" style="3135" customWidth="1"/>
    <col min="11272" max="11272" width="9" style="3135" customWidth="1"/>
    <col min="11273" max="11273" width="36" style="3135" customWidth="1"/>
    <col min="11274" max="11274" width="10.625" style="3135" customWidth="1"/>
    <col min="11275" max="11275" width="16" style="3135" customWidth="1"/>
    <col min="11276" max="11276" width="14.375" style="3135" customWidth="1"/>
    <col min="11277" max="11277" width="6.25" style="3135" customWidth="1"/>
    <col min="11278" max="11278" width="7.875" style="3135" customWidth="1"/>
    <col min="11279" max="11520" width="9" style="3135"/>
    <col min="11521" max="11521" width="32.75" style="3135" customWidth="1"/>
    <col min="11522" max="11522" width="6.25" style="3135" customWidth="1"/>
    <col min="11523" max="11523" width="11.75" style="3135" customWidth="1"/>
    <col min="11524" max="11524" width="7.875" style="3135" customWidth="1"/>
    <col min="11525" max="11526" width="13.875" style="3135" customWidth="1"/>
    <col min="11527" max="11527" width="24" style="3135" customWidth="1"/>
    <col min="11528" max="11528" width="9" style="3135" customWidth="1"/>
    <col min="11529" max="11529" width="36" style="3135" customWidth="1"/>
    <col min="11530" max="11530" width="10.625" style="3135" customWidth="1"/>
    <col min="11531" max="11531" width="16" style="3135" customWidth="1"/>
    <col min="11532" max="11532" width="14.375" style="3135" customWidth="1"/>
    <col min="11533" max="11533" width="6.25" style="3135" customWidth="1"/>
    <col min="11534" max="11534" width="7.875" style="3135" customWidth="1"/>
    <col min="11535" max="11776" width="9" style="3135"/>
    <col min="11777" max="11777" width="32.75" style="3135" customWidth="1"/>
    <col min="11778" max="11778" width="6.25" style="3135" customWidth="1"/>
    <col min="11779" max="11779" width="11.75" style="3135" customWidth="1"/>
    <col min="11780" max="11780" width="7.875" style="3135" customWidth="1"/>
    <col min="11781" max="11782" width="13.875" style="3135" customWidth="1"/>
    <col min="11783" max="11783" width="24" style="3135" customWidth="1"/>
    <col min="11784" max="11784" width="9" style="3135" customWidth="1"/>
    <col min="11785" max="11785" width="36" style="3135" customWidth="1"/>
    <col min="11786" max="11786" width="10.625" style="3135" customWidth="1"/>
    <col min="11787" max="11787" width="16" style="3135" customWidth="1"/>
    <col min="11788" max="11788" width="14.375" style="3135" customWidth="1"/>
    <col min="11789" max="11789" width="6.25" style="3135" customWidth="1"/>
    <col min="11790" max="11790" width="7.875" style="3135" customWidth="1"/>
    <col min="11791" max="12032" width="9" style="3135"/>
    <col min="12033" max="12033" width="32.75" style="3135" customWidth="1"/>
    <col min="12034" max="12034" width="6.25" style="3135" customWidth="1"/>
    <col min="12035" max="12035" width="11.75" style="3135" customWidth="1"/>
    <col min="12036" max="12036" width="7.875" style="3135" customWidth="1"/>
    <col min="12037" max="12038" width="13.875" style="3135" customWidth="1"/>
    <col min="12039" max="12039" width="24" style="3135" customWidth="1"/>
    <col min="12040" max="12040" width="9" style="3135" customWidth="1"/>
    <col min="12041" max="12041" width="36" style="3135" customWidth="1"/>
    <col min="12042" max="12042" width="10.625" style="3135" customWidth="1"/>
    <col min="12043" max="12043" width="16" style="3135" customWidth="1"/>
    <col min="12044" max="12044" width="14.375" style="3135" customWidth="1"/>
    <col min="12045" max="12045" width="6.25" style="3135" customWidth="1"/>
    <col min="12046" max="12046" width="7.875" style="3135" customWidth="1"/>
    <col min="12047" max="12288" width="9" style="3135"/>
    <col min="12289" max="12289" width="32.75" style="3135" customWidth="1"/>
    <col min="12290" max="12290" width="6.25" style="3135" customWidth="1"/>
    <col min="12291" max="12291" width="11.75" style="3135" customWidth="1"/>
    <col min="12292" max="12292" width="7.875" style="3135" customWidth="1"/>
    <col min="12293" max="12294" width="13.875" style="3135" customWidth="1"/>
    <col min="12295" max="12295" width="24" style="3135" customWidth="1"/>
    <col min="12296" max="12296" width="9" style="3135" customWidth="1"/>
    <col min="12297" max="12297" width="36" style="3135" customWidth="1"/>
    <col min="12298" max="12298" width="10.625" style="3135" customWidth="1"/>
    <col min="12299" max="12299" width="16" style="3135" customWidth="1"/>
    <col min="12300" max="12300" width="14.375" style="3135" customWidth="1"/>
    <col min="12301" max="12301" width="6.25" style="3135" customWidth="1"/>
    <col min="12302" max="12302" width="7.875" style="3135" customWidth="1"/>
    <col min="12303" max="12544" width="9" style="3135"/>
    <col min="12545" max="12545" width="32.75" style="3135" customWidth="1"/>
    <col min="12546" max="12546" width="6.25" style="3135" customWidth="1"/>
    <col min="12547" max="12547" width="11.75" style="3135" customWidth="1"/>
    <col min="12548" max="12548" width="7.875" style="3135" customWidth="1"/>
    <col min="12549" max="12550" width="13.875" style="3135" customWidth="1"/>
    <col min="12551" max="12551" width="24" style="3135" customWidth="1"/>
    <col min="12552" max="12552" width="9" style="3135" customWidth="1"/>
    <col min="12553" max="12553" width="36" style="3135" customWidth="1"/>
    <col min="12554" max="12554" width="10.625" style="3135" customWidth="1"/>
    <col min="12555" max="12555" width="16" style="3135" customWidth="1"/>
    <col min="12556" max="12556" width="14.375" style="3135" customWidth="1"/>
    <col min="12557" max="12557" width="6.25" style="3135" customWidth="1"/>
    <col min="12558" max="12558" width="7.875" style="3135" customWidth="1"/>
    <col min="12559" max="12800" width="9" style="3135"/>
    <col min="12801" max="12801" width="32.75" style="3135" customWidth="1"/>
    <col min="12802" max="12802" width="6.25" style="3135" customWidth="1"/>
    <col min="12803" max="12803" width="11.75" style="3135" customWidth="1"/>
    <col min="12804" max="12804" width="7.875" style="3135" customWidth="1"/>
    <col min="12805" max="12806" width="13.875" style="3135" customWidth="1"/>
    <col min="12807" max="12807" width="24" style="3135" customWidth="1"/>
    <col min="12808" max="12808" width="9" style="3135" customWidth="1"/>
    <col min="12809" max="12809" width="36" style="3135" customWidth="1"/>
    <col min="12810" max="12810" width="10.625" style="3135" customWidth="1"/>
    <col min="12811" max="12811" width="16" style="3135" customWidth="1"/>
    <col min="12812" max="12812" width="14.375" style="3135" customWidth="1"/>
    <col min="12813" max="12813" width="6.25" style="3135" customWidth="1"/>
    <col min="12814" max="12814" width="7.875" style="3135" customWidth="1"/>
    <col min="12815" max="13056" width="9" style="3135"/>
    <col min="13057" max="13057" width="32.75" style="3135" customWidth="1"/>
    <col min="13058" max="13058" width="6.25" style="3135" customWidth="1"/>
    <col min="13059" max="13059" width="11.75" style="3135" customWidth="1"/>
    <col min="13060" max="13060" width="7.875" style="3135" customWidth="1"/>
    <col min="13061" max="13062" width="13.875" style="3135" customWidth="1"/>
    <col min="13063" max="13063" width="24" style="3135" customWidth="1"/>
    <col min="13064" max="13064" width="9" style="3135" customWidth="1"/>
    <col min="13065" max="13065" width="36" style="3135" customWidth="1"/>
    <col min="13066" max="13066" width="10.625" style="3135" customWidth="1"/>
    <col min="13067" max="13067" width="16" style="3135" customWidth="1"/>
    <col min="13068" max="13068" width="14.375" style="3135" customWidth="1"/>
    <col min="13069" max="13069" width="6.25" style="3135" customWidth="1"/>
    <col min="13070" max="13070" width="7.875" style="3135" customWidth="1"/>
    <col min="13071" max="13312" width="9" style="3135"/>
    <col min="13313" max="13313" width="32.75" style="3135" customWidth="1"/>
    <col min="13314" max="13314" width="6.25" style="3135" customWidth="1"/>
    <col min="13315" max="13315" width="11.75" style="3135" customWidth="1"/>
    <col min="13316" max="13316" width="7.875" style="3135" customWidth="1"/>
    <col min="13317" max="13318" width="13.875" style="3135" customWidth="1"/>
    <col min="13319" max="13319" width="24" style="3135" customWidth="1"/>
    <col min="13320" max="13320" width="9" style="3135" customWidth="1"/>
    <col min="13321" max="13321" width="36" style="3135" customWidth="1"/>
    <col min="13322" max="13322" width="10.625" style="3135" customWidth="1"/>
    <col min="13323" max="13323" width="16" style="3135" customWidth="1"/>
    <col min="13324" max="13324" width="14.375" style="3135" customWidth="1"/>
    <col min="13325" max="13325" width="6.25" style="3135" customWidth="1"/>
    <col min="13326" max="13326" width="7.875" style="3135" customWidth="1"/>
    <col min="13327" max="13568" width="9" style="3135"/>
    <col min="13569" max="13569" width="32.75" style="3135" customWidth="1"/>
    <col min="13570" max="13570" width="6.25" style="3135" customWidth="1"/>
    <col min="13571" max="13571" width="11.75" style="3135" customWidth="1"/>
    <col min="13572" max="13572" width="7.875" style="3135" customWidth="1"/>
    <col min="13573" max="13574" width="13.875" style="3135" customWidth="1"/>
    <col min="13575" max="13575" width="24" style="3135" customWidth="1"/>
    <col min="13576" max="13576" width="9" style="3135" customWidth="1"/>
    <col min="13577" max="13577" width="36" style="3135" customWidth="1"/>
    <col min="13578" max="13578" width="10.625" style="3135" customWidth="1"/>
    <col min="13579" max="13579" width="16" style="3135" customWidth="1"/>
    <col min="13580" max="13580" width="14.375" style="3135" customWidth="1"/>
    <col min="13581" max="13581" width="6.25" style="3135" customWidth="1"/>
    <col min="13582" max="13582" width="7.875" style="3135" customWidth="1"/>
    <col min="13583" max="13824" width="9" style="3135"/>
    <col min="13825" max="13825" width="32.75" style="3135" customWidth="1"/>
    <col min="13826" max="13826" width="6.25" style="3135" customWidth="1"/>
    <col min="13827" max="13827" width="11.75" style="3135" customWidth="1"/>
    <col min="13828" max="13828" width="7.875" style="3135" customWidth="1"/>
    <col min="13829" max="13830" width="13.875" style="3135" customWidth="1"/>
    <col min="13831" max="13831" width="24" style="3135" customWidth="1"/>
    <col min="13832" max="13832" width="9" style="3135" customWidth="1"/>
    <col min="13833" max="13833" width="36" style="3135" customWidth="1"/>
    <col min="13834" max="13834" width="10.625" style="3135" customWidth="1"/>
    <col min="13835" max="13835" width="16" style="3135" customWidth="1"/>
    <col min="13836" max="13836" width="14.375" style="3135" customWidth="1"/>
    <col min="13837" max="13837" width="6.25" style="3135" customWidth="1"/>
    <col min="13838" max="13838" width="7.875" style="3135" customWidth="1"/>
    <col min="13839" max="14080" width="9" style="3135"/>
    <col min="14081" max="14081" width="32.75" style="3135" customWidth="1"/>
    <col min="14082" max="14082" width="6.25" style="3135" customWidth="1"/>
    <col min="14083" max="14083" width="11.75" style="3135" customWidth="1"/>
    <col min="14084" max="14084" width="7.875" style="3135" customWidth="1"/>
    <col min="14085" max="14086" width="13.875" style="3135" customWidth="1"/>
    <col min="14087" max="14087" width="24" style="3135" customWidth="1"/>
    <col min="14088" max="14088" width="9" style="3135" customWidth="1"/>
    <col min="14089" max="14089" width="36" style="3135" customWidth="1"/>
    <col min="14090" max="14090" width="10.625" style="3135" customWidth="1"/>
    <col min="14091" max="14091" width="16" style="3135" customWidth="1"/>
    <col min="14092" max="14092" width="14.375" style="3135" customWidth="1"/>
    <col min="14093" max="14093" width="6.25" style="3135" customWidth="1"/>
    <col min="14094" max="14094" width="7.875" style="3135" customWidth="1"/>
    <col min="14095" max="14336" width="9" style="3135"/>
    <col min="14337" max="14337" width="32.75" style="3135" customWidth="1"/>
    <col min="14338" max="14338" width="6.25" style="3135" customWidth="1"/>
    <col min="14339" max="14339" width="11.75" style="3135" customWidth="1"/>
    <col min="14340" max="14340" width="7.875" style="3135" customWidth="1"/>
    <col min="14341" max="14342" width="13.875" style="3135" customWidth="1"/>
    <col min="14343" max="14343" width="24" style="3135" customWidth="1"/>
    <col min="14344" max="14344" width="9" style="3135" customWidth="1"/>
    <col min="14345" max="14345" width="36" style="3135" customWidth="1"/>
    <col min="14346" max="14346" width="10.625" style="3135" customWidth="1"/>
    <col min="14347" max="14347" width="16" style="3135" customWidth="1"/>
    <col min="14348" max="14348" width="14.375" style="3135" customWidth="1"/>
    <col min="14349" max="14349" width="6.25" style="3135" customWidth="1"/>
    <col min="14350" max="14350" width="7.875" style="3135" customWidth="1"/>
    <col min="14351" max="14592" width="9" style="3135"/>
    <col min="14593" max="14593" width="32.75" style="3135" customWidth="1"/>
    <col min="14594" max="14594" width="6.25" style="3135" customWidth="1"/>
    <col min="14595" max="14595" width="11.75" style="3135" customWidth="1"/>
    <col min="14596" max="14596" width="7.875" style="3135" customWidth="1"/>
    <col min="14597" max="14598" width="13.875" style="3135" customWidth="1"/>
    <col min="14599" max="14599" width="24" style="3135" customWidth="1"/>
    <col min="14600" max="14600" width="9" style="3135" customWidth="1"/>
    <col min="14601" max="14601" width="36" style="3135" customWidth="1"/>
    <col min="14602" max="14602" width="10.625" style="3135" customWidth="1"/>
    <col min="14603" max="14603" width="16" style="3135" customWidth="1"/>
    <col min="14604" max="14604" width="14.375" style="3135" customWidth="1"/>
    <col min="14605" max="14605" width="6.25" style="3135" customWidth="1"/>
    <col min="14606" max="14606" width="7.875" style="3135" customWidth="1"/>
    <col min="14607" max="14848" width="9" style="3135"/>
    <col min="14849" max="14849" width="32.75" style="3135" customWidth="1"/>
    <col min="14850" max="14850" width="6.25" style="3135" customWidth="1"/>
    <col min="14851" max="14851" width="11.75" style="3135" customWidth="1"/>
    <col min="14852" max="14852" width="7.875" style="3135" customWidth="1"/>
    <col min="14853" max="14854" width="13.875" style="3135" customWidth="1"/>
    <col min="14855" max="14855" width="24" style="3135" customWidth="1"/>
    <col min="14856" max="14856" width="9" style="3135" customWidth="1"/>
    <col min="14857" max="14857" width="36" style="3135" customWidth="1"/>
    <col min="14858" max="14858" width="10.625" style="3135" customWidth="1"/>
    <col min="14859" max="14859" width="16" style="3135" customWidth="1"/>
    <col min="14860" max="14860" width="14.375" style="3135" customWidth="1"/>
    <col min="14861" max="14861" width="6.25" style="3135" customWidth="1"/>
    <col min="14862" max="14862" width="7.875" style="3135" customWidth="1"/>
    <col min="14863" max="15104" width="9" style="3135"/>
    <col min="15105" max="15105" width="32.75" style="3135" customWidth="1"/>
    <col min="15106" max="15106" width="6.25" style="3135" customWidth="1"/>
    <col min="15107" max="15107" width="11.75" style="3135" customWidth="1"/>
    <col min="15108" max="15108" width="7.875" style="3135" customWidth="1"/>
    <col min="15109" max="15110" width="13.875" style="3135" customWidth="1"/>
    <col min="15111" max="15111" width="24" style="3135" customWidth="1"/>
    <col min="15112" max="15112" width="9" style="3135" customWidth="1"/>
    <col min="15113" max="15113" width="36" style="3135" customWidth="1"/>
    <col min="15114" max="15114" width="10.625" style="3135" customWidth="1"/>
    <col min="15115" max="15115" width="16" style="3135" customWidth="1"/>
    <col min="15116" max="15116" width="14.375" style="3135" customWidth="1"/>
    <col min="15117" max="15117" width="6.25" style="3135" customWidth="1"/>
    <col min="15118" max="15118" width="7.875" style="3135" customWidth="1"/>
    <col min="15119" max="15360" width="9" style="3135"/>
    <col min="15361" max="15361" width="32.75" style="3135" customWidth="1"/>
    <col min="15362" max="15362" width="6.25" style="3135" customWidth="1"/>
    <col min="15363" max="15363" width="11.75" style="3135" customWidth="1"/>
    <col min="15364" max="15364" width="7.875" style="3135" customWidth="1"/>
    <col min="15365" max="15366" width="13.875" style="3135" customWidth="1"/>
    <col min="15367" max="15367" width="24" style="3135" customWidth="1"/>
    <col min="15368" max="15368" width="9" style="3135" customWidth="1"/>
    <col min="15369" max="15369" width="36" style="3135" customWidth="1"/>
    <col min="15370" max="15370" width="10.625" style="3135" customWidth="1"/>
    <col min="15371" max="15371" width="16" style="3135" customWidth="1"/>
    <col min="15372" max="15372" width="14.375" style="3135" customWidth="1"/>
    <col min="15373" max="15373" width="6.25" style="3135" customWidth="1"/>
    <col min="15374" max="15374" width="7.875" style="3135" customWidth="1"/>
    <col min="15375" max="15616" width="9" style="3135"/>
    <col min="15617" max="15617" width="32.75" style="3135" customWidth="1"/>
    <col min="15618" max="15618" width="6.25" style="3135" customWidth="1"/>
    <col min="15619" max="15619" width="11.75" style="3135" customWidth="1"/>
    <col min="15620" max="15620" width="7.875" style="3135" customWidth="1"/>
    <col min="15621" max="15622" width="13.875" style="3135" customWidth="1"/>
    <col min="15623" max="15623" width="24" style="3135" customWidth="1"/>
    <col min="15624" max="15624" width="9" style="3135" customWidth="1"/>
    <col min="15625" max="15625" width="36" style="3135" customWidth="1"/>
    <col min="15626" max="15626" width="10.625" style="3135" customWidth="1"/>
    <col min="15627" max="15627" width="16" style="3135" customWidth="1"/>
    <col min="15628" max="15628" width="14.375" style="3135" customWidth="1"/>
    <col min="15629" max="15629" width="6.25" style="3135" customWidth="1"/>
    <col min="15630" max="15630" width="7.875" style="3135" customWidth="1"/>
    <col min="15631" max="15872" width="9" style="3135"/>
    <col min="15873" max="15873" width="32.75" style="3135" customWidth="1"/>
    <col min="15874" max="15874" width="6.25" style="3135" customWidth="1"/>
    <col min="15875" max="15875" width="11.75" style="3135" customWidth="1"/>
    <col min="15876" max="15876" width="7.875" style="3135" customWidth="1"/>
    <col min="15877" max="15878" width="13.875" style="3135" customWidth="1"/>
    <col min="15879" max="15879" width="24" style="3135" customWidth="1"/>
    <col min="15880" max="15880" width="9" style="3135" customWidth="1"/>
    <col min="15881" max="15881" width="36" style="3135" customWidth="1"/>
    <col min="15882" max="15882" width="10.625" style="3135" customWidth="1"/>
    <col min="15883" max="15883" width="16" style="3135" customWidth="1"/>
    <col min="15884" max="15884" width="14.375" style="3135" customWidth="1"/>
    <col min="15885" max="15885" width="6.25" style="3135" customWidth="1"/>
    <col min="15886" max="15886" width="7.875" style="3135" customWidth="1"/>
    <col min="15887" max="16128" width="9" style="3135"/>
    <col min="16129" max="16129" width="32.75" style="3135" customWidth="1"/>
    <col min="16130" max="16130" width="6.25" style="3135" customWidth="1"/>
    <col min="16131" max="16131" width="11.75" style="3135" customWidth="1"/>
    <col min="16132" max="16132" width="7.875" style="3135" customWidth="1"/>
    <col min="16133" max="16134" width="13.875" style="3135" customWidth="1"/>
    <col min="16135" max="16135" width="24" style="3135" customWidth="1"/>
    <col min="16136" max="16136" width="9" style="3135" customWidth="1"/>
    <col min="16137" max="16137" width="36" style="3135" customWidth="1"/>
    <col min="16138" max="16138" width="10.625" style="3135" customWidth="1"/>
    <col min="16139" max="16139" width="16" style="3135" customWidth="1"/>
    <col min="16140" max="16140" width="14.375" style="3135" customWidth="1"/>
    <col min="16141" max="16141" width="6.25" style="3135" customWidth="1"/>
    <col min="16142" max="16142" width="7.875" style="3135" customWidth="1"/>
    <col min="16143" max="16384" width="9" style="3135"/>
  </cols>
  <sheetData>
    <row r="1" spans="1:14">
      <c r="A1" s="3135" t="s">
        <v>3053</v>
      </c>
      <c r="B1" s="3135" t="s">
        <v>3054</v>
      </c>
      <c r="C1" s="3135" t="s">
        <v>3055</v>
      </c>
      <c r="D1" s="3135" t="s">
        <v>3056</v>
      </c>
      <c r="E1" s="3135" t="s">
        <v>3057</v>
      </c>
      <c r="F1" s="3135" t="s">
        <v>3058</v>
      </c>
      <c r="G1" s="3135" t="s">
        <v>3059</v>
      </c>
      <c r="H1" s="3135" t="s">
        <v>3060</v>
      </c>
      <c r="I1" s="3135" t="s">
        <v>3061</v>
      </c>
      <c r="J1" s="3135" t="s">
        <v>3062</v>
      </c>
      <c r="K1" s="3135" t="s">
        <v>3063</v>
      </c>
      <c r="L1" s="3135" t="s">
        <v>3064</v>
      </c>
      <c r="M1" s="3135" t="s">
        <v>3065</v>
      </c>
      <c r="N1" s="3135" t="s">
        <v>3066</v>
      </c>
    </row>
    <row r="2" spans="1:14">
      <c r="A2" s="3135" t="s">
        <v>3067</v>
      </c>
      <c r="B2" s="3135" t="s">
        <v>3068</v>
      </c>
      <c r="C2" s="3135" t="s">
        <v>3069</v>
      </c>
      <c r="D2" s="3135" t="s">
        <v>3070</v>
      </c>
      <c r="E2" s="3135">
        <v>24282.43</v>
      </c>
      <c r="F2" s="3135">
        <v>43708.37</v>
      </c>
      <c r="G2" s="3135" t="s">
        <v>3071</v>
      </c>
      <c r="H2" s="3135" t="s">
        <v>3072</v>
      </c>
      <c r="I2" s="3135" t="s">
        <v>3073</v>
      </c>
      <c r="J2" s="3135">
        <v>127080</v>
      </c>
      <c r="K2" s="3135">
        <v>3488.94</v>
      </c>
      <c r="L2" s="3135">
        <v>29074.52</v>
      </c>
      <c r="M2" s="3135" t="s">
        <v>2945</v>
      </c>
      <c r="N2" s="3135" t="s">
        <v>3074</v>
      </c>
    </row>
    <row r="3" spans="1:14">
      <c r="A3" s="3135" t="s">
        <v>3075</v>
      </c>
      <c r="B3" s="3135" t="s">
        <v>3068</v>
      </c>
      <c r="C3" s="3135" t="s">
        <v>3069</v>
      </c>
      <c r="D3" s="3135" t="s">
        <v>3070</v>
      </c>
      <c r="E3" s="3135">
        <v>24282</v>
      </c>
      <c r="F3" s="3135">
        <v>48564</v>
      </c>
      <c r="G3" s="3135" t="s">
        <v>3076</v>
      </c>
      <c r="H3" s="3135" t="s">
        <v>3077</v>
      </c>
      <c r="I3" s="3135" t="s">
        <v>3078</v>
      </c>
      <c r="J3" s="3135">
        <v>11000</v>
      </c>
      <c r="K3" s="3135">
        <v>302.01</v>
      </c>
      <c r="L3" s="3135">
        <v>2265.0500000000002</v>
      </c>
      <c r="M3" s="3135" t="s">
        <v>2945</v>
      </c>
      <c r="N3" s="3135" t="s">
        <v>3074</v>
      </c>
    </row>
    <row r="4" spans="1:14">
      <c r="A4" s="3135" t="s">
        <v>3079</v>
      </c>
      <c r="B4" s="3135" t="s">
        <v>3068</v>
      </c>
      <c r="C4" s="3135" t="s">
        <v>3069</v>
      </c>
      <c r="D4" s="3135" t="s">
        <v>3070</v>
      </c>
      <c r="E4" s="3135">
        <v>12725</v>
      </c>
      <c r="F4" s="3135">
        <v>33085</v>
      </c>
      <c r="G4" s="3135" t="s">
        <v>3080</v>
      </c>
      <c r="H4" s="3135" t="s">
        <v>3081</v>
      </c>
      <c r="I4" s="3135" t="s">
        <v>3082</v>
      </c>
      <c r="J4" s="3135">
        <v>1240</v>
      </c>
      <c r="K4" s="3135">
        <v>64.959999999999994</v>
      </c>
      <c r="L4" s="3135">
        <v>374.79</v>
      </c>
      <c r="M4" s="3135" t="s">
        <v>2945</v>
      </c>
      <c r="N4" s="3135" t="s">
        <v>3074</v>
      </c>
    </row>
    <row r="5" spans="1:14">
      <c r="A5" s="3135" t="s">
        <v>3083</v>
      </c>
      <c r="B5" s="3135" t="s">
        <v>3068</v>
      </c>
      <c r="C5" s="3135" t="s">
        <v>3069</v>
      </c>
      <c r="D5" s="3135" t="s">
        <v>3070</v>
      </c>
      <c r="E5" s="3135">
        <v>39964.199999999997</v>
      </c>
      <c r="F5" s="3135">
        <v>79928.399999999994</v>
      </c>
      <c r="G5" s="3135" t="s">
        <v>3076</v>
      </c>
      <c r="H5" s="3135" t="s">
        <v>3081</v>
      </c>
      <c r="I5" s="3135" t="s">
        <v>3082</v>
      </c>
      <c r="J5" s="3135">
        <v>3900</v>
      </c>
      <c r="K5" s="3135">
        <v>65.06</v>
      </c>
      <c r="L5" s="3135">
        <v>487.93</v>
      </c>
      <c r="M5" s="3135" t="s">
        <v>2945</v>
      </c>
      <c r="N5" s="3135" t="s">
        <v>3074</v>
      </c>
    </row>
    <row r="6" spans="1:14">
      <c r="A6" s="3135" t="s">
        <v>3084</v>
      </c>
      <c r="B6" s="3135" t="s">
        <v>3068</v>
      </c>
      <c r="C6" s="3135" t="s">
        <v>3069</v>
      </c>
      <c r="D6" s="3135" t="s">
        <v>3070</v>
      </c>
      <c r="E6" s="3135">
        <v>6099.97</v>
      </c>
      <c r="F6" s="3135">
        <v>67099.67</v>
      </c>
      <c r="G6" s="3135" t="s">
        <v>3085</v>
      </c>
      <c r="H6" s="3135" t="s">
        <v>3086</v>
      </c>
      <c r="I6" s="3135" t="s">
        <v>3087</v>
      </c>
      <c r="J6" s="3135">
        <v>2000</v>
      </c>
      <c r="K6" s="3135">
        <v>218.58</v>
      </c>
      <c r="L6" s="3135">
        <v>298.06</v>
      </c>
      <c r="M6" s="3135" t="s">
        <v>2945</v>
      </c>
      <c r="N6" s="3135" t="s">
        <v>3074</v>
      </c>
    </row>
    <row r="7" spans="1:14">
      <c r="A7" s="3135" t="s">
        <v>3088</v>
      </c>
      <c r="B7" s="3135" t="s">
        <v>3068</v>
      </c>
      <c r="C7" s="3135" t="s">
        <v>3069</v>
      </c>
      <c r="D7" s="3135" t="s">
        <v>3070</v>
      </c>
      <c r="E7" s="3135">
        <v>7634.94</v>
      </c>
      <c r="F7" s="3135">
        <v>68714.460000000006</v>
      </c>
      <c r="G7" s="3135" t="s">
        <v>3089</v>
      </c>
      <c r="H7" s="3135" t="s">
        <v>3086</v>
      </c>
      <c r="I7" s="3135" t="s">
        <v>3087</v>
      </c>
      <c r="J7" s="3135">
        <v>2322</v>
      </c>
      <c r="K7" s="3135">
        <v>202.75</v>
      </c>
      <c r="L7" s="3135">
        <v>337.92</v>
      </c>
      <c r="M7" s="3135" t="s">
        <v>2945</v>
      </c>
      <c r="N7" s="3135" t="s">
        <v>3074</v>
      </c>
    </row>
    <row r="8" spans="1:14">
      <c r="A8" s="3135" t="s">
        <v>3090</v>
      </c>
      <c r="B8" s="3135" t="s">
        <v>3068</v>
      </c>
      <c r="C8" s="3135" t="s">
        <v>3069</v>
      </c>
      <c r="D8" s="3135" t="s">
        <v>3070</v>
      </c>
      <c r="E8" s="3135">
        <v>13331.36</v>
      </c>
      <c r="F8" s="3135">
        <v>26662.720000000001</v>
      </c>
      <c r="G8" s="3135" t="s">
        <v>3091</v>
      </c>
      <c r="H8" s="3135" t="s">
        <v>3092</v>
      </c>
      <c r="I8" s="3135" t="s">
        <v>3093</v>
      </c>
      <c r="J8" s="3135">
        <v>600</v>
      </c>
      <c r="K8" s="3135">
        <v>30</v>
      </c>
      <c r="L8" s="3135">
        <v>225.03</v>
      </c>
      <c r="M8" s="3135" t="s">
        <v>2945</v>
      </c>
      <c r="N8" s="3135" t="s">
        <v>3074</v>
      </c>
    </row>
    <row r="9" spans="1:14">
      <c r="A9" s="3135" t="s">
        <v>3094</v>
      </c>
      <c r="B9" s="3135" t="s">
        <v>3068</v>
      </c>
      <c r="C9" s="3135" t="s">
        <v>3069</v>
      </c>
      <c r="D9" s="3135" t="s">
        <v>3070</v>
      </c>
      <c r="E9" s="3135">
        <v>4436.71</v>
      </c>
      <c r="F9" s="3135">
        <v>19965.2</v>
      </c>
      <c r="G9" s="3135" t="s">
        <v>3095</v>
      </c>
      <c r="H9" s="3135" t="s">
        <v>3096</v>
      </c>
      <c r="I9" s="3135" t="s">
        <v>3097</v>
      </c>
      <c r="J9" s="3135">
        <v>1478</v>
      </c>
      <c r="K9" s="3135">
        <v>222.09</v>
      </c>
      <c r="L9" s="3135">
        <v>740.28</v>
      </c>
      <c r="M9" s="3135" t="s">
        <v>2945</v>
      </c>
      <c r="N9" s="3135" t="s">
        <v>3074</v>
      </c>
    </row>
    <row r="10" spans="1:14">
      <c r="A10" s="3135" t="s">
        <v>3098</v>
      </c>
      <c r="B10" s="3135" t="s">
        <v>3068</v>
      </c>
      <c r="C10" s="3135" t="s">
        <v>3069</v>
      </c>
      <c r="D10" s="3135" t="s">
        <v>3070</v>
      </c>
      <c r="E10" s="3135">
        <v>15456.94</v>
      </c>
      <c r="F10" s="3135">
        <v>71101.919999999998</v>
      </c>
      <c r="G10" s="3135" t="s">
        <v>3099</v>
      </c>
      <c r="H10" s="3135" t="s">
        <v>3100</v>
      </c>
      <c r="I10" s="3135" t="s">
        <v>3101</v>
      </c>
      <c r="J10" s="3135">
        <v>18300</v>
      </c>
      <c r="K10" s="3135">
        <v>789.29</v>
      </c>
      <c r="L10" s="3135">
        <v>2573.7600000000002</v>
      </c>
      <c r="M10" s="3135">
        <v>0</v>
      </c>
      <c r="N10" s="3135" t="s">
        <v>3074</v>
      </c>
    </row>
    <row r="11" spans="1:14" s="3324" customFormat="1">
      <c r="A11" s="3324" t="s">
        <v>3172</v>
      </c>
      <c r="B11" s="3324" t="s">
        <v>3068</v>
      </c>
      <c r="C11" s="3324" t="s">
        <v>3069</v>
      </c>
      <c r="D11" s="3324" t="s">
        <v>3070</v>
      </c>
      <c r="E11" s="3324">
        <v>28263.96</v>
      </c>
      <c r="F11" s="3324">
        <v>48048.73</v>
      </c>
      <c r="G11" s="3324" t="s">
        <v>3102</v>
      </c>
      <c r="H11" s="3324" t="s">
        <v>3103</v>
      </c>
      <c r="I11" s="3324" t="s">
        <v>3174</v>
      </c>
      <c r="J11" s="3324">
        <v>15500</v>
      </c>
      <c r="K11" s="3324">
        <v>365.6</v>
      </c>
      <c r="L11" s="3324">
        <v>3225.88</v>
      </c>
      <c r="M11" s="3324" t="s">
        <v>2945</v>
      </c>
      <c r="N11" s="3324" t="s">
        <v>3074</v>
      </c>
    </row>
    <row r="12" spans="1:14" s="3324" customFormat="1">
      <c r="A12" s="3324" t="s">
        <v>3104</v>
      </c>
      <c r="B12" s="3324" t="s">
        <v>3068</v>
      </c>
      <c r="C12" s="3324" t="s">
        <v>3069</v>
      </c>
      <c r="D12" s="3324" t="s">
        <v>3070</v>
      </c>
      <c r="E12" s="3324">
        <v>7835.19</v>
      </c>
      <c r="F12" s="3324">
        <v>23505.57</v>
      </c>
      <c r="G12" s="3324" t="s">
        <v>3105</v>
      </c>
      <c r="H12" s="3324" t="s">
        <v>3106</v>
      </c>
      <c r="I12" s="3324" t="s">
        <v>3107</v>
      </c>
      <c r="J12" s="3324">
        <v>7200</v>
      </c>
      <c r="K12" s="3324">
        <v>612.62</v>
      </c>
      <c r="L12" s="3324">
        <v>3063.09</v>
      </c>
      <c r="M12" s="3324" t="s">
        <v>2945</v>
      </c>
      <c r="N12" s="3324" t="s">
        <v>3074</v>
      </c>
    </row>
    <row r="13" spans="1:14" s="3324" customFormat="1">
      <c r="A13" s="3324" t="s">
        <v>3173</v>
      </c>
      <c r="B13" s="3324" t="s">
        <v>3068</v>
      </c>
      <c r="C13" s="3324" t="s">
        <v>3069</v>
      </c>
      <c r="D13" s="3324" t="s">
        <v>3070</v>
      </c>
      <c r="E13" s="3324">
        <v>18706.259999999998</v>
      </c>
      <c r="F13" s="3324">
        <v>63601.279999999999</v>
      </c>
      <c r="G13" s="3324" t="s">
        <v>3108</v>
      </c>
      <c r="H13" s="3324" t="s">
        <v>3109</v>
      </c>
      <c r="I13" s="3324" t="s">
        <v>3110</v>
      </c>
      <c r="J13" s="3324">
        <v>22000</v>
      </c>
      <c r="K13" s="3324">
        <v>784.05</v>
      </c>
      <c r="L13" s="3324">
        <v>3459.05</v>
      </c>
      <c r="M13" s="3324">
        <v>0</v>
      </c>
      <c r="N13" s="3324" t="s">
        <v>3074</v>
      </c>
    </row>
    <row r="14" spans="1:14">
      <c r="A14" s="3135" t="s">
        <v>3111</v>
      </c>
      <c r="B14" s="3135" t="s">
        <v>3068</v>
      </c>
      <c r="C14" s="3135" t="s">
        <v>3069</v>
      </c>
      <c r="D14" s="3135" t="s">
        <v>3070</v>
      </c>
      <c r="E14" s="3135">
        <v>5802.58</v>
      </c>
      <c r="F14" s="3135">
        <v>43519.35</v>
      </c>
      <c r="G14" s="3135" t="s">
        <v>3112</v>
      </c>
      <c r="H14" s="3135" t="s">
        <v>3113</v>
      </c>
      <c r="I14" s="3135" t="s">
        <v>3114</v>
      </c>
      <c r="J14" s="3135">
        <v>2080</v>
      </c>
      <c r="K14" s="3135">
        <v>238.97</v>
      </c>
      <c r="L14" s="3135">
        <v>477.94</v>
      </c>
      <c r="M14" s="3135" t="s">
        <v>2945</v>
      </c>
      <c r="N14" s="3135" t="s">
        <v>3074</v>
      </c>
    </row>
    <row r="15" spans="1:14">
      <c r="A15" s="3135" t="s">
        <v>3115</v>
      </c>
      <c r="B15" s="3135" t="s">
        <v>3068</v>
      </c>
      <c r="C15" s="3135" t="s">
        <v>3069</v>
      </c>
      <c r="D15" s="3135" t="s">
        <v>3070</v>
      </c>
      <c r="E15" s="3135">
        <v>19701.36</v>
      </c>
      <c r="F15" s="3135">
        <v>49253.4</v>
      </c>
      <c r="G15" s="3135" t="s">
        <v>3116</v>
      </c>
      <c r="H15" s="3135" t="s">
        <v>3117</v>
      </c>
      <c r="I15" s="3135" t="s">
        <v>3073</v>
      </c>
      <c r="J15" s="3135">
        <v>5525</v>
      </c>
      <c r="K15" s="3135">
        <v>186.96</v>
      </c>
      <c r="L15" s="3135">
        <v>1121.75</v>
      </c>
      <c r="M15" s="3135" t="s">
        <v>2945</v>
      </c>
      <c r="N15" s="3135" t="s">
        <v>3074</v>
      </c>
    </row>
    <row r="16" spans="1:14">
      <c r="A16" s="3135" t="s">
        <v>3118</v>
      </c>
      <c r="B16" s="3135" t="s">
        <v>3068</v>
      </c>
      <c r="C16" s="3135" t="s">
        <v>3069</v>
      </c>
      <c r="D16" s="3135" t="s">
        <v>3070</v>
      </c>
      <c r="E16" s="3135">
        <v>118488</v>
      </c>
      <c r="F16" s="3135">
        <v>284371.20000000001</v>
      </c>
      <c r="G16" s="3135" t="s">
        <v>3119</v>
      </c>
      <c r="H16" s="3135" t="s">
        <v>3120</v>
      </c>
      <c r="I16" s="3135" t="s">
        <v>3107</v>
      </c>
      <c r="J16" s="3135">
        <v>14600</v>
      </c>
      <c r="K16" s="3135">
        <v>82.15</v>
      </c>
      <c r="L16" s="3135">
        <v>513.4</v>
      </c>
      <c r="M16" s="3135" t="s">
        <v>2945</v>
      </c>
      <c r="N16" s="3135" t="s">
        <v>3074</v>
      </c>
    </row>
    <row r="17" spans="1:14">
      <c r="A17" s="3135" t="s">
        <v>3121</v>
      </c>
      <c r="B17" s="3135" t="s">
        <v>3068</v>
      </c>
      <c r="C17" s="3135" t="s">
        <v>3069</v>
      </c>
      <c r="D17" s="3135" t="s">
        <v>3070</v>
      </c>
      <c r="E17" s="3135">
        <v>40127.129999999997</v>
      </c>
      <c r="F17" s="3135">
        <v>40127.129999999997</v>
      </c>
      <c r="G17" s="3135" t="s">
        <v>3122</v>
      </c>
      <c r="H17" s="3135" t="s">
        <v>3123</v>
      </c>
      <c r="I17" s="3135" t="s">
        <v>3101</v>
      </c>
      <c r="J17" s="3135">
        <v>6210</v>
      </c>
      <c r="K17" s="3135">
        <v>103.17</v>
      </c>
      <c r="L17" s="3135">
        <v>1547.57</v>
      </c>
      <c r="M17" s="3135">
        <v>0</v>
      </c>
      <c r="N17" s="3135" t="s">
        <v>3074</v>
      </c>
    </row>
    <row r="18" spans="1:14">
      <c r="A18" s="3135" t="s">
        <v>3124</v>
      </c>
      <c r="B18" s="3135" t="s">
        <v>3068</v>
      </c>
      <c r="C18" s="3135" t="s">
        <v>3069</v>
      </c>
      <c r="D18" s="3135" t="s">
        <v>3070</v>
      </c>
      <c r="E18" s="3135">
        <v>5009.49</v>
      </c>
      <c r="F18" s="3135">
        <v>32561.68</v>
      </c>
      <c r="G18" s="3135" t="s">
        <v>3125</v>
      </c>
      <c r="H18" s="3135" t="s">
        <v>3126</v>
      </c>
      <c r="I18" s="3135" t="s">
        <v>3127</v>
      </c>
      <c r="J18" s="3135">
        <v>3888</v>
      </c>
      <c r="K18" s="3135">
        <v>517.41999999999996</v>
      </c>
      <c r="L18" s="3135">
        <v>1194.03</v>
      </c>
      <c r="M18" s="3135">
        <v>0</v>
      </c>
      <c r="N18" s="3135" t="s">
        <v>3074</v>
      </c>
    </row>
    <row r="19" spans="1:14">
      <c r="A19" s="3135" t="s">
        <v>3128</v>
      </c>
      <c r="B19" s="3135" t="s">
        <v>3068</v>
      </c>
      <c r="C19" s="3135" t="s">
        <v>3069</v>
      </c>
      <c r="D19" s="3135" t="s">
        <v>3070</v>
      </c>
      <c r="E19" s="3135">
        <v>63120.86</v>
      </c>
      <c r="F19" s="3135">
        <v>157802.20000000001</v>
      </c>
      <c r="G19" s="3135" t="s">
        <v>3129</v>
      </c>
      <c r="H19" s="3135" t="s">
        <v>3130</v>
      </c>
      <c r="I19" s="3135" t="s">
        <v>3131</v>
      </c>
      <c r="J19" s="3135">
        <v>19000</v>
      </c>
      <c r="K19" s="3135">
        <v>200.67</v>
      </c>
      <c r="L19" s="3135">
        <v>1204.03</v>
      </c>
      <c r="M19" s="3135">
        <v>0</v>
      </c>
      <c r="N19" s="3135" t="s">
        <v>3074</v>
      </c>
    </row>
    <row r="20" spans="1:14">
      <c r="A20" s="3135" t="s">
        <v>3132</v>
      </c>
      <c r="B20" s="3135" t="s">
        <v>3068</v>
      </c>
      <c r="C20" s="3135" t="s">
        <v>3069</v>
      </c>
      <c r="D20" s="3135" t="s">
        <v>3070</v>
      </c>
      <c r="E20" s="3135">
        <v>8854.26</v>
      </c>
      <c r="F20" s="3135">
        <v>66406.95</v>
      </c>
      <c r="G20" s="3135" t="s">
        <v>3133</v>
      </c>
      <c r="H20" s="3135" t="s">
        <v>3134</v>
      </c>
      <c r="I20" s="3135" t="s">
        <v>3135</v>
      </c>
      <c r="J20" s="3135">
        <v>3240</v>
      </c>
      <c r="K20" s="3135">
        <v>243.95</v>
      </c>
      <c r="L20" s="3135">
        <v>487.89</v>
      </c>
      <c r="M20" s="3135">
        <v>0</v>
      </c>
      <c r="N20" s="3135" t="s">
        <v>3074</v>
      </c>
    </row>
    <row r="21" spans="1:14">
      <c r="A21" s="3135" t="s">
        <v>3136</v>
      </c>
      <c r="B21" s="3135" t="s">
        <v>3068</v>
      </c>
      <c r="C21" s="3135" t="s">
        <v>3069</v>
      </c>
      <c r="D21" s="3135" t="s">
        <v>3070</v>
      </c>
      <c r="E21" s="3135">
        <v>36281</v>
      </c>
      <c r="F21" s="3135">
        <v>108843</v>
      </c>
      <c r="G21" s="3135" t="s">
        <v>3137</v>
      </c>
      <c r="H21" s="3135" t="s">
        <v>3138</v>
      </c>
      <c r="I21" s="3135" t="s">
        <v>3073</v>
      </c>
      <c r="J21" s="3135">
        <v>10968</v>
      </c>
      <c r="K21" s="3135">
        <v>201.54</v>
      </c>
      <c r="L21" s="3135">
        <v>1007.69</v>
      </c>
      <c r="M21" s="3135" t="s">
        <v>2945</v>
      </c>
      <c r="N21" s="3135" t="s">
        <v>3074</v>
      </c>
    </row>
    <row r="22" spans="1:14">
      <c r="A22" s="3135" t="s">
        <v>3139</v>
      </c>
      <c r="B22" s="3135" t="s">
        <v>3068</v>
      </c>
      <c r="C22" s="3135" t="s">
        <v>3069</v>
      </c>
      <c r="D22" s="3135" t="s">
        <v>3070</v>
      </c>
      <c r="E22" s="3135">
        <v>5804.48</v>
      </c>
      <c r="F22" s="3135">
        <v>37729.120000000003</v>
      </c>
      <c r="G22" s="3135" t="s">
        <v>3140</v>
      </c>
      <c r="H22" s="3135" t="s">
        <v>3141</v>
      </c>
      <c r="I22" s="3135" t="s">
        <v>3142</v>
      </c>
      <c r="J22" s="3135">
        <v>1934</v>
      </c>
      <c r="K22" s="3135">
        <v>222.13</v>
      </c>
      <c r="L22" s="3135">
        <v>512.6</v>
      </c>
      <c r="M22" s="3135">
        <v>0</v>
      </c>
      <c r="N22" s="3135" t="s">
        <v>3074</v>
      </c>
    </row>
    <row r="23" spans="1:14">
      <c r="A23" s="3135" t="s">
        <v>3139</v>
      </c>
      <c r="B23" s="3135" t="s">
        <v>3068</v>
      </c>
      <c r="C23" s="3135" t="s">
        <v>3069</v>
      </c>
      <c r="D23" s="3135" t="s">
        <v>3070</v>
      </c>
      <c r="E23" s="3135">
        <v>5009.49</v>
      </c>
      <c r="F23" s="3135">
        <v>27552.2</v>
      </c>
      <c r="G23" s="3135" t="s">
        <v>3143</v>
      </c>
      <c r="H23" s="3135" t="s">
        <v>3141</v>
      </c>
      <c r="I23" s="3135" t="s">
        <v>3144</v>
      </c>
      <c r="J23" s="3135">
        <v>1669</v>
      </c>
      <c r="K23" s="3135">
        <v>222.11</v>
      </c>
      <c r="L23" s="3135">
        <v>605.75</v>
      </c>
      <c r="M23" s="3135">
        <v>0</v>
      </c>
      <c r="N23" s="3135" t="s">
        <v>3074</v>
      </c>
    </row>
    <row r="24" spans="1:14">
      <c r="A24" s="3135" t="s">
        <v>3145</v>
      </c>
      <c r="B24" s="3135" t="s">
        <v>3068</v>
      </c>
      <c r="C24" s="3135" t="s">
        <v>3069</v>
      </c>
      <c r="D24" s="3135" t="s">
        <v>3070</v>
      </c>
      <c r="E24" s="3135">
        <v>5983.6</v>
      </c>
      <c r="F24" s="3135">
        <v>8975.4</v>
      </c>
      <c r="G24" s="3135" t="s">
        <v>3146</v>
      </c>
      <c r="H24" s="3135" t="s">
        <v>3141</v>
      </c>
      <c r="I24" s="3135" t="s">
        <v>3082</v>
      </c>
      <c r="J24" s="3135">
        <v>561</v>
      </c>
      <c r="K24" s="3135">
        <v>62.5</v>
      </c>
      <c r="L24" s="3135">
        <v>625.03</v>
      </c>
      <c r="M24" s="3135">
        <v>0</v>
      </c>
      <c r="N24" s="3135" t="s">
        <v>3147</v>
      </c>
    </row>
    <row r="25" spans="1:14">
      <c r="A25" s="3135" t="s">
        <v>3139</v>
      </c>
      <c r="B25" s="3135" t="s">
        <v>3068</v>
      </c>
      <c r="C25" s="3135" t="s">
        <v>3069</v>
      </c>
      <c r="D25" s="3135" t="s">
        <v>3070</v>
      </c>
      <c r="E25" s="3135">
        <v>6254.23</v>
      </c>
      <c r="F25" s="3135">
        <v>50033.84</v>
      </c>
      <c r="G25" s="3135" t="s">
        <v>3148</v>
      </c>
      <c r="H25" s="3135" t="s">
        <v>3141</v>
      </c>
      <c r="I25" s="3135" t="s">
        <v>3149</v>
      </c>
      <c r="J25" s="3135">
        <v>2084</v>
      </c>
      <c r="K25" s="3135">
        <v>222.14</v>
      </c>
      <c r="L25" s="3135">
        <v>416.51</v>
      </c>
      <c r="M25" s="3135">
        <v>0</v>
      </c>
      <c r="N25" s="3135" t="s">
        <v>3074</v>
      </c>
    </row>
    <row r="26" spans="1:14">
      <c r="A26" s="3135" t="s">
        <v>3150</v>
      </c>
      <c r="B26" s="3135" t="s">
        <v>3068</v>
      </c>
      <c r="C26" s="3135" t="s">
        <v>3069</v>
      </c>
      <c r="D26" s="3135" t="s">
        <v>3070</v>
      </c>
      <c r="E26" s="3135">
        <v>20008.66</v>
      </c>
      <c r="F26" s="3135">
        <v>32013.86</v>
      </c>
      <c r="G26" s="3135" t="s">
        <v>3151</v>
      </c>
      <c r="H26" s="3135" t="s">
        <v>3152</v>
      </c>
      <c r="I26" s="3135" t="s">
        <v>3153</v>
      </c>
      <c r="J26" s="3135">
        <v>1110.48</v>
      </c>
      <c r="K26" s="3135">
        <v>37</v>
      </c>
      <c r="L26" s="3135">
        <v>346.87</v>
      </c>
      <c r="M26" s="3135" t="s">
        <v>2945</v>
      </c>
      <c r="N26" s="3135" t="s">
        <v>3154</v>
      </c>
    </row>
    <row r="27" spans="1:14">
      <c r="A27" s="3135" t="s">
        <v>3155</v>
      </c>
      <c r="B27" s="3135" t="s">
        <v>3068</v>
      </c>
      <c r="C27" s="3135" t="s">
        <v>3069</v>
      </c>
      <c r="D27" s="3135" t="s">
        <v>3070</v>
      </c>
      <c r="E27" s="3135">
        <v>26665.3</v>
      </c>
      <c r="F27" s="3135">
        <v>42664.480000000003</v>
      </c>
      <c r="G27" s="3135" t="s">
        <v>3151</v>
      </c>
      <c r="H27" s="3135" t="s">
        <v>3156</v>
      </c>
      <c r="I27" s="3135" t="s">
        <v>3157</v>
      </c>
      <c r="J27" s="3135">
        <v>1399.93</v>
      </c>
      <c r="K27" s="3135">
        <v>35</v>
      </c>
      <c r="L27" s="3135">
        <v>328.12</v>
      </c>
      <c r="M27" s="3135" t="s">
        <v>2945</v>
      </c>
      <c r="N27" s="3135" t="s">
        <v>3154</v>
      </c>
    </row>
    <row r="28" spans="1:14">
      <c r="A28" s="3135" t="s">
        <v>3158</v>
      </c>
      <c r="B28" s="3135" t="s">
        <v>3068</v>
      </c>
      <c r="C28" s="3135" t="s">
        <v>3069</v>
      </c>
      <c r="D28" s="3135" t="s">
        <v>3070</v>
      </c>
      <c r="E28" s="3135">
        <v>24460.7</v>
      </c>
      <c r="F28" s="3135">
        <v>39137.120000000003</v>
      </c>
      <c r="G28" s="3135" t="s">
        <v>3151</v>
      </c>
      <c r="H28" s="3135" t="s">
        <v>3156</v>
      </c>
      <c r="I28" s="3135" t="s">
        <v>3159</v>
      </c>
      <c r="J28" s="3135">
        <v>1284.19</v>
      </c>
      <c r="K28" s="3135">
        <v>35</v>
      </c>
      <c r="L28" s="3135">
        <v>328.12</v>
      </c>
      <c r="M28" s="3135" t="s">
        <v>2945</v>
      </c>
      <c r="N28" s="3135" t="s">
        <v>3154</v>
      </c>
    </row>
    <row r="29" spans="1:14">
      <c r="A29" s="3135" t="s">
        <v>3160</v>
      </c>
      <c r="B29" s="3135" t="s">
        <v>3068</v>
      </c>
      <c r="C29" s="3135" t="s">
        <v>3069</v>
      </c>
      <c r="D29" s="3135" t="s">
        <v>3070</v>
      </c>
      <c r="E29" s="3135">
        <v>26652.16</v>
      </c>
      <c r="F29" s="3135">
        <v>42643.46</v>
      </c>
      <c r="G29" s="3135" t="s">
        <v>3151</v>
      </c>
      <c r="H29" s="3135" t="s">
        <v>3156</v>
      </c>
      <c r="I29" s="3135" t="s">
        <v>3161</v>
      </c>
      <c r="J29" s="3135">
        <v>1399.24</v>
      </c>
      <c r="K29" s="3135">
        <v>35</v>
      </c>
      <c r="L29" s="3135">
        <v>328.12</v>
      </c>
      <c r="M29" s="3135" t="s">
        <v>2945</v>
      </c>
      <c r="N29" s="3135" t="s">
        <v>3154</v>
      </c>
    </row>
    <row r="30" spans="1:14">
      <c r="A30" s="3135" t="s">
        <v>3162</v>
      </c>
      <c r="B30" s="3135" t="s">
        <v>3068</v>
      </c>
      <c r="C30" s="3135" t="s">
        <v>3069</v>
      </c>
      <c r="D30" s="3135" t="s">
        <v>3070</v>
      </c>
      <c r="E30" s="3135">
        <v>26667.27</v>
      </c>
      <c r="F30" s="3135">
        <v>42667.63</v>
      </c>
      <c r="G30" s="3135" t="s">
        <v>3151</v>
      </c>
      <c r="H30" s="3135" t="s">
        <v>3156</v>
      </c>
      <c r="I30" s="3135" t="s">
        <v>3163</v>
      </c>
      <c r="J30" s="3135">
        <v>1400</v>
      </c>
      <c r="K30" s="3135">
        <v>35</v>
      </c>
      <c r="L30" s="3135">
        <v>328.12</v>
      </c>
      <c r="M30" s="3135" t="s">
        <v>2945</v>
      </c>
      <c r="N30" s="3135" t="s">
        <v>3154</v>
      </c>
    </row>
    <row r="31" spans="1:14">
      <c r="A31" s="3135" t="s">
        <v>3164</v>
      </c>
      <c r="B31" s="3135" t="s">
        <v>3068</v>
      </c>
      <c r="C31" s="3135" t="s">
        <v>3069</v>
      </c>
      <c r="D31" s="3135" t="s">
        <v>3070</v>
      </c>
      <c r="E31" s="3135">
        <v>2968.6</v>
      </c>
      <c r="F31" s="3135">
        <v>593.72</v>
      </c>
      <c r="G31" s="3135" t="s">
        <v>3165</v>
      </c>
      <c r="H31" s="3135" t="s">
        <v>3166</v>
      </c>
      <c r="I31" s="3135" t="s">
        <v>3167</v>
      </c>
      <c r="J31" s="3135">
        <v>750</v>
      </c>
      <c r="K31" s="3135">
        <v>168.43</v>
      </c>
      <c r="L31" s="3135">
        <v>12632.21</v>
      </c>
      <c r="M31" s="3135" t="s">
        <v>2945</v>
      </c>
      <c r="N31" s="3135" t="s">
        <v>3074</v>
      </c>
    </row>
  </sheetData>
  <phoneticPr fontId="20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activeCell="F10" sqref="F1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909</v>
      </c>
      <c r="B1" s="669"/>
      <c r="C1" s="2385" t="s">
        <v>3268</v>
      </c>
      <c r="D1" s="1273"/>
      <c r="E1" s="2578" t="s">
        <v>2450</v>
      </c>
      <c r="F1" s="2579">
        <f ca="1">J53</f>
        <v>48.49</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819</v>
      </c>
      <c r="B2" s="1406">
        <f ca="1">C40+J29+L46</f>
        <v>22175</v>
      </c>
      <c r="C2" s="1299" t="s">
        <v>1103</v>
      </c>
      <c r="D2" s="1275"/>
      <c r="E2" s="2568"/>
      <c r="F2" s="1276"/>
      <c r="G2" s="2280"/>
      <c r="H2" s="1274"/>
      <c r="I2" s="1274"/>
      <c r="J2" s="1274"/>
      <c r="K2" s="1298"/>
      <c r="L2" s="1274"/>
      <c r="M2" s="1274"/>
    </row>
    <row r="3" spans="1:37" ht="18" customHeight="1" thickBot="1">
      <c r="A3" s="674" t="s">
        <v>820</v>
      </c>
      <c r="B3" s="1407">
        <f ca="1">IF(ISERROR(B2*10000/F43),0,ROUND(B2*10000/F43,0))</f>
        <v>3574</v>
      </c>
      <c r="C3" s="1299" t="s">
        <v>1104</v>
      </c>
      <c r="D3" s="1275"/>
      <c r="E3" s="2568"/>
      <c r="F3" s="1276"/>
      <c r="G3" s="2280"/>
      <c r="H3" s="675" t="s">
        <v>910</v>
      </c>
      <c r="I3" s="1274"/>
      <c r="J3" s="1274"/>
      <c r="K3" s="1298"/>
      <c r="L3" s="1274"/>
      <c r="M3" s="1274"/>
    </row>
    <row r="4" spans="1:37" ht="18" customHeight="1">
      <c r="A4" s="676" t="s">
        <v>911</v>
      </c>
      <c r="B4" s="677" t="s">
        <v>912</v>
      </c>
      <c r="C4" s="677" t="s">
        <v>913</v>
      </c>
      <c r="D4" s="677" t="s">
        <v>914</v>
      </c>
      <c r="E4" s="678" t="s">
        <v>915</v>
      </c>
      <c r="F4" s="679"/>
      <c r="G4" s="2281"/>
      <c r="H4" s="676" t="s">
        <v>911</v>
      </c>
      <c r="I4" s="677" t="s">
        <v>912</v>
      </c>
      <c r="J4" s="677" t="s">
        <v>913</v>
      </c>
      <c r="K4" s="677" t="s">
        <v>914</v>
      </c>
      <c r="L4" s="678" t="s">
        <v>915</v>
      </c>
      <c r="M4" s="679"/>
    </row>
    <row r="5" spans="1:37" ht="18" customHeight="1">
      <c r="A5" s="680">
        <v>1</v>
      </c>
      <c r="B5" s="681" t="s">
        <v>2540</v>
      </c>
      <c r="C5" s="2619">
        <f ca="1">C6+C10+C12</f>
        <v>1542</v>
      </c>
      <c r="D5" s="2629" t="s">
        <v>2542</v>
      </c>
      <c r="E5" s="2620"/>
      <c r="F5" s="2621"/>
      <c r="G5" s="2281"/>
      <c r="H5" s="680">
        <v>1</v>
      </c>
      <c r="I5" s="681" t="s">
        <v>2540</v>
      </c>
      <c r="J5" s="2619">
        <f ca="1">J6+J10+J12</f>
        <v>0</v>
      </c>
      <c r="K5" s="2622" t="s">
        <v>2542</v>
      </c>
      <c r="L5" s="2620"/>
      <c r="M5" s="2621"/>
    </row>
    <row r="6" spans="1:37" ht="18" customHeight="1">
      <c r="A6" s="2615" t="s">
        <v>2547</v>
      </c>
      <c r="B6" s="3648" t="s">
        <v>2541</v>
      </c>
      <c r="C6" s="2624">
        <f ca="1">ROUND(F6*F8*F7*(1-F9)/10000,0)</f>
        <v>1540</v>
      </c>
      <c r="D6" s="2618" t="s">
        <v>2543</v>
      </c>
      <c r="E6" s="683" t="s">
        <v>916</v>
      </c>
      <c r="F6" s="684">
        <f ca="1">INDIRECT("'数据-取费表'!u"&amp;$G$1)</f>
        <v>0.8</v>
      </c>
      <c r="G6" s="2281"/>
      <c r="H6" s="2615" t="s">
        <v>2550</v>
      </c>
      <c r="I6" s="3648" t="s">
        <v>2541</v>
      </c>
      <c r="J6" s="682">
        <f ca="1">ROUND(M6*M8*M7*(1-M9)/10000,0)</f>
        <v>0</v>
      </c>
      <c r="K6" s="2618" t="s">
        <v>2543</v>
      </c>
      <c r="L6" s="683" t="s">
        <v>916</v>
      </c>
      <c r="M6" s="684">
        <f ca="1">INDIRECT("'数据-取费表'!z"&amp;$G$1)</f>
        <v>0</v>
      </c>
    </row>
    <row r="7" spans="1:37" ht="18" customHeight="1">
      <c r="A7" s="2623"/>
      <c r="B7" s="3649"/>
      <c r="C7" s="2625"/>
      <c r="D7" s="2054"/>
      <c r="E7" s="2626" t="s">
        <v>917</v>
      </c>
      <c r="F7" s="684">
        <f ca="1">IF(INDIRECT("'数据-取费表'!ah"&amp;$G$1)="",INDIRECT("'数据-取费表'!k"&amp;$G$1),INDIRECT("'数据-取费表'!ah"&amp;$G$1))</f>
        <v>62053.11</v>
      </c>
      <c r="G7" s="2281"/>
      <c r="H7" s="685"/>
      <c r="I7" s="3649"/>
      <c r="J7" s="687"/>
      <c r="K7" s="688"/>
      <c r="L7" s="683" t="s">
        <v>917</v>
      </c>
      <c r="M7" s="684">
        <f ca="1">F7</f>
        <v>62053.11</v>
      </c>
    </row>
    <row r="8" spans="1:37" ht="18" customHeight="1">
      <c r="A8" s="685"/>
      <c r="B8" s="3649"/>
      <c r="C8" s="687"/>
      <c r="D8" s="688"/>
      <c r="E8" s="683" t="s">
        <v>918</v>
      </c>
      <c r="F8" s="684">
        <f ca="1">INDIRECT("'数据-取费表'!ai"&amp;$G$1)</f>
        <v>365</v>
      </c>
      <c r="G8" s="2281"/>
      <c r="H8" s="685"/>
      <c r="I8" s="3649"/>
      <c r="J8" s="687"/>
      <c r="K8" s="688"/>
      <c r="L8" s="683" t="s">
        <v>918</v>
      </c>
      <c r="M8" s="684">
        <f ca="1">INDIRECT("'数据-取费表'!ai"&amp;$G$1)</f>
        <v>365</v>
      </c>
    </row>
    <row r="9" spans="1:37" ht="18" customHeight="1">
      <c r="A9" s="685"/>
      <c r="B9" s="3650"/>
      <c r="C9" s="687"/>
      <c r="D9" s="688"/>
      <c r="E9" s="683" t="s">
        <v>919</v>
      </c>
      <c r="F9" s="693">
        <f ca="1">INDIRECT("'数据-取费表'!w"&amp;$G$1)</f>
        <v>0.15</v>
      </c>
      <c r="G9" s="2281"/>
      <c r="H9" s="685"/>
      <c r="I9" s="3650"/>
      <c r="J9" s="687"/>
      <c r="K9" s="688"/>
      <c r="L9" s="694" t="s">
        <v>919</v>
      </c>
      <c r="M9" s="695">
        <f ca="1">INDIRECT("'数据-取费表'!ab"&amp;$G$1)</f>
        <v>0</v>
      </c>
    </row>
    <row r="10" spans="1:37" ht="18" customHeight="1">
      <c r="A10" s="2615" t="s">
        <v>2548</v>
      </c>
      <c r="B10" s="2616" t="s">
        <v>2536</v>
      </c>
      <c r="C10" s="697">
        <f ca="1">ROUND(IF(F10="押一",F6*F8*F7/12*F11,IF(F10="押二",F6*F8*F7/12*2*F11,IF(F10="押三",F6*F8*F7/12*3*F11,C11*F11)))/10000,0)</f>
        <v>2</v>
      </c>
      <c r="D10" s="2627" t="s">
        <v>2544</v>
      </c>
      <c r="E10" s="2090" t="s">
        <v>2538</v>
      </c>
      <c r="F10" s="2824" t="s">
        <v>3050</v>
      </c>
      <c r="G10" s="2281"/>
      <c r="H10" s="2615" t="s">
        <v>2551</v>
      </c>
      <c r="I10" s="2616" t="s">
        <v>2536</v>
      </c>
      <c r="J10" s="682">
        <f ca="1">ROUND(IF(M10="押一",M6*M8*M7/12*M11,IF(M10="押二",M6*M8*M7/12*2*M11,IF(M10="押三",M6*M8*M7/12*3*M11,J11*M11)))/10000,0)</f>
        <v>0</v>
      </c>
      <c r="K10" s="2627" t="s">
        <v>2544</v>
      </c>
      <c r="L10" s="2090" t="s">
        <v>2538</v>
      </c>
      <c r="M10" s="2722" t="s">
        <v>2630</v>
      </c>
    </row>
    <row r="11" spans="1:37" ht="18" customHeight="1">
      <c r="A11" s="689"/>
      <c r="B11" s="2617" t="s">
        <v>2703</v>
      </c>
      <c r="C11" s="2408"/>
      <c r="D11" s="2863"/>
      <c r="E11" s="2090" t="s">
        <v>2539</v>
      </c>
      <c r="F11" s="695">
        <f ca="1">'数据-取费表'!B39</f>
        <v>1.4999999999999999E-2</v>
      </c>
      <c r="G11" s="2281"/>
      <c r="H11" s="2628"/>
      <c r="I11" s="2617" t="s">
        <v>2703</v>
      </c>
      <c r="J11" s="2408"/>
      <c r="K11" s="1280"/>
      <c r="L11" s="2090" t="s">
        <v>2539</v>
      </c>
      <c r="M11" s="2089">
        <f ca="1">'数据-取费表'!B39</f>
        <v>1.4999999999999999E-2</v>
      </c>
    </row>
    <row r="12" spans="1:37" ht="18" customHeight="1" thickBot="1">
      <c r="A12" s="2663" t="s">
        <v>2549</v>
      </c>
      <c r="B12" s="2664" t="s">
        <v>2537</v>
      </c>
      <c r="C12" s="2665"/>
      <c r="D12" s="2666"/>
      <c r="E12" s="2667"/>
      <c r="F12" s="2668"/>
      <c r="G12" s="2281"/>
      <c r="H12" s="2663" t="s">
        <v>2552</v>
      </c>
      <c r="I12" s="2664" t="s">
        <v>2537</v>
      </c>
      <c r="J12" s="2665"/>
      <c r="K12" s="2682"/>
      <c r="L12" s="2667"/>
      <c r="M12" s="2683"/>
    </row>
    <row r="13" spans="1:37" ht="18" customHeight="1" thickTop="1">
      <c r="A13" s="2659">
        <v>2</v>
      </c>
      <c r="B13" s="2660" t="s">
        <v>920</v>
      </c>
      <c r="C13" s="691">
        <f ca="1">ROUND(C29*F13,0)</f>
        <v>13202</v>
      </c>
      <c r="D13" s="2661" t="s">
        <v>921</v>
      </c>
      <c r="E13" s="2661" t="s">
        <v>922</v>
      </c>
      <c r="F13" s="2662">
        <f ca="1">INDIRECT("'数据-取费表'!y"&amp;$G$1)</f>
        <v>1</v>
      </c>
      <c r="G13" s="2281"/>
      <c r="H13" s="2659">
        <v>2</v>
      </c>
      <c r="I13" s="2660" t="s">
        <v>920</v>
      </c>
      <c r="J13" s="2614">
        <f ca="1">ROUND(J14*J15,0)</f>
        <v>0</v>
      </c>
      <c r="K13" s="2669" t="s">
        <v>921</v>
      </c>
      <c r="L13" s="2680"/>
      <c r="M13" s="2681"/>
    </row>
    <row r="14" spans="1:37" ht="18" customHeight="1">
      <c r="A14" s="2431" t="s">
        <v>2377</v>
      </c>
      <c r="B14" s="683" t="s">
        <v>357</v>
      </c>
      <c r="C14" s="701">
        <f ca="1">INDIRECT("'数据-取费表'!m"&amp;$G$1)+INDIRECT("'数据-取费表'!t"&amp;$G$1)</f>
        <v>8802</v>
      </c>
      <c r="D14" s="2208" t="s">
        <v>923</v>
      </c>
      <c r="E14" s="2207"/>
      <c r="F14" s="702"/>
      <c r="G14" s="2281"/>
      <c r="H14" s="2431" t="s">
        <v>2380</v>
      </c>
      <c r="I14" s="683" t="s">
        <v>924</v>
      </c>
      <c r="J14" s="313">
        <f ca="1">C29</f>
        <v>13202</v>
      </c>
      <c r="K14" s="303"/>
      <c r="L14" s="699"/>
      <c r="M14" s="700"/>
    </row>
    <row r="15" spans="1:37" s="705" customFormat="1" ht="18" customHeight="1" thickBot="1">
      <c r="A15" s="2431" t="s">
        <v>2613</v>
      </c>
      <c r="B15" s="683" t="s">
        <v>358</v>
      </c>
      <c r="C15" s="313">
        <f ca="1">ROUND(C14*F15,0)</f>
        <v>264</v>
      </c>
      <c r="D15" s="703" t="s">
        <v>925</v>
      </c>
      <c r="E15" s="703" t="s">
        <v>926</v>
      </c>
      <c r="F15" s="704">
        <f>'数据-取费表'!B33</f>
        <v>0.03</v>
      </c>
      <c r="G15" s="2282"/>
      <c r="H15" s="2671" t="s">
        <v>2387</v>
      </c>
      <c r="I15" s="2672" t="s">
        <v>922</v>
      </c>
      <c r="J15" s="2683">
        <f ca="1">INDIRECT("'数据-取费表'!ad"&amp;$G$1)</f>
        <v>0</v>
      </c>
      <c r="K15" s="2684"/>
      <c r="L15" s="2685"/>
      <c r="M15" s="2686"/>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1" t="s">
        <v>2614</v>
      </c>
      <c r="B16" s="683" t="s">
        <v>359</v>
      </c>
      <c r="C16" s="313">
        <f ca="1">ROUND(INDIRECT("'数据-取费表'!m"&amp;$G$1)*F16,0)</f>
        <v>0</v>
      </c>
      <c r="D16" s="683" t="s">
        <v>925</v>
      </c>
      <c r="E16" s="683" t="s">
        <v>926</v>
      </c>
      <c r="F16" s="706">
        <f ca="1">IF(INDIRECT("'数据-取费表'!c"&amp;$G$1)="住宅",'数据-取费表'!B34,0)</f>
        <v>0</v>
      </c>
      <c r="G16" s="2281"/>
      <c r="H16" s="2659" t="s">
        <v>2345</v>
      </c>
      <c r="I16" s="2660" t="s">
        <v>927</v>
      </c>
      <c r="J16" s="691">
        <f ca="1">ROUND(J17+J22+J23+J24,0)</f>
        <v>448</v>
      </c>
      <c r="K16" s="2669" t="s">
        <v>928</v>
      </c>
      <c r="L16" s="2670"/>
      <c r="M16" s="2621"/>
    </row>
    <row r="17" spans="1:37" s="705" customFormat="1" ht="18" customHeight="1">
      <c r="A17" s="2431" t="s">
        <v>2615</v>
      </c>
      <c r="B17" s="683" t="s">
        <v>360</v>
      </c>
      <c r="C17" s="313">
        <f ca="1">ROUND(F17*(F43+INDIRECT("'数据-取费表'!S"&amp;$G$1))/10000,0)</f>
        <v>1320</v>
      </c>
      <c r="D17" s="683" t="s">
        <v>929</v>
      </c>
      <c r="E17" s="683" t="s">
        <v>930</v>
      </c>
      <c r="F17" s="315">
        <f>'数据-取费表'!B35</f>
        <v>150</v>
      </c>
      <c r="G17" s="2282"/>
      <c r="H17" s="2431" t="s">
        <v>2380</v>
      </c>
      <c r="I17" s="683" t="s">
        <v>361</v>
      </c>
      <c r="J17" s="313">
        <f ca="1">ROUND(IF(项目基本情况!B11="自然人",J5*M17,J18+J19+J20),1)</f>
        <v>183.7</v>
      </c>
      <c r="K17" s="2208" t="s">
        <v>931</v>
      </c>
      <c r="L17" s="2206" t="s">
        <v>932</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1" t="s">
        <v>2616</v>
      </c>
      <c r="B18" s="683" t="s">
        <v>362</v>
      </c>
      <c r="C18" s="313">
        <f ca="1">ROUND(C14*F18,0)</f>
        <v>132</v>
      </c>
      <c r="D18" s="683" t="s">
        <v>925</v>
      </c>
      <c r="E18" s="683" t="s">
        <v>926</v>
      </c>
      <c r="F18" s="706">
        <f>'数据-取费表'!B36</f>
        <v>1.4999999999999999E-2</v>
      </c>
      <c r="G18" s="2282"/>
      <c r="H18" s="2431" t="s">
        <v>2377</v>
      </c>
      <c r="I18" s="683" t="s">
        <v>933</v>
      </c>
      <c r="J18" s="313">
        <f ca="1">ROUND(J5*M18/(1+'数据-取费表'!C42),2)</f>
        <v>0</v>
      </c>
      <c r="K18" s="2206" t="s">
        <v>934</v>
      </c>
      <c r="L18" s="683" t="s">
        <v>926</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1" t="s">
        <v>2547</v>
      </c>
      <c r="B19" s="683" t="s">
        <v>364</v>
      </c>
      <c r="C19" s="313">
        <f ca="1">SUM(C14:C18)</f>
        <v>10518</v>
      </c>
      <c r="D19" s="470" t="s">
        <v>935</v>
      </c>
      <c r="E19" s="2216"/>
      <c r="F19" s="315"/>
      <c r="G19" s="2281"/>
      <c r="H19" s="2431" t="s">
        <v>2613</v>
      </c>
      <c r="I19" s="683" t="s">
        <v>936</v>
      </c>
      <c r="J19" s="313">
        <f ca="1">IF(K19="按租金收入计税",ROUND(J5*M19,2),ROUND(C29*M19*0.7,2))</f>
        <v>110.9</v>
      </c>
      <c r="K19" s="1300" t="s">
        <v>2420</v>
      </c>
      <c r="L19" s="683" t="s">
        <v>926</v>
      </c>
      <c r="M19" s="706">
        <f>IF(K19="按租金收入计税",'数据-取费表'!B51,'数据-取费表'!B50)</f>
        <v>1.2E-2</v>
      </c>
    </row>
    <row r="20" spans="1:37" s="705" customFormat="1" ht="18" customHeight="1">
      <c r="A20" s="2431" t="s">
        <v>2617</v>
      </c>
      <c r="B20" s="683" t="s">
        <v>365</v>
      </c>
      <c r="C20" s="313">
        <f ca="1">ROUND(C19*F20,0)</f>
        <v>158</v>
      </c>
      <c r="D20" s="708" t="s">
        <v>937</v>
      </c>
      <c r="E20" s="683" t="s">
        <v>926</v>
      </c>
      <c r="F20" s="706">
        <f>'数据-取费表'!B37</f>
        <v>1.4999999999999999E-2</v>
      </c>
      <c r="G20" s="2282"/>
      <c r="H20" s="2431" t="s">
        <v>2614</v>
      </c>
      <c r="I20" s="495" t="s">
        <v>938</v>
      </c>
      <c r="J20" s="314">
        <f ca="1">ROUND(M20*M21/10000,2)</f>
        <v>72.84</v>
      </c>
      <c r="K20" s="709" t="s">
        <v>939</v>
      </c>
      <c r="L20" s="683" t="s">
        <v>940</v>
      </c>
      <c r="M20" s="710">
        <f>'数据-取费表'!B52</f>
        <v>7</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1" t="s">
        <v>2618</v>
      </c>
      <c r="B21" s="683" t="s">
        <v>941</v>
      </c>
      <c r="C21" s="313" t="s">
        <v>71</v>
      </c>
      <c r="D21" s="708" t="s">
        <v>942</v>
      </c>
      <c r="E21" s="683" t="s">
        <v>943</v>
      </c>
      <c r="F21" s="706">
        <f>'数据-取费表'!B38</f>
        <v>2.5000000000000001E-2</v>
      </c>
      <c r="G21" s="2282"/>
      <c r="H21" s="711"/>
      <c r="I21" s="692"/>
      <c r="J21" s="318"/>
      <c r="K21" s="712"/>
      <c r="L21" s="683" t="s">
        <v>944</v>
      </c>
      <c r="M21" s="684">
        <f ca="1">INDIRECT("'数据-取费表'!r"&amp;$G$1)</f>
        <v>104051.87</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1" t="s">
        <v>2619</v>
      </c>
      <c r="B22" s="683" t="s">
        <v>945</v>
      </c>
      <c r="C22" s="313"/>
      <c r="D22" s="2694" t="str">
        <f>IF(F23&lt;=1,"单利计息。","复利计息。")&amp;"建造成本、管理费用、销售费用产生的利息。"</f>
        <v>复利计息。建造成本、管理费用、销售费用产生的利息。</v>
      </c>
      <c r="E22" s="2216"/>
      <c r="F22" s="315"/>
      <c r="G22" s="2281"/>
      <c r="H22" s="2431" t="s">
        <v>2387</v>
      </c>
      <c r="I22" s="683" t="s">
        <v>946</v>
      </c>
      <c r="J22" s="313">
        <f ca="1">ROUND(J14*M22,1)</f>
        <v>264</v>
      </c>
      <c r="K22" s="2206" t="s">
        <v>947</v>
      </c>
      <c r="L22" s="683" t="s">
        <v>926</v>
      </c>
      <c r="M22" s="713">
        <f ca="1">INDIRECT("'数据-取费表'!Ak"&amp;$G$1)</f>
        <v>0.02</v>
      </c>
    </row>
    <row r="23" spans="1:37" s="705" customFormat="1" ht="18" customHeight="1">
      <c r="A23" s="2431" t="s">
        <v>2377</v>
      </c>
      <c r="B23" s="683" t="s">
        <v>2533</v>
      </c>
      <c r="C23" s="313">
        <f ca="1">IF('数据-取费表'!B22&lt;=1,ROUND(C19*F24*F23/2,0)+ROUND(C20*F24*F23/2,0),ROUND(C19*(POWER((1+F24),F23/2)-1),0)+ROUND(C20*(POWER((1+F24),F23/2)-1),0))</f>
        <v>379</v>
      </c>
      <c r="D23" s="2698" t="str">
        <f>IF(F23&lt;=1,"(建造成本+管理费用)×利率×(建设周期÷2)","(建造成本+管理费用)×((1+利率)^(建设周期÷2)-1)")</f>
        <v>(建造成本+管理费用)×((1+利率)^(建设周期÷2)-1)</v>
      </c>
      <c r="E23" s="683" t="s">
        <v>948</v>
      </c>
      <c r="F23" s="710">
        <f>'数据-取费表'!B20</f>
        <v>1.5</v>
      </c>
      <c r="G23" s="2282"/>
      <c r="H23" s="2431" t="s">
        <v>2618</v>
      </c>
      <c r="I23" s="683" t="s">
        <v>366</v>
      </c>
      <c r="J23" s="313">
        <f ca="1">ROUND(J13*M23,1)</f>
        <v>0</v>
      </c>
      <c r="K23" s="2206" t="s">
        <v>949</v>
      </c>
      <c r="L23" s="683" t="s">
        <v>926</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1" t="s">
        <v>2383</v>
      </c>
      <c r="B24" s="683" t="s">
        <v>950</v>
      </c>
      <c r="C24" s="313">
        <f ca="1">ROUND(IF('数据-取费表'!B22&lt;=1,F21*F24*F23/2,F21*(POWER((1+F24),F23/2)-1)),4)</f>
        <v>8.9999999999999998E-4</v>
      </c>
      <c r="D24" s="2698" t="str">
        <f>IF(F23&lt;=1,"销售费用×利率×(建设周期÷2)","销售费用×((1+利率)^(建设周期÷2)-1)")</f>
        <v>销售费用×((1+利率)^(建设周期÷2)-1)</v>
      </c>
      <c r="E24" s="683" t="s">
        <v>951</v>
      </c>
      <c r="F24" s="716">
        <f ca="1">'数据-取费表'!B40</f>
        <v>4.7500000000000001E-2</v>
      </c>
      <c r="G24" s="2282"/>
      <c r="H24" s="2671" t="s">
        <v>2619</v>
      </c>
      <c r="I24" s="2672" t="s">
        <v>365</v>
      </c>
      <c r="J24" s="2673">
        <f ca="1">ROUND(J5*M24,1)</f>
        <v>0</v>
      </c>
      <c r="K24" s="2674" t="s">
        <v>952</v>
      </c>
      <c r="L24" s="2672" t="s">
        <v>926</v>
      </c>
      <c r="M24" s="2668">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1" t="s">
        <v>2384</v>
      </c>
      <c r="B25" s="683" t="s">
        <v>370</v>
      </c>
      <c r="C25" s="313"/>
      <c r="D25" s="470" t="s">
        <v>953</v>
      </c>
      <c r="E25" s="2216"/>
      <c r="F25" s="315"/>
      <c r="G25" s="2281"/>
      <c r="H25" s="2659" t="s">
        <v>2360</v>
      </c>
      <c r="I25" s="2676" t="s">
        <v>954</v>
      </c>
      <c r="J25" s="691">
        <f ca="1">J5-J16</f>
        <v>-448</v>
      </c>
      <c r="K25" s="2677" t="s">
        <v>955</v>
      </c>
      <c r="L25" s="2678"/>
      <c r="M25" s="2679"/>
    </row>
    <row r="26" spans="1:37" ht="18" customHeight="1">
      <c r="A26" s="2431" t="s">
        <v>2377</v>
      </c>
      <c r="B26" s="683" t="s">
        <v>2534</v>
      </c>
      <c r="C26" s="313">
        <f ca="1">ROUND((C19+C20)*F26,0)</f>
        <v>1068</v>
      </c>
      <c r="D26" s="708" t="s">
        <v>956</v>
      </c>
      <c r="E26" s="694" t="s">
        <v>957</v>
      </c>
      <c r="F26" s="693">
        <f ca="1">INDIRECT("'数据-取费表'!q"&amp;$G$1)</f>
        <v>0.1</v>
      </c>
      <c r="G26" s="2281"/>
      <c r="H26" s="680" t="s">
        <v>2363</v>
      </c>
      <c r="I26" s="681" t="s">
        <v>958</v>
      </c>
      <c r="J26" s="682">
        <f ca="1">IF(J5&lt;&gt;0,ROUND(J25*(1-((1+M28)/(1+M26))^M27)/(M26-M28),0),0)</f>
        <v>0</v>
      </c>
      <c r="K26" s="709" t="s">
        <v>959</v>
      </c>
      <c r="L26" s="683" t="s">
        <v>965</v>
      </c>
      <c r="M26" s="693">
        <f ca="1">INDIRECT("'数据-取费表'!I"&amp;$G$1)</f>
        <v>0.05</v>
      </c>
    </row>
    <row r="27" spans="1:37" ht="18" customHeight="1">
      <c r="A27" s="2431" t="s">
        <v>2383</v>
      </c>
      <c r="B27" s="683" t="s">
        <v>373</v>
      </c>
      <c r="C27" s="313">
        <f ca="1">ROUND(F21*F26,4)</f>
        <v>2.5000000000000001E-3</v>
      </c>
      <c r="D27" s="708" t="s">
        <v>960</v>
      </c>
      <c r="E27" s="703"/>
      <c r="F27" s="704"/>
      <c r="G27" s="2281"/>
      <c r="H27" s="685"/>
      <c r="I27" s="686"/>
      <c r="J27" s="687"/>
      <c r="K27" s="717" t="s">
        <v>961</v>
      </c>
      <c r="L27" s="683" t="s">
        <v>966</v>
      </c>
      <c r="M27" s="718">
        <f ca="1">INDIRECT("'数据-取费表'!ag"&amp;$G$1)</f>
        <v>0</v>
      </c>
    </row>
    <row r="28" spans="1:37" s="705" customFormat="1" ht="18" customHeight="1">
      <c r="A28" s="2431" t="s">
        <v>2385</v>
      </c>
      <c r="B28" s="683" t="s">
        <v>374</v>
      </c>
      <c r="C28" s="313">
        <f>ROUND(F28/(1+'数据-取费表'!C42),4)</f>
        <v>5.33E-2</v>
      </c>
      <c r="D28" s="708" t="s">
        <v>967</v>
      </c>
      <c r="E28" s="683" t="s">
        <v>926</v>
      </c>
      <c r="F28" s="706">
        <f>'数据-取费表'!B41</f>
        <v>5.6000000000000001E-2</v>
      </c>
      <c r="G28" s="2282"/>
      <c r="H28" s="689"/>
      <c r="I28" s="690"/>
      <c r="J28" s="691"/>
      <c r="K28" s="712"/>
      <c r="L28" s="683" t="s">
        <v>968</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1" t="s">
        <v>2386</v>
      </c>
      <c r="B29" s="2672" t="s">
        <v>969</v>
      </c>
      <c r="C29" s="2673">
        <f ca="1">ROUND((C19+C20+C23+C26)/(1-F21-C24-C27-C28),0)</f>
        <v>13202</v>
      </c>
      <c r="D29" s="2674"/>
      <c r="E29" s="2672"/>
      <c r="F29" s="2675"/>
      <c r="G29" s="2282"/>
      <c r="H29" s="719" t="s">
        <v>2370</v>
      </c>
      <c r="I29" s="720" t="s">
        <v>962</v>
      </c>
      <c r="J29" s="721">
        <f ca="1">ROUND(J26/(1+F40)^F41,0)</f>
        <v>0</v>
      </c>
      <c r="K29" s="722" t="s">
        <v>963</v>
      </c>
      <c r="L29" s="723"/>
      <c r="M29" s="724">
        <f ca="1">INDIRECT("'数据-取费表'!k"&amp;$G$1)</f>
        <v>62053.11</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59" t="s">
        <v>2345</v>
      </c>
      <c r="B30" s="2660" t="s">
        <v>927</v>
      </c>
      <c r="C30" s="691">
        <f ca="1">ROUND(C31+C36+C37+C38,0)</f>
        <v>580</v>
      </c>
      <c r="D30" s="2669" t="s">
        <v>928</v>
      </c>
      <c r="E30" s="2670"/>
      <c r="F30" s="2621"/>
      <c r="G30" s="2281"/>
      <c r="H30" s="1277"/>
      <c r="I30" s="1278"/>
      <c r="J30" s="1279"/>
      <c r="K30" s="1280"/>
      <c r="L30" s="1281"/>
      <c r="M30" s="1282"/>
    </row>
    <row r="31" spans="1:37" ht="18" customHeight="1">
      <c r="A31" s="2431" t="s">
        <v>2547</v>
      </c>
      <c r="B31" s="683" t="s">
        <v>361</v>
      </c>
      <c r="C31" s="313">
        <f ca="1">ROUND(IF(项目基本情况!B11="自然人",C5*F31,C32+C33+C34),1)</f>
        <v>266</v>
      </c>
      <c r="D31" s="2208" t="s">
        <v>931</v>
      </c>
      <c r="E31" s="2206" t="s">
        <v>970</v>
      </c>
      <c r="F31" s="707">
        <f ca="1">IF(项目基本情况!B11="企业","",IF(INDIRECT("'数据-取费表'!c"&amp;$G$1)="住宅",5%,IF(F6*F7*F8/12/(1+'数据-取费表'!C42)&gt;20000,12%,7%)))</f>
        <v>0.12</v>
      </c>
      <c r="G31" s="2281"/>
      <c r="H31" s="1277"/>
      <c r="I31" s="1278"/>
      <c r="J31" s="1279"/>
      <c r="K31" s="1280"/>
      <c r="L31" s="1281"/>
      <c r="M31" s="1282"/>
    </row>
    <row r="32" spans="1:37" ht="18" customHeight="1">
      <c r="A32" s="2431" t="s">
        <v>2612</v>
      </c>
      <c r="B32" s="683" t="s">
        <v>933</v>
      </c>
      <c r="C32" s="313">
        <f ca="1">IF(项目基本情况!B11="自然人","——",ROUND(C5*F32/(1+'数据-取费表'!C42),2))</f>
        <v>82.24</v>
      </c>
      <c r="D32" s="2206" t="s">
        <v>934</v>
      </c>
      <c r="E32" s="683" t="s">
        <v>926</v>
      </c>
      <c r="F32" s="716">
        <f>'数据-取费表'!B41</f>
        <v>5.6000000000000001E-2</v>
      </c>
      <c r="G32" s="2281"/>
      <c r="H32" s="1283"/>
      <c r="I32" s="1284"/>
      <c r="J32" s="1285"/>
      <c r="K32" s="1286"/>
      <c r="L32" s="1287"/>
      <c r="M32" s="1288"/>
    </row>
    <row r="33" spans="1:18" ht="18" customHeight="1">
      <c r="A33" s="2431" t="s">
        <v>2613</v>
      </c>
      <c r="B33" s="683" t="s">
        <v>936</v>
      </c>
      <c r="C33" s="313">
        <f ca="1">IF(项目基本情况!B11="自然人","——",IF(D33="按租金收入计税",ROUND(C5*F33,2),IF(D33="按房产原值计税",ROUND(C29*F33*0.7,2),INDIRECT("'数据-取费表'!Aj"&amp;$G$1))))</f>
        <v>110.9</v>
      </c>
      <c r="D33" s="1300" t="s">
        <v>2420</v>
      </c>
      <c r="E33" s="683" t="s">
        <v>363</v>
      </c>
      <c r="F33" s="706">
        <f>IF(D33="按票据","——",IF(D33="按租金收入计税",'数据-取费表'!B51,'数据-取费表'!B50))</f>
        <v>1.2E-2</v>
      </c>
      <c r="G33" s="2281"/>
      <c r="H33" s="1289"/>
      <c r="I33" s="2877"/>
      <c r="J33" s="2878"/>
      <c r="K33" s="1290"/>
      <c r="L33" s="1289"/>
      <c r="M33" s="1289"/>
    </row>
    <row r="34" spans="1:18" ht="18" customHeight="1">
      <c r="A34" s="2615" t="s">
        <v>2614</v>
      </c>
      <c r="B34" s="495" t="s">
        <v>971</v>
      </c>
      <c r="C34" s="314">
        <f ca="1">IF(项目基本情况!B11="自然人","——",ROUND(F34*F35/10000,2))</f>
        <v>72.84</v>
      </c>
      <c r="D34" s="709" t="s">
        <v>972</v>
      </c>
      <c r="E34" s="683" t="s">
        <v>973</v>
      </c>
      <c r="F34" s="710">
        <f>'数据-取费表'!B52</f>
        <v>7</v>
      </c>
      <c r="G34" s="2281"/>
      <c r="H34" s="1277"/>
      <c r="I34" s="2877"/>
      <c r="J34" s="2878"/>
      <c r="K34" s="1291"/>
      <c r="L34" s="1292"/>
      <c r="M34" s="1292"/>
    </row>
    <row r="35" spans="1:18" ht="18" customHeight="1">
      <c r="A35" s="2689"/>
      <c r="B35" s="2687"/>
      <c r="C35" s="318"/>
      <c r="D35" s="712"/>
      <c r="E35" s="683" t="s">
        <v>944</v>
      </c>
      <c r="F35" s="684">
        <f ca="1">INDIRECT("'数据-取费表'!r"&amp;$G$1)</f>
        <v>104051.87</v>
      </c>
      <c r="G35" s="2281"/>
      <c r="H35" s="1277"/>
      <c r="I35" s="2877"/>
      <c r="J35" s="2878"/>
      <c r="K35" s="1290"/>
      <c r="L35" s="1289"/>
      <c r="M35" s="1289"/>
    </row>
    <row r="36" spans="1:18" ht="18" customHeight="1">
      <c r="A36" s="2688" t="s">
        <v>2387</v>
      </c>
      <c r="B36" s="683" t="s">
        <v>946</v>
      </c>
      <c r="C36" s="313">
        <f ca="1">ROUND(C29*F36,1)</f>
        <v>264</v>
      </c>
      <c r="D36" s="2206" t="s">
        <v>976</v>
      </c>
      <c r="E36" s="683" t="s">
        <v>977</v>
      </c>
      <c r="F36" s="713">
        <f ca="1">INDIRECT("'数据-取费表'!Ak"&amp;$G$1)</f>
        <v>0.02</v>
      </c>
      <c r="G36" s="2281"/>
      <c r="H36" s="1289"/>
      <c r="I36" s="2877"/>
      <c r="J36" s="2878"/>
      <c r="K36" s="1293"/>
      <c r="L36" s="1289"/>
      <c r="M36" s="1289"/>
    </row>
    <row r="37" spans="1:18" ht="18" customHeight="1">
      <c r="A37" s="2431" t="s">
        <v>2618</v>
      </c>
      <c r="B37" s="683" t="s">
        <v>366</v>
      </c>
      <c r="C37" s="313">
        <f ca="1">ROUND(C13*F37,1)</f>
        <v>26.4</v>
      </c>
      <c r="D37" s="2206" t="s">
        <v>367</v>
      </c>
      <c r="E37" s="683" t="s">
        <v>368</v>
      </c>
      <c r="F37" s="715">
        <f ca="1">INDIRECT("'数据-取费表'!Al"&amp;$G$1)</f>
        <v>2E-3</v>
      </c>
      <c r="G37" s="2281"/>
      <c r="H37" s="1289"/>
      <c r="I37" s="2877"/>
      <c r="J37" s="2878"/>
      <c r="K37" s="1293"/>
      <c r="L37" s="1289"/>
      <c r="M37" s="1289"/>
    </row>
    <row r="38" spans="1:18" ht="18" customHeight="1" thickBot="1">
      <c r="A38" s="2671" t="s">
        <v>2619</v>
      </c>
      <c r="B38" s="2672" t="s">
        <v>365</v>
      </c>
      <c r="C38" s="2673">
        <f ca="1">ROUND(C5*F38,1)</f>
        <v>23.1</v>
      </c>
      <c r="D38" s="2674" t="s">
        <v>369</v>
      </c>
      <c r="E38" s="2672" t="s">
        <v>368</v>
      </c>
      <c r="F38" s="2668">
        <f ca="1">INDIRECT("'数据-取费表'!Am"&amp;$G$1)</f>
        <v>1.4999999999999999E-2</v>
      </c>
      <c r="G38" s="2281"/>
      <c r="H38" s="1289"/>
      <c r="I38" s="2877"/>
      <c r="J38" s="2878"/>
      <c r="K38" s="1294"/>
      <c r="L38" s="1289"/>
      <c r="M38" s="1289"/>
    </row>
    <row r="39" spans="1:18" ht="24.6" customHeight="1" thickTop="1">
      <c r="A39" s="2659" t="s">
        <v>2360</v>
      </c>
      <c r="B39" s="2676" t="s">
        <v>375</v>
      </c>
      <c r="C39" s="691">
        <f ca="1">C5-C30</f>
        <v>962</v>
      </c>
      <c r="D39" s="2677" t="s">
        <v>376</v>
      </c>
      <c r="E39" s="2678"/>
      <c r="F39" s="2679"/>
      <c r="G39" s="2281"/>
      <c r="H39" s="1289"/>
      <c r="I39" s="2877"/>
      <c r="J39" s="2878"/>
      <c r="K39" s="1294"/>
      <c r="L39" s="1289"/>
      <c r="M39" s="1289"/>
    </row>
    <row r="40" spans="1:18" ht="18" customHeight="1">
      <c r="A40" s="680" t="s">
        <v>2363</v>
      </c>
      <c r="B40" s="681" t="s">
        <v>377</v>
      </c>
      <c r="C40" s="682">
        <f ca="1">ROUND(C39*(1-((1+F42)/(1+F40))^F41)/(F40-F42),0)</f>
        <v>22175</v>
      </c>
      <c r="D40" s="709" t="s">
        <v>371</v>
      </c>
      <c r="E40" s="683" t="s">
        <v>372</v>
      </c>
      <c r="F40" s="693">
        <f ca="1">INDIRECT("'数据-取费表'!I"&amp;$G$1)</f>
        <v>0.05</v>
      </c>
      <c r="G40" s="2281"/>
      <c r="H40" s="1295"/>
      <c r="I40" s="2877"/>
      <c r="J40" s="2878"/>
      <c r="K40" s="1294"/>
      <c r="L40" s="1295"/>
      <c r="M40" s="1295"/>
    </row>
    <row r="41" spans="1:18" ht="18" customHeight="1">
      <c r="A41" s="685"/>
      <c r="B41" s="686"/>
      <c r="C41" s="687"/>
      <c r="D41" s="717" t="s">
        <v>378</v>
      </c>
      <c r="E41" s="683" t="s">
        <v>379</v>
      </c>
      <c r="F41" s="718">
        <f ca="1">IF(INDIRECT("'数据-取费表'!af"&amp;$G$1)=0,INDIRECT("'数据-取费表'!ae"&amp;$G$1),INDIRECT("'数据-取费表'!af"&amp;$G$1))</f>
        <v>48.49</v>
      </c>
      <c r="G41" s="2281"/>
      <c r="H41" s="1191"/>
      <c r="I41" s="2877"/>
      <c r="J41" s="2878"/>
      <c r="K41" s="1293"/>
      <c r="L41" s="1191"/>
      <c r="M41" s="1191"/>
    </row>
    <row r="42" spans="1:18" ht="18" customHeight="1">
      <c r="A42" s="689"/>
      <c r="B42" s="690"/>
      <c r="C42" s="691"/>
      <c r="D42" s="712"/>
      <c r="E42" s="683" t="s">
        <v>380</v>
      </c>
      <c r="F42" s="693">
        <f ca="1">INDIRECT("'数据-取费表'!v"&amp;$G$1)</f>
        <v>1.4999999999999999E-2</v>
      </c>
      <c r="G42" s="2281"/>
      <c r="H42" s="1191"/>
      <c r="I42" s="2877"/>
      <c r="J42" s="2878"/>
      <c r="K42" s="1293"/>
      <c r="L42" s="1191"/>
      <c r="M42" s="1191"/>
    </row>
    <row r="43" spans="1:18" ht="18" customHeight="1" thickBot="1">
      <c r="A43" s="719" t="s">
        <v>2370</v>
      </c>
      <c r="B43" s="720" t="s">
        <v>381</v>
      </c>
      <c r="C43" s="721">
        <f ca="1">ROUND(C40*10000/F43,0)</f>
        <v>3574</v>
      </c>
      <c r="D43" s="722" t="s">
        <v>382</v>
      </c>
      <c r="E43" s="723" t="s">
        <v>383</v>
      </c>
      <c r="F43" s="724">
        <f ca="1">INDIRECT("'数据-取费表'!k"&amp;$G$1)</f>
        <v>62053.11</v>
      </c>
      <c r="G43" s="2281"/>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4" t="s">
        <v>2493</v>
      </c>
      <c r="P45" s="1295"/>
      <c r="Q45" s="1295"/>
      <c r="R45" s="1295"/>
    </row>
    <row r="46" spans="1:18" s="1454" customFormat="1" ht="21" thickBot="1">
      <c r="A46" s="2389" t="s">
        <v>2332</v>
      </c>
      <c r="B46" s="2390"/>
      <c r="C46" s="2718">
        <f ca="1">C68-C40</f>
        <v>-30765</v>
      </c>
      <c r="D46" s="2719" t="str">
        <f>C2</f>
        <v>万元</v>
      </c>
      <c r="E46" s="1432"/>
      <c r="F46" s="1432"/>
      <c r="I46" s="2571" t="s">
        <v>2428</v>
      </c>
      <c r="J46" s="2572"/>
      <c r="K46" s="2573"/>
      <c r="L46" s="2575" t="str">
        <f ca="1">IF(M47="住宅",0,IF(L48&gt;J51,L60,J60))</f>
        <v>0</v>
      </c>
      <c r="O46" s="2587" t="s">
        <v>2471</v>
      </c>
      <c r="P46" s="2588" t="s">
        <v>2472</v>
      </c>
      <c r="Q46" s="2589" t="s">
        <v>2470</v>
      </c>
      <c r="R46" s="2589" t="s">
        <v>2473</v>
      </c>
    </row>
    <row r="47" spans="1:18" s="1454" customFormat="1" ht="15.75" thickBot="1">
      <c r="A47" s="2391" t="s">
        <v>2334</v>
      </c>
      <c r="B47" s="2427" t="s">
        <v>2335</v>
      </c>
      <c r="C47" s="2723" t="s">
        <v>2336</v>
      </c>
      <c r="D47" s="2427" t="s">
        <v>2337</v>
      </c>
      <c r="E47" s="2530" t="s">
        <v>2338</v>
      </c>
      <c r="F47" s="2531"/>
      <c r="G47" s="1456"/>
      <c r="I47" s="2546" t="s">
        <v>2421</v>
      </c>
      <c r="J47" s="2547" t="s">
        <v>3225</v>
      </c>
      <c r="K47" s="2556" t="s">
        <v>2444</v>
      </c>
      <c r="L47" s="2557">
        <f ca="1">INDIRECT("'数据-取费表'!d"&amp;$G$1)</f>
        <v>50</v>
      </c>
      <c r="M47" s="2577" t="str">
        <f>IF(ISNUMBER(FIND("住宅",C1)),"住宅","非住宅")</f>
        <v>非住宅</v>
      </c>
      <c r="O47" s="2580" t="s">
        <v>2456</v>
      </c>
      <c r="P47" s="2590" t="s">
        <v>2474</v>
      </c>
      <c r="Q47" s="2581">
        <f ca="1">C40+J29</f>
        <v>22175</v>
      </c>
      <c r="R47" s="2581" t="s">
        <v>2475</v>
      </c>
    </row>
    <row r="48" spans="1:18" s="1454" customFormat="1" ht="47.25" thickBot="1">
      <c r="A48" s="2704" t="s">
        <v>2624</v>
      </c>
      <c r="B48" s="681" t="s">
        <v>2339</v>
      </c>
      <c r="C48" s="2714">
        <f ca="1">C49+C53+C55</f>
        <v>0</v>
      </c>
      <c r="D48" s="2708"/>
      <c r="E48" s="2709"/>
      <c r="F48" s="2411"/>
      <c r="G48" s="1456"/>
      <c r="H48" s="1457"/>
      <c r="I48" s="2537" t="s">
        <v>2422</v>
      </c>
      <c r="J48" s="2548" t="s">
        <v>2423</v>
      </c>
      <c r="K48" s="2558" t="s">
        <v>2445</v>
      </c>
      <c r="L48" s="2161">
        <f ca="1">INDIRECT("'数据-取费表'!f"&amp;$G$1)</f>
        <v>48.49</v>
      </c>
      <c r="O48" s="2580" t="s">
        <v>2457</v>
      </c>
      <c r="P48" s="2590" t="s">
        <v>2476</v>
      </c>
      <c r="Q48" s="2581" t="str">
        <f ca="1">J60</f>
        <v>0</v>
      </c>
      <c r="R48" s="2581" t="s">
        <v>2484</v>
      </c>
    </row>
    <row r="49" spans="1:18" s="1454" customFormat="1" ht="16.5" thickBot="1">
      <c r="A49" s="2424" t="s">
        <v>2625</v>
      </c>
      <c r="B49" s="2707" t="s">
        <v>2627</v>
      </c>
      <c r="C49" s="2716">
        <f ca="1">ROUND(F49*F51*F50*(1-F52)/10000,0)</f>
        <v>0</v>
      </c>
      <c r="D49" s="2526" t="s">
        <v>2340</v>
      </c>
      <c r="E49" s="2529" t="s">
        <v>2333</v>
      </c>
      <c r="F49" s="2532"/>
      <c r="G49" s="1458"/>
      <c r="H49" s="1457"/>
      <c r="I49" s="2537" t="s">
        <v>2442</v>
      </c>
      <c r="J49" s="3335">
        <v>2017</v>
      </c>
      <c r="K49" s="2559" t="s">
        <v>2447</v>
      </c>
      <c r="L49" s="2560"/>
      <c r="O49" s="2582" t="s">
        <v>2458</v>
      </c>
      <c r="P49" s="2590" t="s">
        <v>2477</v>
      </c>
      <c r="Q49" s="2581">
        <f ca="1">C29</f>
        <v>13202</v>
      </c>
      <c r="R49" s="2581" t="s">
        <v>2475</v>
      </c>
    </row>
    <row r="50" spans="1:18" s="1454" customFormat="1" ht="15.75" thickBot="1">
      <c r="A50" s="2425"/>
      <c r="B50" s="2428"/>
      <c r="C50" s="2724"/>
      <c r="D50" s="2398"/>
      <c r="E50" s="2527" t="s">
        <v>2341</v>
      </c>
      <c r="F50" s="2528">
        <f ca="1">F7</f>
        <v>62053.11</v>
      </c>
      <c r="H50" s="1457"/>
      <c r="I50" s="2537" t="s">
        <v>2424</v>
      </c>
      <c r="J50" s="2550">
        <f>SUMPRODUCT((I63:I65=J47)*(J62:L62=J48)*(J63:L65))</f>
        <v>80</v>
      </c>
      <c r="K50" s="2559" t="s">
        <v>2448</v>
      </c>
      <c r="L50" s="2560"/>
      <c r="M50" s="2554"/>
      <c r="O50" s="2582" t="s">
        <v>2459</v>
      </c>
      <c r="P50" s="2590" t="s">
        <v>2485</v>
      </c>
      <c r="Q50" s="2583" t="e">
        <f ca="1">J58</f>
        <v>#VALUE!</v>
      </c>
      <c r="R50" s="2581"/>
    </row>
    <row r="51" spans="1:18" s="1454" customFormat="1" ht="15.75" thickBot="1">
      <c r="A51" s="2426"/>
      <c r="B51" s="2428"/>
      <c r="C51" s="2429"/>
      <c r="D51" s="2398"/>
      <c r="E51" s="2430" t="s">
        <v>2342</v>
      </c>
      <c r="F51" s="684">
        <f ca="1">F8</f>
        <v>365</v>
      </c>
      <c r="I51" s="2551" t="s">
        <v>2429</v>
      </c>
      <c r="J51" s="2552">
        <f>IF(J49="",J50,J49+J50-YEAR('数据-取费表'!B2))</f>
        <v>80</v>
      </c>
      <c r="K51" s="2561" t="s">
        <v>2449</v>
      </c>
      <c r="L51" s="2574">
        <f ca="1">ROUND(-PV(INDIRECT("'数据-取费表'!h"&amp;$G$1),L48,(C39-C13*C76),0),0)</f>
        <v>742</v>
      </c>
      <c r="M51" s="2555"/>
      <c r="O51" s="2582" t="s">
        <v>2460</v>
      </c>
      <c r="P51" s="2590" t="s">
        <v>2486</v>
      </c>
      <c r="Q51" s="2583">
        <f>J52</f>
        <v>7.4999999999999997E-2</v>
      </c>
      <c r="R51" s="2581"/>
    </row>
    <row r="52" spans="1:18" s="1454" customFormat="1" ht="15.75" thickBot="1">
      <c r="A52" s="2426"/>
      <c r="B52" s="2428"/>
      <c r="C52" s="2429"/>
      <c r="D52" s="2398"/>
      <c r="E52" s="2430" t="s">
        <v>2343</v>
      </c>
      <c r="F52" s="2525"/>
      <c r="I52" s="2553" t="s">
        <v>2452</v>
      </c>
      <c r="J52" s="2567">
        <v>7.4999999999999997E-2</v>
      </c>
      <c r="K52" s="2553" t="s">
        <v>2437</v>
      </c>
      <c r="L52" s="2567"/>
      <c r="M52" s="2390"/>
      <c r="O52" s="2582" t="s">
        <v>2461</v>
      </c>
      <c r="P52" s="2590" t="s">
        <v>2478</v>
      </c>
      <c r="Q52" s="2581">
        <f ca="1">J53</f>
        <v>48.49</v>
      </c>
      <c r="R52" s="2581" t="s">
        <v>2479</v>
      </c>
    </row>
    <row r="53" spans="1:18" s="1454" customFormat="1" ht="43.5" thickBot="1">
      <c r="A53" s="2822" t="s">
        <v>2626</v>
      </c>
      <c r="B53" s="432" t="s">
        <v>2536</v>
      </c>
      <c r="C53" s="697">
        <f ca="1">ROUND(IF(F53="押一",F49*F51*F50/12*F11,IF(F53="押二",F49*F51*F50/12*2*F11,IF(F53="押三",F49*F51*F50/12*3*F11,C54*F11)))/10000,0)</f>
        <v>0</v>
      </c>
      <c r="D53" s="2627" t="s">
        <v>2544</v>
      </c>
      <c r="E53" s="2090" t="s">
        <v>2538</v>
      </c>
      <c r="F53" s="2824"/>
      <c r="I53" s="2563" t="s">
        <v>2454</v>
      </c>
      <c r="J53" s="2564">
        <f ca="1">IF(M47="住宅",J51,MIN(J51,L48))</f>
        <v>48.49</v>
      </c>
      <c r="K53" s="36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2"/>
      <c r="O53" s="2580" t="s">
        <v>2462</v>
      </c>
      <c r="P53" s="2590" t="s">
        <v>2480</v>
      </c>
      <c r="Q53" s="2581">
        <f ca="1">Q47+Q48</f>
        <v>22175</v>
      </c>
      <c r="R53" s="2581" t="s">
        <v>2463</v>
      </c>
    </row>
    <row r="54" spans="1:18" s="1454" customFormat="1" ht="16.5" thickBot="1">
      <c r="A54" s="2823"/>
      <c r="B54" s="2617" t="s">
        <v>2703</v>
      </c>
      <c r="C54" s="2408"/>
      <c r="D54" s="2627"/>
      <c r="E54" s="2771"/>
      <c r="F54" s="2533"/>
      <c r="I54" s="2405"/>
      <c r="J54" s="2562"/>
      <c r="K54" s="2562"/>
      <c r="L54" s="2562"/>
      <c r="M54" s="1458"/>
      <c r="O54" s="2584" t="s">
        <v>2487</v>
      </c>
      <c r="P54" s="1295"/>
      <c r="Q54" s="1295"/>
      <c r="R54" s="1295"/>
    </row>
    <row r="55" spans="1:18" s="1454" customFormat="1" ht="15.75" thickBot="1">
      <c r="A55" s="2663" t="s">
        <v>2549</v>
      </c>
      <c r="B55" s="2664" t="s">
        <v>2537</v>
      </c>
      <c r="C55" s="2665"/>
      <c r="D55" s="2627"/>
      <c r="E55" s="2703"/>
      <c r="F55" s="2533"/>
      <c r="I55" s="3316" t="s">
        <v>2430</v>
      </c>
      <c r="J55" s="3315" t="e">
        <f ca="1">ROUND(IF(J47="钢混",J57/J50,1-(1-2%)*(J50-J57)/J50),3)</f>
        <v>#VALUE!</v>
      </c>
      <c r="K55" s="2544" t="s">
        <v>2431</v>
      </c>
      <c r="L55" s="2566" t="s">
        <v>3226</v>
      </c>
      <c r="O55" s="2587" t="s">
        <v>2471</v>
      </c>
      <c r="P55" s="2588" t="s">
        <v>2472</v>
      </c>
      <c r="Q55" s="2589" t="s">
        <v>2470</v>
      </c>
      <c r="R55" s="2589" t="s">
        <v>2473</v>
      </c>
    </row>
    <row r="56" spans="1:18" s="1454" customFormat="1" ht="44.25" thickTop="1" thickBot="1">
      <c r="A56" s="2402">
        <v>2</v>
      </c>
      <c r="B56" s="2403" t="s">
        <v>2344</v>
      </c>
      <c r="C56" s="607">
        <f ca="1">C13</f>
        <v>13202</v>
      </c>
      <c r="D56" s="2691"/>
      <c r="E56" s="2404"/>
      <c r="F56" s="2533"/>
      <c r="I56" s="2536" t="s">
        <v>2432</v>
      </c>
      <c r="J56" s="2565" t="s">
        <v>3049</v>
      </c>
      <c r="K56" s="2537" t="s">
        <v>2436</v>
      </c>
      <c r="L56" s="2161" t="str">
        <f ca="1">IF(L48&lt;J51,"——",L48-J51)</f>
        <v>——</v>
      </c>
      <c r="O56" s="2580" t="s">
        <v>2456</v>
      </c>
      <c r="P56" s="2590" t="s">
        <v>2474</v>
      </c>
      <c r="Q56" s="2581">
        <f ca="1">C40+J29</f>
        <v>22175</v>
      </c>
      <c r="R56" s="2581" t="s">
        <v>2475</v>
      </c>
    </row>
    <row r="57" spans="1:18" s="1454" customFormat="1" ht="29.25" thickBot="1">
      <c r="A57" s="2534"/>
      <c r="B57" s="2395" t="s">
        <v>2374</v>
      </c>
      <c r="C57" s="613">
        <f ca="1">C29</f>
        <v>13202</v>
      </c>
      <c r="D57" s="2406"/>
      <c r="E57" s="2407"/>
      <c r="F57" s="2535"/>
      <c r="I57" s="2538" t="s">
        <v>2453</v>
      </c>
      <c r="J57" s="2542" t="str">
        <f ca="1">IF(OR(M47="住宅",J51&lt;L48,J56="是"),"——",J51-L48)</f>
        <v>——</v>
      </c>
      <c r="K57" s="2537" t="s">
        <v>2908</v>
      </c>
      <c r="L57" s="2161" t="str">
        <f ca="1">IF(L48&lt;J51,"——",IF(L55="比较法",L49,IF(L55="基准地价",L50,L51)))</f>
        <v>——</v>
      </c>
      <c r="O57" s="2580" t="s">
        <v>2457</v>
      </c>
      <c r="P57" s="2590" t="s">
        <v>2481</v>
      </c>
      <c r="Q57" s="2581">
        <f ca="1">L60</f>
        <v>0</v>
      </c>
      <c r="R57" s="2581" t="s">
        <v>2496</v>
      </c>
    </row>
    <row r="58" spans="1:18" s="1454" customFormat="1" ht="29.25" thickBot="1">
      <c r="A58" s="696" t="s">
        <v>2345</v>
      </c>
      <c r="B58" s="2403" t="s">
        <v>2375</v>
      </c>
      <c r="C58" s="697">
        <f ca="1">ROUND(C59+C64+C65+C66,0)</f>
        <v>474</v>
      </c>
      <c r="D58" s="2409" t="s">
        <v>2376</v>
      </c>
      <c r="E58" s="2410"/>
      <c r="F58" s="2411"/>
      <c r="I58" s="2538" t="s">
        <v>2433</v>
      </c>
      <c r="J58" s="3317" t="e">
        <f ca="1">IF(J55&lt;0.4,0.4,J55)</f>
        <v>#VALUE!</v>
      </c>
      <c r="K58" s="2561" t="s">
        <v>2909</v>
      </c>
      <c r="L58" s="2161">
        <f ca="1">IF(ISERROR(POWER(1+L52,L47-L48)*(POWER(1+L52,L48)-1)/(POWER(1+L52,L47)-1)),0,POWER(1+L52,L47-L48)*(POWER(1+L52,L48)-1)/(POWER(1+L52,L47)-1))</f>
        <v>0</v>
      </c>
      <c r="O58" s="2582" t="s">
        <v>2458</v>
      </c>
      <c r="P58" s="2590" t="s">
        <v>2488</v>
      </c>
      <c r="Q58" s="2581">
        <f>IF(L55="比较法",L49,IF(L55="基准地价",L50,0))</f>
        <v>0</v>
      </c>
      <c r="R58" s="2581" t="s">
        <v>2475</v>
      </c>
    </row>
    <row r="59" spans="1:18" s="1454" customFormat="1" ht="29.25" thickBot="1">
      <c r="A59" s="2431" t="s">
        <v>2380</v>
      </c>
      <c r="B59" s="2395" t="s">
        <v>361</v>
      </c>
      <c r="C59" s="313">
        <f ca="1">ROUND(IF(项目基本情况!B11="自然人",C48*F59,C60+C61+C62),1)</f>
        <v>183.7</v>
      </c>
      <c r="D59" s="2412" t="s">
        <v>2346</v>
      </c>
      <c r="E59" s="2413" t="s">
        <v>2347</v>
      </c>
      <c r="F59" s="707">
        <f ca="1">IF(项目基本情况!B11="企业","",IF(INDIRECT("'数据-取费表'!c"&amp;$G$1)="住宅",5%,IF(F49*F50*F51/12/(1+'数据-取费表'!C42)&gt;20000,12%,7%)))</f>
        <v>7.0000000000000007E-2</v>
      </c>
      <c r="I59" s="2538" t="s">
        <v>2434</v>
      </c>
      <c r="J59" s="2542" t="str">
        <f ca="1">IF(OR(M47="住宅",J51&lt;L48,J56="是"),"——",ROUND(C29*J58,0))</f>
        <v>——</v>
      </c>
      <c r="K59" s="2561" t="s">
        <v>2910</v>
      </c>
      <c r="L59" s="2161">
        <f ca="1">IF(ISERROR(POWER(1+L52,L47-J51)*(POWER(1+L52,J51)-1)/(POWER(1+L52,L47)-1)),0,POWER(1+L52,L47-J51)*(POWER(1+L52,J51)-1)/(POWER(1+L52,L47)-1))</f>
        <v>0</v>
      </c>
      <c r="O59" s="2582" t="s">
        <v>2459</v>
      </c>
      <c r="P59" s="2590" t="s">
        <v>2489</v>
      </c>
      <c r="Q59" s="2583">
        <f>L52</f>
        <v>0</v>
      </c>
      <c r="R59" s="2581"/>
    </row>
    <row r="60" spans="1:18" s="1454" customFormat="1" ht="20.25" thickBot="1">
      <c r="A60" s="2431" t="s">
        <v>2377</v>
      </c>
      <c r="B60" s="2395" t="s">
        <v>2348</v>
      </c>
      <c r="C60" s="313">
        <f ca="1">IF(项目基本情况!B11="自然人","——",ROUND(C48*F60/(1+'数据-取费表'!C42),2))</f>
        <v>0</v>
      </c>
      <c r="D60" s="2413" t="s">
        <v>2349</v>
      </c>
      <c r="E60" s="2395" t="s">
        <v>2350</v>
      </c>
      <c r="F60" s="716">
        <f t="shared" ref="F60:F66" si="0">F32</f>
        <v>5.6000000000000001E-2</v>
      </c>
      <c r="I60" s="2539" t="s">
        <v>2435</v>
      </c>
      <c r="J60" s="2543" t="str">
        <f ca="1">IF(OR(M47="住宅",J51&lt;L48,J56="是"),"0",ROUND(J59/(1+J52)^J53,0))</f>
        <v>0</v>
      </c>
      <c r="K60" s="2545" t="s">
        <v>2438</v>
      </c>
      <c r="L60" s="2543">
        <f ca="1">IF(OR(M47="住宅",L48&lt;J51),0,ROUND(L57*(L58/L59-1),0))</f>
        <v>0</v>
      </c>
      <c r="O60" s="2582" t="s">
        <v>2460</v>
      </c>
      <c r="P60" s="2590" t="s">
        <v>2490</v>
      </c>
      <c r="Q60" s="2581">
        <f ca="1">L58</f>
        <v>0</v>
      </c>
      <c r="R60" s="2581" t="s">
        <v>2465</v>
      </c>
    </row>
    <row r="61" spans="1:18" s="1454" customFormat="1" ht="20.25" thickBot="1">
      <c r="A61" s="2431" t="s">
        <v>2378</v>
      </c>
      <c r="B61" s="2395" t="s">
        <v>2351</v>
      </c>
      <c r="C61" s="313">
        <f ca="1">IF(项目基本情况!B11="自然人","——",IF(D61="按租金收入计税",ROUND(C48*F61,2),IF(D61="按房产原值计税",ROUND(C57*F61*0.7,2),INDIRECT("'数据-取费表'!Aj"&amp;$G$1))))</f>
        <v>110.9</v>
      </c>
      <c r="D61" s="1300" t="s">
        <v>2420</v>
      </c>
      <c r="E61" s="2395" t="s">
        <v>2350</v>
      </c>
      <c r="F61" s="706">
        <f t="shared" si="0"/>
        <v>1.2E-2</v>
      </c>
      <c r="I61" s="2405"/>
      <c r="J61" s="2405"/>
      <c r="K61" s="2405"/>
      <c r="L61" s="2405"/>
      <c r="O61" s="2582" t="s">
        <v>2461</v>
      </c>
      <c r="P61" s="2590" t="s">
        <v>2491</v>
      </c>
      <c r="Q61" s="2581">
        <f ca="1">L59</f>
        <v>0</v>
      </c>
      <c r="R61" s="2581" t="s">
        <v>2466</v>
      </c>
    </row>
    <row r="62" spans="1:18" s="1454" customFormat="1" ht="15.75" thickBot="1">
      <c r="A62" s="2431" t="s">
        <v>2379</v>
      </c>
      <c r="B62" s="2394" t="s">
        <v>2352</v>
      </c>
      <c r="C62" s="314">
        <f ca="1">IF(项目基本情况!B11="自然人","——",ROUND(F62*F63/10000,2))</f>
        <v>72.84</v>
      </c>
      <c r="D62" s="2414" t="s">
        <v>2353</v>
      </c>
      <c r="E62" s="2395" t="s">
        <v>2354</v>
      </c>
      <c r="F62" s="710">
        <f t="shared" si="0"/>
        <v>7</v>
      </c>
      <c r="I62" s="2540" t="s">
        <v>2425</v>
      </c>
      <c r="J62" s="2541" t="s">
        <v>2426</v>
      </c>
      <c r="K62" s="2541" t="s">
        <v>2427</v>
      </c>
      <c r="L62" s="2541" t="s">
        <v>2423</v>
      </c>
      <c r="M62" s="3318" t="s">
        <v>3046</v>
      </c>
      <c r="O62" s="2580" t="s">
        <v>2462</v>
      </c>
      <c r="P62" s="2590" t="s">
        <v>2480</v>
      </c>
      <c r="Q62" s="2581">
        <f ca="1">Q56+Q57</f>
        <v>22175</v>
      </c>
      <c r="R62" s="2581" t="s">
        <v>2463</v>
      </c>
    </row>
    <row r="63" spans="1:18" s="1454" customFormat="1" ht="16.5" thickBot="1">
      <c r="A63" s="711"/>
      <c r="B63" s="2401"/>
      <c r="C63" s="318"/>
      <c r="D63" s="2415"/>
      <c r="E63" s="2395" t="s">
        <v>2355</v>
      </c>
      <c r="F63" s="684">
        <f t="shared" ca="1" si="0"/>
        <v>104051.87</v>
      </c>
      <c r="I63" s="2540" t="s">
        <v>2439</v>
      </c>
      <c r="J63" s="3321">
        <v>70</v>
      </c>
      <c r="K63" s="3321">
        <v>50</v>
      </c>
      <c r="L63" s="3321">
        <v>80</v>
      </c>
      <c r="M63" s="3319">
        <v>0.02</v>
      </c>
      <c r="O63" s="2584" t="s">
        <v>2494</v>
      </c>
      <c r="P63" s="1295"/>
      <c r="Q63" s="1295"/>
      <c r="R63" s="1295"/>
    </row>
    <row r="64" spans="1:18" s="1454" customFormat="1" ht="15.75" thickBot="1">
      <c r="A64" s="2431" t="s">
        <v>2387</v>
      </c>
      <c r="B64" s="2395" t="s">
        <v>2356</v>
      </c>
      <c r="C64" s="313">
        <f ca="1">ROUND(C57*F64,1)</f>
        <v>264</v>
      </c>
      <c r="D64" s="2413" t="s">
        <v>2357</v>
      </c>
      <c r="E64" s="2395" t="s">
        <v>2350</v>
      </c>
      <c r="F64" s="713">
        <f t="shared" ca="1" si="0"/>
        <v>0.02</v>
      </c>
      <c r="I64" s="2540" t="s">
        <v>2440</v>
      </c>
      <c r="J64" s="3321">
        <v>50</v>
      </c>
      <c r="K64" s="3321">
        <v>35</v>
      </c>
      <c r="L64" s="3321">
        <v>60</v>
      </c>
      <c r="M64" s="3320">
        <v>0</v>
      </c>
      <c r="O64" s="2587" t="s">
        <v>2471</v>
      </c>
      <c r="P64" s="2588" t="s">
        <v>2472</v>
      </c>
      <c r="Q64" s="2589" t="s">
        <v>2470</v>
      </c>
      <c r="R64" s="2589" t="s">
        <v>2473</v>
      </c>
    </row>
    <row r="65" spans="1:18" s="1454" customFormat="1" ht="15.75" thickBot="1">
      <c r="A65" s="2431" t="s">
        <v>2381</v>
      </c>
      <c r="B65" s="2395" t="s">
        <v>366</v>
      </c>
      <c r="C65" s="313">
        <f ca="1">ROUND(C56*F65,1)</f>
        <v>26.4</v>
      </c>
      <c r="D65" s="2413" t="s">
        <v>2358</v>
      </c>
      <c r="E65" s="2395" t="s">
        <v>2350</v>
      </c>
      <c r="F65" s="715">
        <f t="shared" ca="1" si="0"/>
        <v>2E-3</v>
      </c>
      <c r="I65" s="2540" t="s">
        <v>2441</v>
      </c>
      <c r="J65" s="3321">
        <v>40</v>
      </c>
      <c r="K65" s="3321">
        <v>30</v>
      </c>
      <c r="L65" s="3321">
        <v>50</v>
      </c>
      <c r="M65" s="3319">
        <v>0.02</v>
      </c>
      <c r="O65" s="2580" t="s">
        <v>2456</v>
      </c>
      <c r="P65" s="2590" t="s">
        <v>2474</v>
      </c>
      <c r="Q65" s="2581">
        <f ca="1">C40+J29</f>
        <v>22175</v>
      </c>
      <c r="R65" s="2581" t="s">
        <v>2475</v>
      </c>
    </row>
    <row r="66" spans="1:18" s="1454" customFormat="1" ht="20.25" thickBot="1">
      <c r="A66" s="2431" t="s">
        <v>2382</v>
      </c>
      <c r="B66" s="2395" t="s">
        <v>365</v>
      </c>
      <c r="C66" s="313">
        <f ca="1">ROUND(C48*F66,1)</f>
        <v>0</v>
      </c>
      <c r="D66" s="2413" t="s">
        <v>2359</v>
      </c>
      <c r="E66" s="2395" t="s">
        <v>2350</v>
      </c>
      <c r="F66" s="693">
        <f t="shared" ca="1" si="0"/>
        <v>1.4999999999999999E-2</v>
      </c>
      <c r="O66" s="2580" t="s">
        <v>2457</v>
      </c>
      <c r="P66" s="2590" t="s">
        <v>2481</v>
      </c>
      <c r="Q66" s="2581">
        <f ca="1">L60</f>
        <v>0</v>
      </c>
      <c r="R66" s="2581" t="s">
        <v>2464</v>
      </c>
    </row>
    <row r="67" spans="1:18" s="1454" customFormat="1" ht="24.75" thickBot="1">
      <c r="A67" s="2402" t="s">
        <v>2360</v>
      </c>
      <c r="B67" s="2416" t="s">
        <v>2361</v>
      </c>
      <c r="C67" s="697">
        <f ca="1">C48-C58</f>
        <v>-474</v>
      </c>
      <c r="D67" s="2412" t="s">
        <v>2362</v>
      </c>
      <c r="E67" s="2417"/>
      <c r="F67" s="2418"/>
      <c r="O67" s="2582" t="s">
        <v>2458</v>
      </c>
      <c r="P67" s="2590" t="s">
        <v>2488</v>
      </c>
      <c r="Q67" s="2585">
        <f ca="1">L51</f>
        <v>742</v>
      </c>
      <c r="R67" s="2586" t="s">
        <v>2498</v>
      </c>
    </row>
    <row r="68" spans="1:18" s="1454" customFormat="1" ht="20.25" thickBot="1">
      <c r="A68" s="2392" t="s">
        <v>2363</v>
      </c>
      <c r="B68" s="2393" t="s">
        <v>2364</v>
      </c>
      <c r="C68" s="682">
        <f ca="1">ROUND(C67*(1-((1+F70)/(1+F68))^F69)/(F68-F70),0)</f>
        <v>-8590</v>
      </c>
      <c r="D68" s="2414" t="s">
        <v>2365</v>
      </c>
      <c r="E68" s="2395" t="s">
        <v>2366</v>
      </c>
      <c r="F68" s="693">
        <f ca="1">F40</f>
        <v>0.05</v>
      </c>
      <c r="O68" s="2582" t="s">
        <v>2459</v>
      </c>
      <c r="P68" s="2591" t="s">
        <v>2492</v>
      </c>
      <c r="Q68" s="2581">
        <f ca="1">ROUND(Q69-Q70*Q71,0)</f>
        <v>38</v>
      </c>
      <c r="R68" s="2581" t="s">
        <v>2497</v>
      </c>
    </row>
    <row r="69" spans="1:18" s="1454" customFormat="1" ht="15.75" thickBot="1">
      <c r="A69" s="2396"/>
      <c r="B69" s="2397"/>
      <c r="C69" s="687"/>
      <c r="D69" s="2419" t="s">
        <v>2367</v>
      </c>
      <c r="E69" s="2395" t="s">
        <v>2368</v>
      </c>
      <c r="F69" s="718">
        <f ca="1">F41</f>
        <v>48.49</v>
      </c>
      <c r="O69" s="2582" t="s">
        <v>2467</v>
      </c>
      <c r="P69" s="2591" t="s">
        <v>2482</v>
      </c>
      <c r="Q69" s="2581">
        <f ca="1">C39</f>
        <v>962</v>
      </c>
      <c r="R69" s="2581" t="s">
        <v>2475</v>
      </c>
    </row>
    <row r="70" spans="1:18" s="1454" customFormat="1" ht="15.75" thickBot="1">
      <c r="A70" s="2399"/>
      <c r="B70" s="2400"/>
      <c r="C70" s="691"/>
      <c r="D70" s="2415"/>
      <c r="E70" s="2395" t="s">
        <v>2369</v>
      </c>
      <c r="F70" s="2525"/>
      <c r="O70" s="2582" t="s">
        <v>2468</v>
      </c>
      <c r="P70" s="2591" t="s">
        <v>2483</v>
      </c>
      <c r="Q70" s="2581">
        <f ca="1">C13</f>
        <v>13202</v>
      </c>
      <c r="R70" s="2581" t="s">
        <v>2475</v>
      </c>
    </row>
    <row r="71" spans="1:18" s="1454" customFormat="1" ht="15.75" thickBot="1">
      <c r="A71" s="2420" t="s">
        <v>2370</v>
      </c>
      <c r="B71" s="2421" t="s">
        <v>2371</v>
      </c>
      <c r="C71" s="721">
        <f ca="1">ROUND(C68*10000/F71,0)</f>
        <v>-1384</v>
      </c>
      <c r="D71" s="2422" t="s">
        <v>2372</v>
      </c>
      <c r="E71" s="2423" t="s">
        <v>2373</v>
      </c>
      <c r="F71" s="724">
        <f ca="1">F43</f>
        <v>62053.11</v>
      </c>
      <c r="I71" s="2390"/>
      <c r="K71" s="2390"/>
      <c r="O71" s="2582" t="s">
        <v>2469</v>
      </c>
      <c r="P71" s="2591" t="s">
        <v>2495</v>
      </c>
      <c r="Q71" s="2583">
        <f ca="1">C76</f>
        <v>7.0000000000000007E-2</v>
      </c>
      <c r="R71" s="2581"/>
    </row>
    <row r="72" spans="1:18" s="1454" customFormat="1" ht="15.75" thickBot="1">
      <c r="B72" s="1459"/>
      <c r="C72" s="1459"/>
      <c r="I72" s="2390"/>
      <c r="O72" s="2582" t="s">
        <v>2460</v>
      </c>
      <c r="P72" s="2590" t="s">
        <v>2489</v>
      </c>
      <c r="Q72" s="2583">
        <f>L52</f>
        <v>0</v>
      </c>
      <c r="R72" s="2581"/>
    </row>
    <row r="73" spans="1:18" ht="20.25" thickBot="1">
      <c r="A73" s="1454"/>
      <c r="B73" s="1459"/>
      <c r="C73" s="1459"/>
      <c r="D73" s="1454"/>
      <c r="E73" s="1454"/>
      <c r="F73" s="1454"/>
      <c r="I73" s="2576"/>
      <c r="O73" s="2582" t="s">
        <v>2461</v>
      </c>
      <c r="P73" s="2590" t="s">
        <v>2490</v>
      </c>
      <c r="Q73" s="2581">
        <f ca="1">L58</f>
        <v>0</v>
      </c>
      <c r="R73" s="2581" t="s">
        <v>2465</v>
      </c>
    </row>
    <row r="74" spans="1:18" ht="20.25" thickBot="1">
      <c r="A74" s="1454"/>
      <c r="B74" s="726" t="s">
        <v>384</v>
      </c>
      <c r="C74" s="727"/>
      <c r="D74" s="1454"/>
      <c r="E74" s="1454"/>
      <c r="F74" s="1454"/>
      <c r="O74" s="2582" t="s">
        <v>2499</v>
      </c>
      <c r="P74" s="2590" t="s">
        <v>2491</v>
      </c>
      <c r="Q74" s="2581">
        <f ca="1">L59</f>
        <v>0</v>
      </c>
      <c r="R74" s="2581" t="s">
        <v>2466</v>
      </c>
    </row>
    <row r="75" spans="1:18" ht="15.75" thickBot="1">
      <c r="A75" s="1454"/>
      <c r="B75" s="728" t="s">
        <v>974</v>
      </c>
      <c r="C75" s="729">
        <f ca="1">ROUND(C13*C76,0)</f>
        <v>924</v>
      </c>
      <c r="D75" s="1454"/>
      <c r="E75" s="1454"/>
      <c r="F75" s="1454"/>
      <c r="K75" s="1455"/>
      <c r="L75" s="1454"/>
      <c r="O75" s="2580" t="s">
        <v>2462</v>
      </c>
      <c r="P75" s="2590" t="s">
        <v>2480</v>
      </c>
      <c r="Q75" s="2581">
        <f ca="1">Q65+Q66</f>
        <v>22175</v>
      </c>
      <c r="R75" s="2581" t="s">
        <v>2463</v>
      </c>
    </row>
    <row r="76" spans="1:18">
      <c r="B76" s="730" t="s">
        <v>975</v>
      </c>
      <c r="C76" s="731">
        <f ca="1">INDIRECT("'数据-取费表'!j"&amp;$G$1)</f>
        <v>7.0000000000000007E-2</v>
      </c>
      <c r="I76" s="1454"/>
      <c r="J76" s="1454"/>
      <c r="K76" s="1455"/>
      <c r="L76" s="1454"/>
    </row>
    <row r="77" spans="1:18">
      <c r="B77" s="732" t="s">
        <v>978</v>
      </c>
      <c r="C77" s="733"/>
      <c r="I77" s="1454"/>
      <c r="J77" s="1454"/>
      <c r="K77" s="1455"/>
      <c r="L77" s="1454"/>
    </row>
    <row r="78" spans="1:18">
      <c r="B78" s="645" t="s">
        <v>2704</v>
      </c>
      <c r="C78" s="734"/>
    </row>
    <row r="79" spans="1:18">
      <c r="B79" s="2869" t="s">
        <v>2708</v>
      </c>
      <c r="C79" s="649">
        <f ca="1">1-C80</f>
        <v>4.0000000000000036E-2</v>
      </c>
    </row>
    <row r="80" spans="1:18">
      <c r="B80" s="2869" t="s">
        <v>2707</v>
      </c>
      <c r="C80" s="649">
        <f ca="1">ROUND(C75/C39,3)</f>
        <v>0.96</v>
      </c>
    </row>
    <row r="81" spans="2:3">
      <c r="B81" s="645" t="s">
        <v>385</v>
      </c>
      <c r="C81" s="646"/>
    </row>
    <row r="82" spans="2:3">
      <c r="B82" s="2868" t="s">
        <v>2706</v>
      </c>
      <c r="C82" s="650">
        <f ca="1">1-C83</f>
        <v>0.40500000000000003</v>
      </c>
    </row>
    <row r="83" spans="2:3">
      <c r="B83" s="2868" t="s">
        <v>2705</v>
      </c>
      <c r="C83" s="649">
        <f ca="1">ROUND(C13/C40,3)</f>
        <v>0.59499999999999997</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9" priority="56">
      <formula>$L$48&gt;$J$51</formula>
    </cfRule>
  </conditionalFormatting>
  <conditionalFormatting sqref="I55 I60">
    <cfRule type="expression" dxfId="18" priority="57">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sheetPr>
    <tabColor rgb="FF00B0F0"/>
  </sheetPr>
  <dimension ref="A1:AK83"/>
  <sheetViews>
    <sheetView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909</v>
      </c>
      <c r="B1" s="669"/>
      <c r="C1" s="2385" t="s">
        <v>3244</v>
      </c>
      <c r="D1" s="1273"/>
      <c r="E1" s="2578" t="s">
        <v>537</v>
      </c>
      <c r="F1" s="2579" t="e">
        <f ca="1">J53</f>
        <v>#N/A</v>
      </c>
      <c r="G1" s="671" t="e">
        <f>MATCH(C1,'数据-取费表'!A6:A16,0)+5</f>
        <v>#N/A</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819</v>
      </c>
      <c r="B2" s="1406" t="e">
        <f ca="1">C40+J29+L46</f>
        <v>#N/A</v>
      </c>
      <c r="C2" s="1299" t="s">
        <v>1103</v>
      </c>
      <c r="D2" s="1275"/>
      <c r="E2" s="2568"/>
      <c r="F2" s="1276"/>
      <c r="G2" s="2280"/>
      <c r="H2" s="1274"/>
      <c r="I2" s="1274"/>
      <c r="J2" s="1274"/>
      <c r="K2" s="1298"/>
      <c r="L2" s="1274"/>
      <c r="M2" s="1274"/>
    </row>
    <row r="3" spans="1:37" ht="18" customHeight="1" thickBot="1">
      <c r="A3" s="674" t="s">
        <v>344</v>
      </c>
      <c r="B3" s="1407">
        <f ca="1">IF(ISERROR(B2*10000/F43),0,ROUND(B2*10000/F43,0))</f>
        <v>0</v>
      </c>
      <c r="C3" s="1299" t="s">
        <v>1104</v>
      </c>
      <c r="D3" s="1275"/>
      <c r="E3" s="2568"/>
      <c r="F3" s="1276"/>
      <c r="G3" s="2280"/>
      <c r="H3" s="675" t="s">
        <v>910</v>
      </c>
      <c r="I3" s="1274"/>
      <c r="J3" s="1274"/>
      <c r="K3" s="1298"/>
      <c r="L3" s="1274"/>
      <c r="M3" s="1274"/>
    </row>
    <row r="4" spans="1:37" ht="18" customHeight="1">
      <c r="A4" s="676" t="s">
        <v>911</v>
      </c>
      <c r="B4" s="677" t="s">
        <v>912</v>
      </c>
      <c r="C4" s="677" t="s">
        <v>913</v>
      </c>
      <c r="D4" s="677" t="s">
        <v>914</v>
      </c>
      <c r="E4" s="678" t="s">
        <v>915</v>
      </c>
      <c r="F4" s="679"/>
      <c r="G4" s="2281"/>
      <c r="H4" s="676" t="s">
        <v>911</v>
      </c>
      <c r="I4" s="677" t="s">
        <v>912</v>
      </c>
      <c r="J4" s="677" t="s">
        <v>913</v>
      </c>
      <c r="K4" s="677" t="s">
        <v>914</v>
      </c>
      <c r="L4" s="678" t="s">
        <v>915</v>
      </c>
      <c r="M4" s="679"/>
    </row>
    <row r="5" spans="1:37" ht="18" customHeight="1">
      <c r="A5" s="680">
        <v>1</v>
      </c>
      <c r="B5" s="681" t="s">
        <v>2540</v>
      </c>
      <c r="C5" s="2619" t="e">
        <f ca="1">C6+C10+C12</f>
        <v>#N/A</v>
      </c>
      <c r="D5" s="2629" t="s">
        <v>2542</v>
      </c>
      <c r="E5" s="2620"/>
      <c r="F5" s="2621"/>
      <c r="G5" s="2281"/>
      <c r="H5" s="680">
        <v>1</v>
      </c>
      <c r="I5" s="681" t="s">
        <v>2540</v>
      </c>
      <c r="J5" s="2619" t="e">
        <f ca="1">J6+J10+J12</f>
        <v>#N/A</v>
      </c>
      <c r="K5" s="2622" t="s">
        <v>2542</v>
      </c>
      <c r="L5" s="2620"/>
      <c r="M5" s="2621"/>
    </row>
    <row r="6" spans="1:37" ht="18" customHeight="1">
      <c r="A6" s="2615" t="s">
        <v>2547</v>
      </c>
      <c r="B6" s="3648" t="s">
        <v>2541</v>
      </c>
      <c r="C6" s="2624" t="e">
        <f ca="1">ROUND(F6*F8*F7*(1-F9)/10000,0)</f>
        <v>#N/A</v>
      </c>
      <c r="D6" s="2618" t="s">
        <v>2543</v>
      </c>
      <c r="E6" s="683" t="s">
        <v>916</v>
      </c>
      <c r="F6" s="684" t="e">
        <f ca="1">INDIRECT("'数据-取费表'!u"&amp;$G$1)</f>
        <v>#N/A</v>
      </c>
      <c r="G6" s="2281"/>
      <c r="H6" s="2615" t="s">
        <v>2380</v>
      </c>
      <c r="I6" s="3648" t="s">
        <v>2541</v>
      </c>
      <c r="J6" s="682" t="e">
        <f ca="1">ROUND(M6*M8*M7*(1-M9)/10000,0)</f>
        <v>#N/A</v>
      </c>
      <c r="K6" s="2618" t="s">
        <v>2543</v>
      </c>
      <c r="L6" s="683" t="s">
        <v>916</v>
      </c>
      <c r="M6" s="684" t="e">
        <f ca="1">INDIRECT("'数据-取费表'!z"&amp;$G$1)</f>
        <v>#N/A</v>
      </c>
    </row>
    <row r="7" spans="1:37" ht="18" customHeight="1">
      <c r="A7" s="2623"/>
      <c r="B7" s="3649"/>
      <c r="C7" s="2625"/>
      <c r="D7" s="2054"/>
      <c r="E7" s="2626" t="s">
        <v>917</v>
      </c>
      <c r="F7" s="684" t="e">
        <f ca="1">IF(INDIRECT("'数据-取费表'!ah"&amp;$G$1)="",INDIRECT("'数据-取费表'!k"&amp;$G$1),INDIRECT("'数据-取费表'!ah"&amp;$G$1))</f>
        <v>#N/A</v>
      </c>
      <c r="G7" s="2281"/>
      <c r="H7" s="685"/>
      <c r="I7" s="3649"/>
      <c r="J7" s="687"/>
      <c r="K7" s="688"/>
      <c r="L7" s="683" t="s">
        <v>917</v>
      </c>
      <c r="M7" s="684" t="e">
        <f ca="1">F7</f>
        <v>#N/A</v>
      </c>
    </row>
    <row r="8" spans="1:37" ht="18" customHeight="1">
      <c r="A8" s="685"/>
      <c r="B8" s="3649"/>
      <c r="C8" s="687"/>
      <c r="D8" s="688"/>
      <c r="E8" s="683" t="s">
        <v>918</v>
      </c>
      <c r="F8" s="684" t="e">
        <f ca="1">INDIRECT("'数据-取费表'!ai"&amp;$G$1)</f>
        <v>#N/A</v>
      </c>
      <c r="G8" s="2281"/>
      <c r="H8" s="685"/>
      <c r="I8" s="3649"/>
      <c r="J8" s="687"/>
      <c r="K8" s="688"/>
      <c r="L8" s="683" t="s">
        <v>918</v>
      </c>
      <c r="M8" s="684" t="e">
        <f ca="1">INDIRECT("'数据-取费表'!ai"&amp;$G$1)</f>
        <v>#N/A</v>
      </c>
    </row>
    <row r="9" spans="1:37" ht="18" customHeight="1">
      <c r="A9" s="685"/>
      <c r="B9" s="3650"/>
      <c r="C9" s="687"/>
      <c r="D9" s="688"/>
      <c r="E9" s="683" t="s">
        <v>919</v>
      </c>
      <c r="F9" s="693" t="e">
        <f ca="1">INDIRECT("'数据-取费表'!w"&amp;$G$1)</f>
        <v>#N/A</v>
      </c>
      <c r="G9" s="2281"/>
      <c r="H9" s="685"/>
      <c r="I9" s="3650"/>
      <c r="J9" s="687"/>
      <c r="K9" s="688"/>
      <c r="L9" s="694" t="s">
        <v>919</v>
      </c>
      <c r="M9" s="695" t="e">
        <f ca="1">INDIRECT("'数据-取费表'!ab"&amp;$G$1)</f>
        <v>#N/A</v>
      </c>
    </row>
    <row r="10" spans="1:37" ht="18" customHeight="1">
      <c r="A10" s="2615" t="s">
        <v>2548</v>
      </c>
      <c r="B10" s="2616" t="s">
        <v>2536</v>
      </c>
      <c r="C10" s="697" t="e">
        <f ca="1">ROUND(IF(F10="押一",F6*F8*F7/12*F11,IF(F10="押二",F6*F8*F7/12*2*F11,IF(F10="押三",F6*F8*F7/12*3*F11,C11*F11)))/10000,0)</f>
        <v>#N/A</v>
      </c>
      <c r="D10" s="2627" t="s">
        <v>2544</v>
      </c>
      <c r="E10" s="2090" t="s">
        <v>2538</v>
      </c>
      <c r="F10" s="2824" t="s">
        <v>3050</v>
      </c>
      <c r="G10" s="2281"/>
      <c r="H10" s="2615" t="s">
        <v>2387</v>
      </c>
      <c r="I10" s="2616" t="s">
        <v>2536</v>
      </c>
      <c r="J10" s="682" t="e">
        <f ca="1">ROUND(IF(M10="押一",M6*M8*M7/12*M11,IF(M10="押二",M6*M8*M7/12*2*M11,IF(M10="押三",M6*M8*M7/12*3*M11,J11*M11)))/10000,0)</f>
        <v>#N/A</v>
      </c>
      <c r="K10" s="2627" t="s">
        <v>2544</v>
      </c>
      <c r="L10" s="2090" t="s">
        <v>2538</v>
      </c>
      <c r="M10" s="2722" t="s">
        <v>2630</v>
      </c>
    </row>
    <row r="11" spans="1:37" ht="18" customHeight="1">
      <c r="A11" s="689"/>
      <c r="B11" s="2617" t="s">
        <v>2703</v>
      </c>
      <c r="C11" s="2408"/>
      <c r="D11" s="2863"/>
      <c r="E11" s="2090" t="s">
        <v>2539</v>
      </c>
      <c r="F11" s="695">
        <f ca="1">'数据-取费表'!B39</f>
        <v>1.4999999999999999E-2</v>
      </c>
      <c r="G11" s="2281"/>
      <c r="H11" s="2628"/>
      <c r="I11" s="2617" t="s">
        <v>2703</v>
      </c>
      <c r="J11" s="2408"/>
      <c r="K11" s="1280"/>
      <c r="L11" s="2090" t="s">
        <v>2539</v>
      </c>
      <c r="M11" s="2089">
        <f ca="1">'数据-取费表'!B39</f>
        <v>1.4999999999999999E-2</v>
      </c>
    </row>
    <row r="12" spans="1:37" ht="18" customHeight="1" thickBot="1">
      <c r="A12" s="2663" t="s">
        <v>2549</v>
      </c>
      <c r="B12" s="2664" t="s">
        <v>2537</v>
      </c>
      <c r="C12" s="2665"/>
      <c r="D12" s="2666"/>
      <c r="E12" s="2667"/>
      <c r="F12" s="2668"/>
      <c r="G12" s="2281"/>
      <c r="H12" s="2663" t="s">
        <v>2552</v>
      </c>
      <c r="I12" s="2664" t="s">
        <v>2537</v>
      </c>
      <c r="J12" s="2665"/>
      <c r="K12" s="2682"/>
      <c r="L12" s="2667"/>
      <c r="M12" s="2683"/>
    </row>
    <row r="13" spans="1:37" ht="18" customHeight="1" thickTop="1">
      <c r="A13" s="2659">
        <v>2</v>
      </c>
      <c r="B13" s="2660" t="s">
        <v>920</v>
      </c>
      <c r="C13" s="691" t="e">
        <f ca="1">ROUND(C29*F13,0)</f>
        <v>#N/A</v>
      </c>
      <c r="D13" s="2661" t="s">
        <v>921</v>
      </c>
      <c r="E13" s="2661" t="s">
        <v>922</v>
      </c>
      <c r="F13" s="2662" t="e">
        <f ca="1">INDIRECT("'数据-取费表'!y"&amp;$G$1)</f>
        <v>#N/A</v>
      </c>
      <c r="G13" s="2281"/>
      <c r="H13" s="2659">
        <v>2</v>
      </c>
      <c r="I13" s="2660" t="s">
        <v>920</v>
      </c>
      <c r="J13" s="2614" t="e">
        <f ca="1">ROUND(J14*J15,0)</f>
        <v>#N/A</v>
      </c>
      <c r="K13" s="2669" t="s">
        <v>921</v>
      </c>
      <c r="L13" s="2680"/>
      <c r="M13" s="2681"/>
    </row>
    <row r="14" spans="1:37" ht="18" customHeight="1">
      <c r="A14" s="2431" t="s">
        <v>2377</v>
      </c>
      <c r="B14" s="683" t="s">
        <v>357</v>
      </c>
      <c r="C14" s="701" t="e">
        <f ca="1">INDIRECT("'数据-取费表'!m"&amp;$G$1)+INDIRECT("'数据-取费表'!t"&amp;$G$1)</f>
        <v>#N/A</v>
      </c>
      <c r="D14" s="3373" t="s">
        <v>923</v>
      </c>
      <c r="E14" s="3371"/>
      <c r="F14" s="702"/>
      <c r="G14" s="2281"/>
      <c r="H14" s="2431" t="s">
        <v>2380</v>
      </c>
      <c r="I14" s="683" t="s">
        <v>924</v>
      </c>
      <c r="J14" s="313" t="e">
        <f ca="1">C29</f>
        <v>#N/A</v>
      </c>
      <c r="K14" s="303"/>
      <c r="L14" s="699"/>
      <c r="M14" s="700"/>
    </row>
    <row r="15" spans="1:37" s="705" customFormat="1" ht="18" customHeight="1" thickBot="1">
      <c r="A15" s="2431" t="s">
        <v>2613</v>
      </c>
      <c r="B15" s="683" t="s">
        <v>358</v>
      </c>
      <c r="C15" s="313" t="e">
        <f ca="1">ROUND(C14*F15,0)</f>
        <v>#N/A</v>
      </c>
      <c r="D15" s="703" t="s">
        <v>925</v>
      </c>
      <c r="E15" s="703" t="s">
        <v>926</v>
      </c>
      <c r="F15" s="704">
        <f>'数据-取费表'!B33</f>
        <v>0.03</v>
      </c>
      <c r="G15" s="2282"/>
      <c r="H15" s="2671" t="s">
        <v>2387</v>
      </c>
      <c r="I15" s="2672" t="s">
        <v>922</v>
      </c>
      <c r="J15" s="2683" t="e">
        <f ca="1">INDIRECT("'数据-取费表'!ad"&amp;$G$1)</f>
        <v>#N/A</v>
      </c>
      <c r="K15" s="2684"/>
      <c r="L15" s="2685"/>
      <c r="M15" s="2686"/>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1" t="s">
        <v>2614</v>
      </c>
      <c r="B16" s="683" t="s">
        <v>359</v>
      </c>
      <c r="C16" s="313" t="e">
        <f ca="1">ROUND(INDIRECT("'数据-取费表'!m"&amp;$G$1)*F16,0)</f>
        <v>#N/A</v>
      </c>
      <c r="D16" s="683" t="s">
        <v>925</v>
      </c>
      <c r="E16" s="683" t="s">
        <v>926</v>
      </c>
      <c r="F16" s="706" t="e">
        <f ca="1">IF(INDIRECT("'数据-取费表'!c"&amp;$G$1)="住宅",'数据-取费表'!B34,0)</f>
        <v>#N/A</v>
      </c>
      <c r="G16" s="2281"/>
      <c r="H16" s="2659" t="s">
        <v>2345</v>
      </c>
      <c r="I16" s="2660" t="s">
        <v>927</v>
      </c>
      <c r="J16" s="691" t="e">
        <f ca="1">ROUND(J17+J22+J23+J24,0)</f>
        <v>#N/A</v>
      </c>
      <c r="K16" s="2669" t="s">
        <v>928</v>
      </c>
      <c r="L16" s="2670"/>
      <c r="M16" s="2621"/>
    </row>
    <row r="17" spans="1:37" s="705" customFormat="1" ht="18" customHeight="1">
      <c r="A17" s="2431" t="s">
        <v>2615</v>
      </c>
      <c r="B17" s="683" t="s">
        <v>360</v>
      </c>
      <c r="C17" s="313" t="e">
        <f ca="1">ROUND(F17*(F43+INDIRECT("'数据-取费表'!S"&amp;$G$1))/10000,0)</f>
        <v>#N/A</v>
      </c>
      <c r="D17" s="683" t="s">
        <v>929</v>
      </c>
      <c r="E17" s="683" t="s">
        <v>930</v>
      </c>
      <c r="F17" s="315">
        <f>'数据-取费表'!B35</f>
        <v>150</v>
      </c>
      <c r="G17" s="2282"/>
      <c r="H17" s="2431" t="s">
        <v>2380</v>
      </c>
      <c r="I17" s="683" t="s">
        <v>361</v>
      </c>
      <c r="J17" s="313" t="e">
        <f ca="1">ROUND(IF(项目基本情况!B11="自然人",J5*M17,J18+J19+J20),1)</f>
        <v>#N/A</v>
      </c>
      <c r="K17" s="3373" t="s">
        <v>931</v>
      </c>
      <c r="L17" s="3372" t="s">
        <v>932</v>
      </c>
      <c r="M17" s="707" t="e">
        <f ca="1">IF(项目基本情况!B11="企业","",IF(INDIRECT("'数据-取费表'!c"&amp;$G$1)="住宅",5%,IF(M6*M7*M8/12/(1+'数据-取费表'!C42)&gt;20000,12%,7%)))</f>
        <v>#N/A</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1" t="s">
        <v>2616</v>
      </c>
      <c r="B18" s="683" t="s">
        <v>362</v>
      </c>
      <c r="C18" s="313" t="e">
        <f ca="1">ROUND(C14*F18,0)</f>
        <v>#N/A</v>
      </c>
      <c r="D18" s="683" t="s">
        <v>925</v>
      </c>
      <c r="E18" s="683" t="s">
        <v>926</v>
      </c>
      <c r="F18" s="706">
        <f>'数据-取费表'!B36</f>
        <v>1.4999999999999999E-2</v>
      </c>
      <c r="G18" s="2282"/>
      <c r="H18" s="2431" t="s">
        <v>2377</v>
      </c>
      <c r="I18" s="683" t="s">
        <v>933</v>
      </c>
      <c r="J18" s="313" t="e">
        <f ca="1">ROUND(J5*M18/(1+'数据-取费表'!C42),2)</f>
        <v>#N/A</v>
      </c>
      <c r="K18" s="3372" t="s">
        <v>934</v>
      </c>
      <c r="L18" s="683" t="s">
        <v>926</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1" t="s">
        <v>2547</v>
      </c>
      <c r="B19" s="683" t="s">
        <v>364</v>
      </c>
      <c r="C19" s="313" t="e">
        <f ca="1">SUM(C14:C18)</f>
        <v>#N/A</v>
      </c>
      <c r="D19" s="470" t="s">
        <v>935</v>
      </c>
      <c r="E19" s="3376"/>
      <c r="F19" s="315"/>
      <c r="G19" s="2281"/>
      <c r="H19" s="2431" t="s">
        <v>2613</v>
      </c>
      <c r="I19" s="683" t="s">
        <v>936</v>
      </c>
      <c r="J19" s="313" t="e">
        <f ca="1">IF(K19="按租金收入计税",ROUND(J5*M19,2),ROUND(C29*M19*0.7,2))</f>
        <v>#N/A</v>
      </c>
      <c r="K19" s="1300" t="s">
        <v>2420</v>
      </c>
      <c r="L19" s="683" t="s">
        <v>926</v>
      </c>
      <c r="M19" s="706">
        <f>IF(K19="按租金收入计税",'数据-取费表'!B51,'数据-取费表'!B50)</f>
        <v>1.2E-2</v>
      </c>
    </row>
    <row r="20" spans="1:37" s="705" customFormat="1" ht="18" customHeight="1">
      <c r="A20" s="2431" t="s">
        <v>2617</v>
      </c>
      <c r="B20" s="683" t="s">
        <v>365</v>
      </c>
      <c r="C20" s="313" t="e">
        <f ca="1">ROUND(C19*F20,0)</f>
        <v>#N/A</v>
      </c>
      <c r="D20" s="708" t="s">
        <v>937</v>
      </c>
      <c r="E20" s="683" t="s">
        <v>926</v>
      </c>
      <c r="F20" s="706">
        <f>'数据-取费表'!B37</f>
        <v>1.4999999999999999E-2</v>
      </c>
      <c r="G20" s="2282"/>
      <c r="H20" s="2431" t="s">
        <v>2614</v>
      </c>
      <c r="I20" s="495" t="s">
        <v>938</v>
      </c>
      <c r="J20" s="314" t="e">
        <f ca="1">ROUND(M20*M21/10000,2)</f>
        <v>#N/A</v>
      </c>
      <c r="K20" s="709" t="s">
        <v>939</v>
      </c>
      <c r="L20" s="683" t="s">
        <v>940</v>
      </c>
      <c r="M20" s="710">
        <f>'数据-取费表'!B52</f>
        <v>7</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1" t="s">
        <v>2618</v>
      </c>
      <c r="B21" s="683" t="s">
        <v>941</v>
      </c>
      <c r="C21" s="313" t="s">
        <v>23</v>
      </c>
      <c r="D21" s="708" t="s">
        <v>942</v>
      </c>
      <c r="E21" s="683" t="s">
        <v>943</v>
      </c>
      <c r="F21" s="706">
        <f>'数据-取费表'!B38</f>
        <v>2.5000000000000001E-2</v>
      </c>
      <c r="G21" s="2282"/>
      <c r="H21" s="711"/>
      <c r="I21" s="692"/>
      <c r="J21" s="318"/>
      <c r="K21" s="712"/>
      <c r="L21" s="683" t="s">
        <v>944</v>
      </c>
      <c r="M21" s="684"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1" t="s">
        <v>2619</v>
      </c>
      <c r="B22" s="683" t="s">
        <v>945</v>
      </c>
      <c r="C22" s="313"/>
      <c r="D22" s="2694" t="str">
        <f>IF(F23&lt;=1,"单利计息。","复利计息。")&amp;"建造成本、管理费用、销售费用产生的利息。"</f>
        <v>复利计息。建造成本、管理费用、销售费用产生的利息。</v>
      </c>
      <c r="E22" s="3376"/>
      <c r="F22" s="315"/>
      <c r="G22" s="2281"/>
      <c r="H22" s="2431" t="s">
        <v>2387</v>
      </c>
      <c r="I22" s="683" t="s">
        <v>946</v>
      </c>
      <c r="J22" s="313" t="e">
        <f ca="1">ROUND(J14*M22,1)</f>
        <v>#N/A</v>
      </c>
      <c r="K22" s="3372" t="s">
        <v>947</v>
      </c>
      <c r="L22" s="683" t="s">
        <v>926</v>
      </c>
      <c r="M22" s="713" t="e">
        <f ca="1">INDIRECT("'数据-取费表'!Ak"&amp;$G$1)</f>
        <v>#N/A</v>
      </c>
    </row>
    <row r="23" spans="1:37" s="705" customFormat="1" ht="18" customHeight="1">
      <c r="A23" s="2431" t="s">
        <v>2377</v>
      </c>
      <c r="B23" s="683" t="s">
        <v>2533</v>
      </c>
      <c r="C23" s="313" t="e">
        <f ca="1">IF('数据-取费表'!B22&lt;=1,ROUND(C19*F24*F23/2,0)+ROUND(C20*F24*F23/2,0),ROUND(C19*(POWER((1+F24),F23/2)-1),0)+ROUND(C20*(POWER((1+F24),F23/2)-1),0))</f>
        <v>#N/A</v>
      </c>
      <c r="D23" s="2698" t="str">
        <f>IF(F23&lt;=1,"(建造成本+管理费用)×利率×(建设周期÷2)","(建造成本+管理费用)×((1+利率)^(建设周期÷2)-1)")</f>
        <v>(建造成本+管理费用)×((1+利率)^(建设周期÷2)-1)</v>
      </c>
      <c r="E23" s="683" t="s">
        <v>948</v>
      </c>
      <c r="F23" s="710">
        <f>'数据-取费表'!B20</f>
        <v>1.5</v>
      </c>
      <c r="G23" s="2282"/>
      <c r="H23" s="2431" t="s">
        <v>2618</v>
      </c>
      <c r="I23" s="683" t="s">
        <v>366</v>
      </c>
      <c r="J23" s="313" t="e">
        <f ca="1">ROUND(J13*M23,1)</f>
        <v>#N/A</v>
      </c>
      <c r="K23" s="3372" t="s">
        <v>367</v>
      </c>
      <c r="L23" s="683" t="s">
        <v>926</v>
      </c>
      <c r="M23" s="715"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1" t="s">
        <v>2383</v>
      </c>
      <c r="B24" s="683" t="s">
        <v>950</v>
      </c>
      <c r="C24" s="313">
        <f ca="1">ROUND(IF('数据-取费表'!B22&lt;=1,F21*F24*F23/2,F21*(POWER((1+F24),F23/2)-1)),4)</f>
        <v>8.9999999999999998E-4</v>
      </c>
      <c r="D24" s="2698" t="str">
        <f>IF(F23&lt;=1,"销售费用×利率×(建设周期÷2)","销售费用×((1+利率)^(建设周期÷2)-1)")</f>
        <v>销售费用×((1+利率)^(建设周期÷2)-1)</v>
      </c>
      <c r="E24" s="683" t="s">
        <v>951</v>
      </c>
      <c r="F24" s="716">
        <f ca="1">'数据-取费表'!B40</f>
        <v>4.7500000000000001E-2</v>
      </c>
      <c r="G24" s="2282"/>
      <c r="H24" s="2671" t="s">
        <v>2619</v>
      </c>
      <c r="I24" s="2672" t="s">
        <v>365</v>
      </c>
      <c r="J24" s="2673" t="e">
        <f ca="1">ROUND(J5*M24,1)</f>
        <v>#N/A</v>
      </c>
      <c r="K24" s="2674" t="s">
        <v>952</v>
      </c>
      <c r="L24" s="2672" t="s">
        <v>926</v>
      </c>
      <c r="M24" s="2668"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1" t="s">
        <v>2384</v>
      </c>
      <c r="B25" s="683" t="s">
        <v>370</v>
      </c>
      <c r="C25" s="313"/>
      <c r="D25" s="470" t="s">
        <v>953</v>
      </c>
      <c r="E25" s="3376"/>
      <c r="F25" s="315"/>
      <c r="G25" s="2281"/>
      <c r="H25" s="2659" t="s">
        <v>2360</v>
      </c>
      <c r="I25" s="2676" t="s">
        <v>375</v>
      </c>
      <c r="J25" s="691" t="e">
        <f ca="1">J5-J16</f>
        <v>#N/A</v>
      </c>
      <c r="K25" s="2677" t="s">
        <v>376</v>
      </c>
      <c r="L25" s="2678"/>
      <c r="M25" s="2679"/>
    </row>
    <row r="26" spans="1:37" ht="18" customHeight="1">
      <c r="A26" s="2431" t="s">
        <v>2377</v>
      </c>
      <c r="B26" s="683" t="s">
        <v>2534</v>
      </c>
      <c r="C26" s="313" t="e">
        <f ca="1">ROUND((C19+C20)*F26,0)</f>
        <v>#N/A</v>
      </c>
      <c r="D26" s="708" t="s">
        <v>956</v>
      </c>
      <c r="E26" s="694" t="s">
        <v>957</v>
      </c>
      <c r="F26" s="693" t="e">
        <f ca="1">INDIRECT("'数据-取费表'!q"&amp;$G$1)</f>
        <v>#N/A</v>
      </c>
      <c r="G26" s="2281"/>
      <c r="H26" s="680" t="s">
        <v>2363</v>
      </c>
      <c r="I26" s="681" t="s">
        <v>958</v>
      </c>
      <c r="J26" s="682" t="e">
        <f ca="1">IF(J5&lt;&gt;0,ROUND(J25*(1-((1+M28)/(1+M26))^M27)/(M26-M28),0),0)</f>
        <v>#N/A</v>
      </c>
      <c r="K26" s="709" t="s">
        <v>371</v>
      </c>
      <c r="L26" s="683" t="s">
        <v>965</v>
      </c>
      <c r="M26" s="693" t="e">
        <f ca="1">INDIRECT("'数据-取费表'!I"&amp;$G$1)</f>
        <v>#N/A</v>
      </c>
    </row>
    <row r="27" spans="1:37" ht="18" customHeight="1">
      <c r="A27" s="2431" t="s">
        <v>2383</v>
      </c>
      <c r="B27" s="683" t="s">
        <v>373</v>
      </c>
      <c r="C27" s="313" t="e">
        <f ca="1">ROUND(F21*F26,4)</f>
        <v>#N/A</v>
      </c>
      <c r="D27" s="708" t="s">
        <v>960</v>
      </c>
      <c r="E27" s="703"/>
      <c r="F27" s="704"/>
      <c r="G27" s="2281"/>
      <c r="H27" s="685"/>
      <c r="I27" s="686"/>
      <c r="J27" s="687"/>
      <c r="K27" s="717" t="s">
        <v>961</v>
      </c>
      <c r="L27" s="683" t="s">
        <v>966</v>
      </c>
      <c r="M27" s="718" t="e">
        <f ca="1">INDIRECT("'数据-取费表'!ag"&amp;$G$1)</f>
        <v>#N/A</v>
      </c>
    </row>
    <row r="28" spans="1:37" s="705" customFormat="1" ht="18" customHeight="1">
      <c r="A28" s="2431" t="s">
        <v>2385</v>
      </c>
      <c r="B28" s="683" t="s">
        <v>374</v>
      </c>
      <c r="C28" s="313">
        <f>ROUND(F28/(1+'数据-取费表'!C42),4)</f>
        <v>5.33E-2</v>
      </c>
      <c r="D28" s="708" t="s">
        <v>967</v>
      </c>
      <c r="E28" s="683" t="s">
        <v>926</v>
      </c>
      <c r="F28" s="706">
        <f>'数据-取费表'!B41</f>
        <v>5.6000000000000001E-2</v>
      </c>
      <c r="G28" s="2282"/>
      <c r="H28" s="689"/>
      <c r="I28" s="690"/>
      <c r="J28" s="691"/>
      <c r="K28" s="712"/>
      <c r="L28" s="683" t="s">
        <v>380</v>
      </c>
      <c r="M28" s="693"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1" t="s">
        <v>2386</v>
      </c>
      <c r="B29" s="2672" t="s">
        <v>969</v>
      </c>
      <c r="C29" s="2673" t="e">
        <f ca="1">ROUND((C19+C20+C23+C26)/(1-F21-C24-C27-C28),0)</f>
        <v>#N/A</v>
      </c>
      <c r="D29" s="2674"/>
      <c r="E29" s="2672"/>
      <c r="F29" s="2675"/>
      <c r="G29" s="2282"/>
      <c r="H29" s="719" t="s">
        <v>2370</v>
      </c>
      <c r="I29" s="720" t="s">
        <v>962</v>
      </c>
      <c r="J29" s="721" t="e">
        <f ca="1">ROUND(J26/(1+F40)^F41,0)</f>
        <v>#N/A</v>
      </c>
      <c r="K29" s="722" t="s">
        <v>963</v>
      </c>
      <c r="L29" s="723"/>
      <c r="M29" s="724"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59" t="s">
        <v>2345</v>
      </c>
      <c r="B30" s="2660" t="s">
        <v>927</v>
      </c>
      <c r="C30" s="691" t="e">
        <f ca="1">ROUND(C31+C36+C37+C38,0)</f>
        <v>#N/A</v>
      </c>
      <c r="D30" s="2669" t="s">
        <v>928</v>
      </c>
      <c r="E30" s="2670"/>
      <c r="F30" s="2621"/>
      <c r="G30" s="2281"/>
      <c r="H30" s="1277"/>
      <c r="I30" s="1278"/>
      <c r="J30" s="1279"/>
      <c r="K30" s="1280"/>
      <c r="L30" s="1281"/>
      <c r="M30" s="1282"/>
    </row>
    <row r="31" spans="1:37" ht="18" customHeight="1">
      <c r="A31" s="2431" t="s">
        <v>2547</v>
      </c>
      <c r="B31" s="683" t="s">
        <v>361</v>
      </c>
      <c r="C31" s="313" t="e">
        <f ca="1">ROUND(IF(项目基本情况!B11="自然人",C5*F31,C32+C33+C34),1)</f>
        <v>#N/A</v>
      </c>
      <c r="D31" s="3373" t="s">
        <v>931</v>
      </c>
      <c r="E31" s="3372" t="s">
        <v>970</v>
      </c>
      <c r="F31" s="707" t="e">
        <f ca="1">IF(项目基本情况!B11="企业","",IF(INDIRECT("'数据-取费表'!c"&amp;$G$1)="住宅",5%,IF(F6*F7*F8/12/(1+'数据-取费表'!C42)&gt;20000,12%,7%)))</f>
        <v>#N/A</v>
      </c>
      <c r="G31" s="2281"/>
      <c r="H31" s="1277"/>
      <c r="I31" s="1278"/>
      <c r="J31" s="1279"/>
      <c r="K31" s="1280"/>
      <c r="L31" s="1281"/>
      <c r="M31" s="1282"/>
    </row>
    <row r="32" spans="1:37" ht="18" customHeight="1">
      <c r="A32" s="2431" t="s">
        <v>2377</v>
      </c>
      <c r="B32" s="683" t="s">
        <v>933</v>
      </c>
      <c r="C32" s="313" t="e">
        <f ca="1">IF(项目基本情况!B11="自然人","——",ROUND(C5*F32/(1+'数据-取费表'!C42),2))</f>
        <v>#N/A</v>
      </c>
      <c r="D32" s="3372" t="s">
        <v>934</v>
      </c>
      <c r="E32" s="683" t="s">
        <v>926</v>
      </c>
      <c r="F32" s="716">
        <f>'数据-取费表'!B41</f>
        <v>5.6000000000000001E-2</v>
      </c>
      <c r="G32" s="2281"/>
      <c r="H32" s="1283"/>
      <c r="I32" s="1284"/>
      <c r="J32" s="1285"/>
      <c r="K32" s="1286"/>
      <c r="L32" s="1287"/>
      <c r="M32" s="1288"/>
    </row>
    <row r="33" spans="1:18" ht="18" customHeight="1">
      <c r="A33" s="2431" t="s">
        <v>2613</v>
      </c>
      <c r="B33" s="683" t="s">
        <v>936</v>
      </c>
      <c r="C33" s="313" t="e">
        <f ca="1">IF(项目基本情况!B11="自然人","——",IF(D33="按租金收入计税",ROUND(C5*F33,2),IF(D33="按房产原值计税",ROUND(C29*F33*0.7,2),INDIRECT("'数据-取费表'!Aj"&amp;$G$1))))</f>
        <v>#N/A</v>
      </c>
      <c r="D33" s="1300" t="s">
        <v>2420</v>
      </c>
      <c r="E33" s="683" t="s">
        <v>363</v>
      </c>
      <c r="F33" s="706">
        <f>IF(D33="按票据","——",IF(D33="按租金收入计税",'数据-取费表'!B51,'数据-取费表'!B50))</f>
        <v>1.2E-2</v>
      </c>
      <c r="G33" s="2281"/>
      <c r="H33" s="1289"/>
      <c r="I33" s="2877"/>
      <c r="J33" s="2878"/>
      <c r="K33" s="1290"/>
      <c r="L33" s="1289"/>
      <c r="M33" s="1289"/>
    </row>
    <row r="34" spans="1:18" ht="18" customHeight="1">
      <c r="A34" s="2615" t="s">
        <v>2614</v>
      </c>
      <c r="B34" s="495" t="s">
        <v>971</v>
      </c>
      <c r="C34" s="314" t="e">
        <f ca="1">IF(项目基本情况!B11="自然人","——",ROUND(F34*F35/10000,2))</f>
        <v>#N/A</v>
      </c>
      <c r="D34" s="709" t="s">
        <v>972</v>
      </c>
      <c r="E34" s="683" t="s">
        <v>973</v>
      </c>
      <c r="F34" s="710">
        <f>'数据-取费表'!B52</f>
        <v>7</v>
      </c>
      <c r="G34" s="2281"/>
      <c r="H34" s="1277"/>
      <c r="I34" s="2877"/>
      <c r="J34" s="2878"/>
      <c r="K34" s="1291"/>
      <c r="L34" s="1292"/>
      <c r="M34" s="1292"/>
    </row>
    <row r="35" spans="1:18" ht="18" customHeight="1">
      <c r="A35" s="2689"/>
      <c r="B35" s="2687"/>
      <c r="C35" s="318"/>
      <c r="D35" s="712"/>
      <c r="E35" s="683" t="s">
        <v>944</v>
      </c>
      <c r="F35" s="684" t="e">
        <f ca="1">INDIRECT("'数据-取费表'!r"&amp;$G$1)</f>
        <v>#N/A</v>
      </c>
      <c r="G35" s="2281"/>
      <c r="H35" s="1277"/>
      <c r="I35" s="2877"/>
      <c r="J35" s="2878"/>
      <c r="K35" s="1290"/>
      <c r="L35" s="1289"/>
      <c r="M35" s="1289"/>
    </row>
    <row r="36" spans="1:18" ht="18" customHeight="1">
      <c r="A36" s="2688" t="s">
        <v>2387</v>
      </c>
      <c r="B36" s="683" t="s">
        <v>946</v>
      </c>
      <c r="C36" s="313" t="e">
        <f ca="1">ROUND(C29*F36,1)</f>
        <v>#N/A</v>
      </c>
      <c r="D36" s="3372" t="s">
        <v>976</v>
      </c>
      <c r="E36" s="683" t="s">
        <v>363</v>
      </c>
      <c r="F36" s="713" t="e">
        <f ca="1">INDIRECT("'数据-取费表'!Ak"&amp;$G$1)</f>
        <v>#N/A</v>
      </c>
      <c r="G36" s="2281"/>
      <c r="H36" s="1289"/>
      <c r="I36" s="2877"/>
      <c r="J36" s="2878"/>
      <c r="K36" s="1293"/>
      <c r="L36" s="1289"/>
      <c r="M36" s="1289"/>
    </row>
    <row r="37" spans="1:18" ht="18" customHeight="1">
      <c r="A37" s="2431" t="s">
        <v>2618</v>
      </c>
      <c r="B37" s="683" t="s">
        <v>366</v>
      </c>
      <c r="C37" s="313" t="e">
        <f ca="1">ROUND(C13*F37,1)</f>
        <v>#N/A</v>
      </c>
      <c r="D37" s="3372" t="s">
        <v>367</v>
      </c>
      <c r="E37" s="683" t="s">
        <v>363</v>
      </c>
      <c r="F37" s="715" t="e">
        <f ca="1">INDIRECT("'数据-取费表'!Al"&amp;$G$1)</f>
        <v>#N/A</v>
      </c>
      <c r="G37" s="2281"/>
      <c r="H37" s="1289"/>
      <c r="I37" s="2877"/>
      <c r="J37" s="2878"/>
      <c r="K37" s="1293"/>
      <c r="L37" s="1289"/>
      <c r="M37" s="1289"/>
    </row>
    <row r="38" spans="1:18" ht="18" customHeight="1" thickBot="1">
      <c r="A38" s="2671" t="s">
        <v>2619</v>
      </c>
      <c r="B38" s="2672" t="s">
        <v>365</v>
      </c>
      <c r="C38" s="2673" t="e">
        <f ca="1">ROUND(C5*F38,1)</f>
        <v>#N/A</v>
      </c>
      <c r="D38" s="2674" t="s">
        <v>369</v>
      </c>
      <c r="E38" s="2672" t="s">
        <v>363</v>
      </c>
      <c r="F38" s="2668" t="e">
        <f ca="1">INDIRECT("'数据-取费表'!Am"&amp;$G$1)</f>
        <v>#N/A</v>
      </c>
      <c r="G38" s="2281"/>
      <c r="H38" s="1289"/>
      <c r="I38" s="2877"/>
      <c r="J38" s="2878"/>
      <c r="K38" s="1294"/>
      <c r="L38" s="1289"/>
      <c r="M38" s="1289"/>
    </row>
    <row r="39" spans="1:18" ht="24.6" customHeight="1" thickTop="1">
      <c r="A39" s="2659" t="s">
        <v>2360</v>
      </c>
      <c r="B39" s="2676" t="s">
        <v>375</v>
      </c>
      <c r="C39" s="691" t="e">
        <f ca="1">C5-C30</f>
        <v>#N/A</v>
      </c>
      <c r="D39" s="2677" t="s">
        <v>376</v>
      </c>
      <c r="E39" s="2678"/>
      <c r="F39" s="2679"/>
      <c r="G39" s="2281"/>
      <c r="H39" s="1289"/>
      <c r="I39" s="2877"/>
      <c r="J39" s="2878"/>
      <c r="K39" s="1294"/>
      <c r="L39" s="1289"/>
      <c r="M39" s="1289"/>
    </row>
    <row r="40" spans="1:18" ht="18" customHeight="1">
      <c r="A40" s="680" t="s">
        <v>2363</v>
      </c>
      <c r="B40" s="681" t="s">
        <v>377</v>
      </c>
      <c r="C40" s="682" t="e">
        <f ca="1">ROUND(C39*(1-((1+F42)/(1+F40))^F41)/(F40-F42),0)</f>
        <v>#N/A</v>
      </c>
      <c r="D40" s="709" t="s">
        <v>371</v>
      </c>
      <c r="E40" s="683" t="s">
        <v>372</v>
      </c>
      <c r="F40" s="693" t="e">
        <f ca="1">INDIRECT("'数据-取费表'!I"&amp;$G$1)</f>
        <v>#N/A</v>
      </c>
      <c r="G40" s="2281"/>
      <c r="H40" s="1295"/>
      <c r="I40" s="2877"/>
      <c r="J40" s="2878"/>
      <c r="K40" s="1294"/>
      <c r="L40" s="1295"/>
      <c r="M40" s="1295"/>
    </row>
    <row r="41" spans="1:18" ht="18" customHeight="1">
      <c r="A41" s="685"/>
      <c r="B41" s="686"/>
      <c r="C41" s="687"/>
      <c r="D41" s="717" t="s">
        <v>378</v>
      </c>
      <c r="E41" s="683" t="s">
        <v>379</v>
      </c>
      <c r="F41" s="718" t="e">
        <f ca="1">IF(INDIRECT("'数据-取费表'!af"&amp;$G$1)=0,INDIRECT("'数据-取费表'!ae"&amp;$G$1),INDIRECT("'数据-取费表'!af"&amp;$G$1))</f>
        <v>#N/A</v>
      </c>
      <c r="G41" s="2281"/>
      <c r="H41" s="1191"/>
      <c r="I41" s="2877"/>
      <c r="J41" s="2878"/>
      <c r="K41" s="1293"/>
      <c r="L41" s="1191"/>
      <c r="M41" s="1191"/>
    </row>
    <row r="42" spans="1:18" ht="18" customHeight="1">
      <c r="A42" s="689"/>
      <c r="B42" s="690"/>
      <c r="C42" s="691"/>
      <c r="D42" s="712"/>
      <c r="E42" s="683" t="s">
        <v>380</v>
      </c>
      <c r="F42" s="693" t="e">
        <f ca="1">INDIRECT("'数据-取费表'!v"&amp;$G$1)</f>
        <v>#N/A</v>
      </c>
      <c r="G42" s="2281"/>
      <c r="H42" s="1191"/>
      <c r="I42" s="2877"/>
      <c r="J42" s="2878"/>
      <c r="K42" s="1293"/>
      <c r="L42" s="1191"/>
      <c r="M42" s="1191"/>
    </row>
    <row r="43" spans="1:18" ht="18" customHeight="1" thickBot="1">
      <c r="A43" s="719" t="s">
        <v>2370</v>
      </c>
      <c r="B43" s="720" t="s">
        <v>381</v>
      </c>
      <c r="C43" s="721" t="e">
        <f ca="1">ROUND(C40*10000/F43,0)</f>
        <v>#N/A</v>
      </c>
      <c r="D43" s="722" t="s">
        <v>382</v>
      </c>
      <c r="E43" s="723" t="s">
        <v>383</v>
      </c>
      <c r="F43" s="724" t="e">
        <f ca="1">INDIRECT("'数据-取费表'!k"&amp;$G$1)</f>
        <v>#N/A</v>
      </c>
      <c r="G43" s="2281"/>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4" t="s">
        <v>2493</v>
      </c>
      <c r="P45" s="1295"/>
      <c r="Q45" s="1295"/>
      <c r="R45" s="1295"/>
    </row>
    <row r="46" spans="1:18" s="1454" customFormat="1" ht="21" thickBot="1">
      <c r="A46" s="2389" t="s">
        <v>2332</v>
      </c>
      <c r="B46" s="2390"/>
      <c r="C46" s="2718" t="e">
        <f ca="1">C68-C40</f>
        <v>#N/A</v>
      </c>
      <c r="D46" s="2719" t="str">
        <f>C2</f>
        <v>万元</v>
      </c>
      <c r="E46" s="1432"/>
      <c r="F46" s="1432"/>
      <c r="I46" s="2571" t="s">
        <v>2428</v>
      </c>
      <c r="J46" s="2572"/>
      <c r="K46" s="2573"/>
      <c r="L46" s="2575" t="e">
        <f ca="1">IF(M47="住宅",0,IF(L48&gt;J51,L60,J60))</f>
        <v>#N/A</v>
      </c>
      <c r="O46" s="2587" t="s">
        <v>2471</v>
      </c>
      <c r="P46" s="2588" t="s">
        <v>2472</v>
      </c>
      <c r="Q46" s="2589" t="s">
        <v>2470</v>
      </c>
      <c r="R46" s="2589" t="s">
        <v>2473</v>
      </c>
    </row>
    <row r="47" spans="1:18" s="1454" customFormat="1" ht="15.75" thickBot="1">
      <c r="A47" s="2391" t="s">
        <v>2334</v>
      </c>
      <c r="B47" s="2427" t="s">
        <v>2335</v>
      </c>
      <c r="C47" s="2723" t="s">
        <v>2336</v>
      </c>
      <c r="D47" s="2427" t="s">
        <v>2337</v>
      </c>
      <c r="E47" s="2530" t="s">
        <v>2338</v>
      </c>
      <c r="F47" s="2531"/>
      <c r="G47" s="1456"/>
      <c r="I47" s="2546" t="s">
        <v>2421</v>
      </c>
      <c r="J47" s="2547" t="s">
        <v>3225</v>
      </c>
      <c r="K47" s="2556" t="s">
        <v>2444</v>
      </c>
      <c r="L47" s="2557" t="e">
        <f ca="1">INDIRECT("'数据-取费表'!d"&amp;$G$1)</f>
        <v>#N/A</v>
      </c>
      <c r="M47" s="2577" t="str">
        <f>IF(ISNUMBER(FIND("住宅",C1)),"住宅","非住宅")</f>
        <v>非住宅</v>
      </c>
      <c r="O47" s="2580" t="s">
        <v>2456</v>
      </c>
      <c r="P47" s="2590" t="s">
        <v>2474</v>
      </c>
      <c r="Q47" s="2581" t="e">
        <f ca="1">C40+J29</f>
        <v>#N/A</v>
      </c>
      <c r="R47" s="2581" t="s">
        <v>2475</v>
      </c>
    </row>
    <row r="48" spans="1:18" s="1454" customFormat="1" ht="47.25" thickBot="1">
      <c r="A48" s="2704" t="s">
        <v>2624</v>
      </c>
      <c r="B48" s="681" t="s">
        <v>2339</v>
      </c>
      <c r="C48" s="3375" t="e">
        <f ca="1">C49+C53+C55</f>
        <v>#N/A</v>
      </c>
      <c r="D48" s="2708"/>
      <c r="E48" s="2709"/>
      <c r="F48" s="2411"/>
      <c r="G48" s="1456"/>
      <c r="H48" s="1457"/>
      <c r="I48" s="2537" t="s">
        <v>2422</v>
      </c>
      <c r="J48" s="2548" t="s">
        <v>2423</v>
      </c>
      <c r="K48" s="2558" t="s">
        <v>681</v>
      </c>
      <c r="L48" s="2161" t="e">
        <f ca="1">INDIRECT("'数据-取费表'!f"&amp;$G$1)</f>
        <v>#N/A</v>
      </c>
      <c r="O48" s="2580" t="s">
        <v>2457</v>
      </c>
      <c r="P48" s="2590" t="s">
        <v>2476</v>
      </c>
      <c r="Q48" s="2581" t="e">
        <f ca="1">J60</f>
        <v>#N/A</v>
      </c>
      <c r="R48" s="2581" t="s">
        <v>2484</v>
      </c>
    </row>
    <row r="49" spans="1:18" s="1454" customFormat="1" ht="16.5" thickBot="1">
      <c r="A49" s="2424" t="s">
        <v>2625</v>
      </c>
      <c r="B49" s="2707" t="s">
        <v>2627</v>
      </c>
      <c r="C49" s="2716" t="e">
        <f ca="1">ROUND(F49*F51*F50*(1-F52)/10000,0)</f>
        <v>#N/A</v>
      </c>
      <c r="D49" s="2526" t="s">
        <v>2340</v>
      </c>
      <c r="E49" s="2529" t="s">
        <v>2333</v>
      </c>
      <c r="F49" s="2532"/>
      <c r="G49" s="1458"/>
      <c r="H49" s="1457"/>
      <c r="I49" s="2537" t="s">
        <v>2442</v>
      </c>
      <c r="J49" s="3335">
        <v>2017</v>
      </c>
      <c r="K49" s="2559" t="s">
        <v>2447</v>
      </c>
      <c r="L49" s="2560"/>
      <c r="O49" s="2582" t="s">
        <v>2458</v>
      </c>
      <c r="P49" s="2590" t="s">
        <v>2477</v>
      </c>
      <c r="Q49" s="2581" t="e">
        <f ca="1">C29</f>
        <v>#N/A</v>
      </c>
      <c r="R49" s="2581" t="s">
        <v>2475</v>
      </c>
    </row>
    <row r="50" spans="1:18" s="1454" customFormat="1" ht="15.75" thickBot="1">
      <c r="A50" s="2425"/>
      <c r="B50" s="2428"/>
      <c r="C50" s="2724"/>
      <c r="D50" s="2398"/>
      <c r="E50" s="2527" t="s">
        <v>2341</v>
      </c>
      <c r="F50" s="2528" t="e">
        <f ca="1">F7</f>
        <v>#N/A</v>
      </c>
      <c r="H50" s="1457"/>
      <c r="I50" s="2537" t="s">
        <v>2424</v>
      </c>
      <c r="J50" s="2550">
        <f>SUMPRODUCT((I63:I65=J47)*(J62:L62=J48)*(J63:L65))</f>
        <v>80</v>
      </c>
      <c r="K50" s="2559" t="s">
        <v>2448</v>
      </c>
      <c r="L50" s="2560"/>
      <c r="M50" s="2554"/>
      <c r="O50" s="2582" t="s">
        <v>2459</v>
      </c>
      <c r="P50" s="2590" t="s">
        <v>2485</v>
      </c>
      <c r="Q50" s="2583" t="e">
        <f ca="1">J58</f>
        <v>#N/A</v>
      </c>
      <c r="R50" s="2581"/>
    </row>
    <row r="51" spans="1:18" s="1454" customFormat="1" ht="15.75" thickBot="1">
      <c r="A51" s="2426"/>
      <c r="B51" s="2428"/>
      <c r="C51" s="2429"/>
      <c r="D51" s="2398"/>
      <c r="E51" s="2430" t="s">
        <v>2342</v>
      </c>
      <c r="F51" s="684" t="e">
        <f ca="1">F8</f>
        <v>#N/A</v>
      </c>
      <c r="I51" s="2551" t="s">
        <v>2429</v>
      </c>
      <c r="J51" s="2552">
        <f>IF(J49="",J50,J49+J50-YEAR('数据-取费表'!B2))</f>
        <v>80</v>
      </c>
      <c r="K51" s="2561" t="s">
        <v>2449</v>
      </c>
      <c r="L51" s="2574" t="e">
        <f ca="1">ROUND(-PV(INDIRECT("'数据-取费表'!h"&amp;$G$1),L48,(C39-C13*C76),0),0)</f>
        <v>#N/A</v>
      </c>
      <c r="M51" s="2555"/>
      <c r="O51" s="2582" t="s">
        <v>2460</v>
      </c>
      <c r="P51" s="2590" t="s">
        <v>2486</v>
      </c>
      <c r="Q51" s="2583">
        <f>J52</f>
        <v>7.4999999999999997E-2</v>
      </c>
      <c r="R51" s="2581"/>
    </row>
    <row r="52" spans="1:18" s="1454" customFormat="1" ht="15.75" thickBot="1">
      <c r="A52" s="2426"/>
      <c r="B52" s="2428"/>
      <c r="C52" s="2429"/>
      <c r="D52" s="2398"/>
      <c r="E52" s="2430" t="s">
        <v>2343</v>
      </c>
      <c r="F52" s="2525"/>
      <c r="I52" s="2553" t="s">
        <v>2452</v>
      </c>
      <c r="J52" s="2567">
        <v>7.4999999999999997E-2</v>
      </c>
      <c r="K52" s="2553" t="s">
        <v>2437</v>
      </c>
      <c r="L52" s="2567"/>
      <c r="M52" s="2390"/>
      <c r="O52" s="2582" t="s">
        <v>2461</v>
      </c>
      <c r="P52" s="2590" t="s">
        <v>2478</v>
      </c>
      <c r="Q52" s="2581" t="e">
        <f ca="1">J53</f>
        <v>#N/A</v>
      </c>
      <c r="R52" s="2581" t="s">
        <v>2479</v>
      </c>
    </row>
    <row r="53" spans="1:18" s="1454" customFormat="1" ht="43.5" thickBot="1">
      <c r="A53" s="2822" t="s">
        <v>2626</v>
      </c>
      <c r="B53" s="432" t="s">
        <v>2536</v>
      </c>
      <c r="C53" s="697">
        <f ca="1">ROUND(IF(F53="押一",F49*F51*F50/12*F11,IF(F53="押二",F49*F51*F50/12*2*F11,IF(F53="押三",F49*F51*F50/12*3*F11,C54*F11)))/10000,0)</f>
        <v>0</v>
      </c>
      <c r="D53" s="2627" t="s">
        <v>2544</v>
      </c>
      <c r="E53" s="2090" t="s">
        <v>2538</v>
      </c>
      <c r="F53" s="2824"/>
      <c r="I53" s="2563" t="s">
        <v>2454</v>
      </c>
      <c r="J53" s="2564" t="e">
        <f ca="1">IF(M47="住宅",J51,MIN(J51,L48))</f>
        <v>#N/A</v>
      </c>
      <c r="K53" s="36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52"/>
      <c r="O53" s="2580" t="s">
        <v>2462</v>
      </c>
      <c r="P53" s="2590" t="s">
        <v>2480</v>
      </c>
      <c r="Q53" s="2581" t="e">
        <f ca="1">Q47+Q48</f>
        <v>#N/A</v>
      </c>
      <c r="R53" s="2581" t="s">
        <v>2463</v>
      </c>
    </row>
    <row r="54" spans="1:18" s="1454" customFormat="1" ht="16.5" thickBot="1">
      <c r="A54" s="2823"/>
      <c r="B54" s="2617" t="s">
        <v>2703</v>
      </c>
      <c r="C54" s="2408"/>
      <c r="D54" s="2627"/>
      <c r="E54" s="3374"/>
      <c r="F54" s="2533"/>
      <c r="I54" s="2405"/>
      <c r="J54" s="2562"/>
      <c r="K54" s="2562"/>
      <c r="L54" s="2562"/>
      <c r="M54" s="1458"/>
      <c r="O54" s="2584" t="s">
        <v>2487</v>
      </c>
      <c r="P54" s="1295"/>
      <c r="Q54" s="1295"/>
      <c r="R54" s="1295"/>
    </row>
    <row r="55" spans="1:18" s="1454" customFormat="1" ht="15.75" thickBot="1">
      <c r="A55" s="2663" t="s">
        <v>2549</v>
      </c>
      <c r="B55" s="2664" t="s">
        <v>2537</v>
      </c>
      <c r="C55" s="2665"/>
      <c r="D55" s="2627"/>
      <c r="E55" s="3374"/>
      <c r="F55" s="2533"/>
      <c r="I55" s="3316" t="s">
        <v>2430</v>
      </c>
      <c r="J55" s="3315" t="e">
        <f ca="1">ROUND(IF(J47="钢混",J57/J50,1-(1-2%)*(J50-J57)/J50),3)</f>
        <v>#N/A</v>
      </c>
      <c r="K55" s="2544" t="s">
        <v>2431</v>
      </c>
      <c r="L55" s="2566" t="s">
        <v>3226</v>
      </c>
      <c r="O55" s="2587" t="s">
        <v>2471</v>
      </c>
      <c r="P55" s="2588" t="s">
        <v>2472</v>
      </c>
      <c r="Q55" s="2589" t="s">
        <v>2470</v>
      </c>
      <c r="R55" s="2589" t="s">
        <v>2473</v>
      </c>
    </row>
    <row r="56" spans="1:18" s="1454" customFormat="1" ht="44.25" thickTop="1" thickBot="1">
      <c r="A56" s="2402">
        <v>2</v>
      </c>
      <c r="B56" s="2403" t="s">
        <v>2344</v>
      </c>
      <c r="C56" s="607" t="e">
        <f ca="1">C13</f>
        <v>#N/A</v>
      </c>
      <c r="D56" s="2691"/>
      <c r="E56" s="2404"/>
      <c r="F56" s="2533"/>
      <c r="I56" s="2536" t="s">
        <v>2432</v>
      </c>
      <c r="J56" s="2565" t="s">
        <v>41</v>
      </c>
      <c r="K56" s="2537" t="s">
        <v>2436</v>
      </c>
      <c r="L56" s="2161" t="e">
        <f ca="1">IF(L48&lt;J51,"——",L48-J51)</f>
        <v>#N/A</v>
      </c>
      <c r="O56" s="2580" t="s">
        <v>2456</v>
      </c>
      <c r="P56" s="2590" t="s">
        <v>2474</v>
      </c>
      <c r="Q56" s="2581" t="e">
        <f ca="1">C40+J29</f>
        <v>#N/A</v>
      </c>
      <c r="R56" s="2581" t="s">
        <v>2475</v>
      </c>
    </row>
    <row r="57" spans="1:18" s="1454" customFormat="1" ht="29.25" thickBot="1">
      <c r="A57" s="2534"/>
      <c r="B57" s="2395" t="s">
        <v>969</v>
      </c>
      <c r="C57" s="613" t="e">
        <f ca="1">C29</f>
        <v>#N/A</v>
      </c>
      <c r="D57" s="2406"/>
      <c r="E57" s="2407"/>
      <c r="F57" s="2535"/>
      <c r="I57" s="2538" t="s">
        <v>2453</v>
      </c>
      <c r="J57" s="2542" t="e">
        <f ca="1">IF(OR(M47="住宅",J51&lt;L48,J56="是"),"——",J51-L48)</f>
        <v>#N/A</v>
      </c>
      <c r="K57" s="2537" t="s">
        <v>2908</v>
      </c>
      <c r="L57" s="2161" t="e">
        <f ca="1">IF(L48&lt;J51,"——",IF(L55="比较法",L49,IF(L55="基准地价",L50,L51)))</f>
        <v>#N/A</v>
      </c>
      <c r="O57" s="2580" t="s">
        <v>2457</v>
      </c>
      <c r="P57" s="2590" t="s">
        <v>2481</v>
      </c>
      <c r="Q57" s="2581" t="e">
        <f ca="1">L60</f>
        <v>#N/A</v>
      </c>
      <c r="R57" s="2581" t="s">
        <v>2496</v>
      </c>
    </row>
    <row r="58" spans="1:18" s="1454" customFormat="1" ht="29.25" thickBot="1">
      <c r="A58" s="696" t="s">
        <v>2345</v>
      </c>
      <c r="B58" s="2403" t="s">
        <v>2375</v>
      </c>
      <c r="C58" s="697" t="e">
        <f ca="1">ROUND(C59+C64+C65+C66,0)</f>
        <v>#N/A</v>
      </c>
      <c r="D58" s="2409" t="s">
        <v>928</v>
      </c>
      <c r="E58" s="2410"/>
      <c r="F58" s="2411"/>
      <c r="I58" s="2538" t="s">
        <v>2433</v>
      </c>
      <c r="J58" s="3317" t="e">
        <f ca="1">IF(J55&lt;0.4,0.4,J55)</f>
        <v>#N/A</v>
      </c>
      <c r="K58" s="2561" t="s">
        <v>2909</v>
      </c>
      <c r="L58" s="2161">
        <f ca="1">IF(ISERROR(POWER(1+L52,L47-L48)*(POWER(1+L52,L48)-1)/(POWER(1+L52,L47)-1)),0,POWER(1+L52,L47-L48)*(POWER(1+L52,L48)-1)/(POWER(1+L52,L47)-1))</f>
        <v>0</v>
      </c>
      <c r="O58" s="2582" t="s">
        <v>2458</v>
      </c>
      <c r="P58" s="2590" t="s">
        <v>2488</v>
      </c>
      <c r="Q58" s="2581">
        <f>IF(L55="比较法",L49,IF(L55="基准地价",L50,0))</f>
        <v>0</v>
      </c>
      <c r="R58" s="2581" t="s">
        <v>2475</v>
      </c>
    </row>
    <row r="59" spans="1:18" s="1454" customFormat="1" ht="29.25" thickBot="1">
      <c r="A59" s="2431" t="s">
        <v>2380</v>
      </c>
      <c r="B59" s="2395" t="s">
        <v>361</v>
      </c>
      <c r="C59" s="313" t="e">
        <f ca="1">ROUND(IF(项目基本情况!B11="自然人",C48*F59,C60+C61+C62),1)</f>
        <v>#N/A</v>
      </c>
      <c r="D59" s="2412" t="s">
        <v>2346</v>
      </c>
      <c r="E59" s="2413" t="s">
        <v>2347</v>
      </c>
      <c r="F59" s="707" t="e">
        <f ca="1">IF(项目基本情况!B11="企业","",IF(INDIRECT("'数据-取费表'!c"&amp;$G$1)="住宅",5%,IF(F49*F50*F51/12/(1+'数据-取费表'!C42)&gt;20000,12%,7%)))</f>
        <v>#N/A</v>
      </c>
      <c r="I59" s="2538" t="s">
        <v>2434</v>
      </c>
      <c r="J59" s="2542" t="e">
        <f ca="1">IF(OR(M47="住宅",J51&lt;L48,J56="是"),"——",ROUND(C29*J58,0))</f>
        <v>#N/A</v>
      </c>
      <c r="K59" s="2561" t="s">
        <v>2910</v>
      </c>
      <c r="L59" s="2161">
        <f ca="1">IF(ISERROR(POWER(1+L52,L47-J51)*(POWER(1+L52,J51)-1)/(POWER(1+L52,L47)-1)),0,POWER(1+L52,L47-J51)*(POWER(1+L52,J51)-1)/(POWER(1+L52,L47)-1))</f>
        <v>0</v>
      </c>
      <c r="O59" s="2582" t="s">
        <v>2459</v>
      </c>
      <c r="P59" s="2590" t="s">
        <v>2489</v>
      </c>
      <c r="Q59" s="2583">
        <f>L52</f>
        <v>0</v>
      </c>
      <c r="R59" s="2581"/>
    </row>
    <row r="60" spans="1:18" s="1454" customFormat="1" ht="20.25" thickBot="1">
      <c r="A60" s="2431" t="s">
        <v>2377</v>
      </c>
      <c r="B60" s="2395" t="s">
        <v>2348</v>
      </c>
      <c r="C60" s="313" t="e">
        <f ca="1">IF(项目基本情况!B11="自然人","——",ROUND(C48*F60/(1+'数据-取费表'!C42),2))</f>
        <v>#N/A</v>
      </c>
      <c r="D60" s="2413" t="s">
        <v>2349</v>
      </c>
      <c r="E60" s="2395" t="s">
        <v>2350</v>
      </c>
      <c r="F60" s="716">
        <f t="shared" ref="F60:F66" si="0">F32</f>
        <v>5.6000000000000001E-2</v>
      </c>
      <c r="I60" s="2539" t="s">
        <v>2435</v>
      </c>
      <c r="J60" s="2543" t="e">
        <f ca="1">IF(OR(M47="住宅",J51&lt;L48,J56="是"),"0",ROUND(J59/(1+J52)^J53,0))</f>
        <v>#N/A</v>
      </c>
      <c r="K60" s="2545" t="s">
        <v>2438</v>
      </c>
      <c r="L60" s="2543" t="e">
        <f ca="1">IF(OR(M47="住宅",L48&lt;J51),0,ROUND(L57*(L58/L59-1),0))</f>
        <v>#N/A</v>
      </c>
      <c r="O60" s="2582" t="s">
        <v>2460</v>
      </c>
      <c r="P60" s="2590" t="s">
        <v>2490</v>
      </c>
      <c r="Q60" s="2581">
        <f ca="1">L58</f>
        <v>0</v>
      </c>
      <c r="R60" s="2581" t="s">
        <v>2465</v>
      </c>
    </row>
    <row r="61" spans="1:18" s="1454" customFormat="1" ht="20.25" thickBot="1">
      <c r="A61" s="2431" t="s">
        <v>2378</v>
      </c>
      <c r="B61" s="2395" t="s">
        <v>2351</v>
      </c>
      <c r="C61" s="313" t="e">
        <f ca="1">IF(项目基本情况!B11="自然人","——",IF(D61="按租金收入计税",ROUND(C48*F61,2),IF(D61="按房产原值计税",ROUND(C57*F61*0.7,2),INDIRECT("'数据-取费表'!Aj"&amp;$G$1))))</f>
        <v>#N/A</v>
      </c>
      <c r="D61" s="1300" t="s">
        <v>2420</v>
      </c>
      <c r="E61" s="2395" t="s">
        <v>2350</v>
      </c>
      <c r="F61" s="706">
        <f t="shared" si="0"/>
        <v>1.2E-2</v>
      </c>
      <c r="I61" s="2405"/>
      <c r="J61" s="2405"/>
      <c r="K61" s="2405"/>
      <c r="L61" s="2405"/>
      <c r="O61" s="2582" t="s">
        <v>2461</v>
      </c>
      <c r="P61" s="2590" t="s">
        <v>2491</v>
      </c>
      <c r="Q61" s="2581">
        <f ca="1">L59</f>
        <v>0</v>
      </c>
      <c r="R61" s="2581" t="s">
        <v>2466</v>
      </c>
    </row>
    <row r="62" spans="1:18" s="1454" customFormat="1" ht="15.75" thickBot="1">
      <c r="A62" s="2431" t="s">
        <v>2379</v>
      </c>
      <c r="B62" s="2394" t="s">
        <v>2352</v>
      </c>
      <c r="C62" s="314" t="e">
        <f ca="1">IF(项目基本情况!B11="自然人","——",ROUND(F62*F63/10000,2))</f>
        <v>#N/A</v>
      </c>
      <c r="D62" s="2414" t="s">
        <v>2353</v>
      </c>
      <c r="E62" s="2395" t="s">
        <v>2354</v>
      </c>
      <c r="F62" s="710">
        <f t="shared" si="0"/>
        <v>7</v>
      </c>
      <c r="I62" s="2540" t="s">
        <v>2425</v>
      </c>
      <c r="J62" s="2541" t="s">
        <v>2426</v>
      </c>
      <c r="K62" s="2541" t="s">
        <v>2427</v>
      </c>
      <c r="L62" s="2541" t="s">
        <v>2423</v>
      </c>
      <c r="M62" s="3318" t="s">
        <v>3046</v>
      </c>
      <c r="O62" s="2580" t="s">
        <v>2462</v>
      </c>
      <c r="P62" s="2590" t="s">
        <v>2480</v>
      </c>
      <c r="Q62" s="2581" t="e">
        <f ca="1">Q56+Q57</f>
        <v>#N/A</v>
      </c>
      <c r="R62" s="2581" t="s">
        <v>2463</v>
      </c>
    </row>
    <row r="63" spans="1:18" s="1454" customFormat="1" ht="16.5" thickBot="1">
      <c r="A63" s="711"/>
      <c r="B63" s="2401"/>
      <c r="C63" s="318"/>
      <c r="D63" s="2415"/>
      <c r="E63" s="2395" t="s">
        <v>2355</v>
      </c>
      <c r="F63" s="684" t="e">
        <f t="shared" ca="1" si="0"/>
        <v>#N/A</v>
      </c>
      <c r="I63" s="2540" t="s">
        <v>2439</v>
      </c>
      <c r="J63" s="3321">
        <v>70</v>
      </c>
      <c r="K63" s="3321">
        <v>50</v>
      </c>
      <c r="L63" s="3321">
        <v>80</v>
      </c>
      <c r="M63" s="3319">
        <v>0.02</v>
      </c>
      <c r="O63" s="2584" t="s">
        <v>2494</v>
      </c>
      <c r="P63" s="1295"/>
      <c r="Q63" s="1295"/>
      <c r="R63" s="1295"/>
    </row>
    <row r="64" spans="1:18" s="1454" customFormat="1" ht="15.75" thickBot="1">
      <c r="A64" s="2431" t="s">
        <v>2387</v>
      </c>
      <c r="B64" s="2395" t="s">
        <v>2356</v>
      </c>
      <c r="C64" s="313" t="e">
        <f ca="1">ROUND(C57*F64,1)</f>
        <v>#N/A</v>
      </c>
      <c r="D64" s="2413" t="s">
        <v>2357</v>
      </c>
      <c r="E64" s="2395" t="s">
        <v>2350</v>
      </c>
      <c r="F64" s="713" t="e">
        <f t="shared" ca="1" si="0"/>
        <v>#N/A</v>
      </c>
      <c r="I64" s="2540" t="s">
        <v>107</v>
      </c>
      <c r="J64" s="3321">
        <v>50</v>
      </c>
      <c r="K64" s="3321">
        <v>35</v>
      </c>
      <c r="L64" s="3321">
        <v>60</v>
      </c>
      <c r="M64" s="3320">
        <v>0</v>
      </c>
      <c r="O64" s="2587" t="s">
        <v>2471</v>
      </c>
      <c r="P64" s="2588" t="s">
        <v>2472</v>
      </c>
      <c r="Q64" s="2589" t="s">
        <v>2470</v>
      </c>
      <c r="R64" s="2589" t="s">
        <v>2473</v>
      </c>
    </row>
    <row r="65" spans="1:18" s="1454" customFormat="1" ht="15.75" thickBot="1">
      <c r="A65" s="2431" t="s">
        <v>2381</v>
      </c>
      <c r="B65" s="2395" t="s">
        <v>366</v>
      </c>
      <c r="C65" s="313" t="e">
        <f ca="1">ROUND(C56*F65,1)</f>
        <v>#N/A</v>
      </c>
      <c r="D65" s="2413" t="s">
        <v>2358</v>
      </c>
      <c r="E65" s="2395" t="s">
        <v>2350</v>
      </c>
      <c r="F65" s="715" t="e">
        <f t="shared" ca="1" si="0"/>
        <v>#N/A</v>
      </c>
      <c r="I65" s="2540" t="s">
        <v>2441</v>
      </c>
      <c r="J65" s="3321">
        <v>40</v>
      </c>
      <c r="K65" s="3321">
        <v>30</v>
      </c>
      <c r="L65" s="3321">
        <v>50</v>
      </c>
      <c r="M65" s="3319">
        <v>0.02</v>
      </c>
      <c r="O65" s="2580" t="s">
        <v>2456</v>
      </c>
      <c r="P65" s="2590" t="s">
        <v>2474</v>
      </c>
      <c r="Q65" s="2581" t="e">
        <f ca="1">C40+J29</f>
        <v>#N/A</v>
      </c>
      <c r="R65" s="2581" t="s">
        <v>2475</v>
      </c>
    </row>
    <row r="66" spans="1:18" s="1454" customFormat="1" ht="20.25" thickBot="1">
      <c r="A66" s="2431" t="s">
        <v>2382</v>
      </c>
      <c r="B66" s="2395" t="s">
        <v>365</v>
      </c>
      <c r="C66" s="313" t="e">
        <f ca="1">ROUND(C48*F66,1)</f>
        <v>#N/A</v>
      </c>
      <c r="D66" s="2413" t="s">
        <v>2359</v>
      </c>
      <c r="E66" s="2395" t="s">
        <v>2350</v>
      </c>
      <c r="F66" s="693" t="e">
        <f t="shared" ca="1" si="0"/>
        <v>#N/A</v>
      </c>
      <c r="O66" s="2580" t="s">
        <v>2457</v>
      </c>
      <c r="P66" s="2590" t="s">
        <v>2481</v>
      </c>
      <c r="Q66" s="2581" t="e">
        <f ca="1">L60</f>
        <v>#N/A</v>
      </c>
      <c r="R66" s="2581" t="s">
        <v>2464</v>
      </c>
    </row>
    <row r="67" spans="1:18" s="1454" customFormat="1" ht="24.75" thickBot="1">
      <c r="A67" s="2402" t="s">
        <v>2360</v>
      </c>
      <c r="B67" s="2416" t="s">
        <v>375</v>
      </c>
      <c r="C67" s="697" t="e">
        <f ca="1">C48-C58</f>
        <v>#N/A</v>
      </c>
      <c r="D67" s="2412" t="s">
        <v>376</v>
      </c>
      <c r="E67" s="2417"/>
      <c r="F67" s="2418"/>
      <c r="O67" s="2582" t="s">
        <v>2458</v>
      </c>
      <c r="P67" s="2590" t="s">
        <v>2488</v>
      </c>
      <c r="Q67" s="2585" t="e">
        <f ca="1">L51</f>
        <v>#N/A</v>
      </c>
      <c r="R67" s="2586" t="s">
        <v>2498</v>
      </c>
    </row>
    <row r="68" spans="1:18" s="1454" customFormat="1" ht="20.25" thickBot="1">
      <c r="A68" s="2392" t="s">
        <v>2363</v>
      </c>
      <c r="B68" s="2393" t="s">
        <v>2364</v>
      </c>
      <c r="C68" s="682" t="e">
        <f ca="1">ROUND(C67*(1-((1+F70)/(1+F68))^F69)/(F68-F70),0)</f>
        <v>#N/A</v>
      </c>
      <c r="D68" s="2414" t="s">
        <v>2365</v>
      </c>
      <c r="E68" s="2395" t="s">
        <v>2366</v>
      </c>
      <c r="F68" s="693" t="e">
        <f ca="1">F40</f>
        <v>#N/A</v>
      </c>
      <c r="O68" s="2582" t="s">
        <v>2459</v>
      </c>
      <c r="P68" s="2591" t="s">
        <v>2492</v>
      </c>
      <c r="Q68" s="2581" t="e">
        <f ca="1">ROUND(Q69-Q70*Q71,0)</f>
        <v>#N/A</v>
      </c>
      <c r="R68" s="2581" t="s">
        <v>2497</v>
      </c>
    </row>
    <row r="69" spans="1:18" s="1454" customFormat="1" ht="15.75" thickBot="1">
      <c r="A69" s="2396"/>
      <c r="B69" s="2397"/>
      <c r="C69" s="687"/>
      <c r="D69" s="2419" t="s">
        <v>2367</v>
      </c>
      <c r="E69" s="2395" t="s">
        <v>2368</v>
      </c>
      <c r="F69" s="718" t="e">
        <f ca="1">F41</f>
        <v>#N/A</v>
      </c>
      <c r="O69" s="2582" t="s">
        <v>2467</v>
      </c>
      <c r="P69" s="2591" t="s">
        <v>2482</v>
      </c>
      <c r="Q69" s="2581" t="e">
        <f ca="1">C39</f>
        <v>#N/A</v>
      </c>
      <c r="R69" s="2581" t="s">
        <v>2475</v>
      </c>
    </row>
    <row r="70" spans="1:18" s="1454" customFormat="1" ht="15.75" thickBot="1">
      <c r="A70" s="2399"/>
      <c r="B70" s="2400"/>
      <c r="C70" s="691"/>
      <c r="D70" s="2415"/>
      <c r="E70" s="2395" t="s">
        <v>2369</v>
      </c>
      <c r="F70" s="2525"/>
      <c r="O70" s="2582" t="s">
        <v>2468</v>
      </c>
      <c r="P70" s="2591" t="s">
        <v>2483</v>
      </c>
      <c r="Q70" s="2581" t="e">
        <f ca="1">C13</f>
        <v>#N/A</v>
      </c>
      <c r="R70" s="2581" t="s">
        <v>2475</v>
      </c>
    </row>
    <row r="71" spans="1:18" s="1454" customFormat="1" ht="15.75" thickBot="1">
      <c r="A71" s="2420" t="s">
        <v>2370</v>
      </c>
      <c r="B71" s="2421" t="s">
        <v>381</v>
      </c>
      <c r="C71" s="721" t="e">
        <f ca="1">ROUND(C68*10000/F71,0)</f>
        <v>#N/A</v>
      </c>
      <c r="D71" s="2422" t="s">
        <v>382</v>
      </c>
      <c r="E71" s="2423" t="s">
        <v>383</v>
      </c>
      <c r="F71" s="724" t="e">
        <f ca="1">F43</f>
        <v>#N/A</v>
      </c>
      <c r="I71" s="2390"/>
      <c r="K71" s="2390"/>
      <c r="O71" s="2582" t="s">
        <v>2469</v>
      </c>
      <c r="P71" s="2591" t="s">
        <v>2495</v>
      </c>
      <c r="Q71" s="2583" t="e">
        <f ca="1">C76</f>
        <v>#N/A</v>
      </c>
      <c r="R71" s="2581"/>
    </row>
    <row r="72" spans="1:18" s="1454" customFormat="1" ht="15.75" thickBot="1">
      <c r="B72" s="1459"/>
      <c r="C72" s="1459"/>
      <c r="I72" s="2390"/>
      <c r="O72" s="2582" t="s">
        <v>2460</v>
      </c>
      <c r="P72" s="2590" t="s">
        <v>2489</v>
      </c>
      <c r="Q72" s="2583">
        <f>L52</f>
        <v>0</v>
      </c>
      <c r="R72" s="2581"/>
    </row>
    <row r="73" spans="1:18" ht="20.25" thickBot="1">
      <c r="A73" s="1454"/>
      <c r="B73" s="1459"/>
      <c r="C73" s="1459"/>
      <c r="D73" s="1454"/>
      <c r="E73" s="1454"/>
      <c r="F73" s="1454"/>
      <c r="I73" s="2576"/>
      <c r="O73" s="2582" t="s">
        <v>2461</v>
      </c>
      <c r="P73" s="2590" t="s">
        <v>2490</v>
      </c>
      <c r="Q73" s="2581">
        <f ca="1">L58</f>
        <v>0</v>
      </c>
      <c r="R73" s="2581" t="s">
        <v>2465</v>
      </c>
    </row>
    <row r="74" spans="1:18" ht="20.25" thickBot="1">
      <c r="A74" s="1454"/>
      <c r="B74" s="726" t="s">
        <v>384</v>
      </c>
      <c r="C74" s="727"/>
      <c r="D74" s="1454"/>
      <c r="E74" s="1454"/>
      <c r="F74" s="1454"/>
      <c r="O74" s="2582" t="s">
        <v>2499</v>
      </c>
      <c r="P74" s="2590" t="s">
        <v>2491</v>
      </c>
      <c r="Q74" s="2581">
        <f ca="1">L59</f>
        <v>0</v>
      </c>
      <c r="R74" s="2581" t="s">
        <v>2466</v>
      </c>
    </row>
    <row r="75" spans="1:18" ht="15.75" thickBot="1">
      <c r="A75" s="1454"/>
      <c r="B75" s="728" t="s">
        <v>974</v>
      </c>
      <c r="C75" s="729" t="e">
        <f ca="1">ROUND(C13*C76,0)</f>
        <v>#N/A</v>
      </c>
      <c r="D75" s="1454"/>
      <c r="E75" s="1454"/>
      <c r="F75" s="1454"/>
      <c r="K75" s="1455"/>
      <c r="L75" s="1454"/>
      <c r="O75" s="2580" t="s">
        <v>2462</v>
      </c>
      <c r="P75" s="2590" t="s">
        <v>2480</v>
      </c>
      <c r="Q75" s="2581" t="e">
        <f ca="1">Q65+Q66</f>
        <v>#N/A</v>
      </c>
      <c r="R75" s="2581" t="s">
        <v>2463</v>
      </c>
    </row>
    <row r="76" spans="1:18">
      <c r="B76" s="730" t="s">
        <v>975</v>
      </c>
      <c r="C76" s="731" t="e">
        <f ca="1">INDIRECT("'数据-取费表'!j"&amp;$G$1)</f>
        <v>#N/A</v>
      </c>
      <c r="I76" s="1454"/>
      <c r="J76" s="1454"/>
      <c r="K76" s="1455"/>
      <c r="L76" s="1454"/>
    </row>
    <row r="77" spans="1:18">
      <c r="B77" s="732" t="s">
        <v>978</v>
      </c>
      <c r="C77" s="733"/>
      <c r="I77" s="1454"/>
      <c r="J77" s="1454"/>
      <c r="K77" s="1455"/>
      <c r="L77" s="1454"/>
    </row>
    <row r="78" spans="1:18">
      <c r="B78" s="645" t="s">
        <v>964</v>
      </c>
      <c r="C78" s="734"/>
    </row>
    <row r="79" spans="1:18">
      <c r="B79" s="2869" t="s">
        <v>2708</v>
      </c>
      <c r="C79" s="649" t="e">
        <f ca="1">1-C80</f>
        <v>#N/A</v>
      </c>
    </row>
    <row r="80" spans="1:18">
      <c r="B80" s="2869" t="s">
        <v>2707</v>
      </c>
      <c r="C80" s="649" t="e">
        <f ca="1">ROUND(C75/C39,3)</f>
        <v>#N/A</v>
      </c>
    </row>
    <row r="81" spans="2:3">
      <c r="B81" s="645" t="s">
        <v>385</v>
      </c>
      <c r="C81" s="646"/>
    </row>
    <row r="82" spans="2:3">
      <c r="B82" s="2868" t="s">
        <v>2706</v>
      </c>
      <c r="C82" s="650" t="e">
        <f ca="1">1-C83</f>
        <v>#N/A</v>
      </c>
    </row>
    <row r="83" spans="2:3">
      <c r="B83" s="2868" t="s">
        <v>2705</v>
      </c>
      <c r="C83" s="649"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sheetPr>
    <tabColor rgb="FF00B0F0"/>
  </sheetPr>
  <dimension ref="A1:AK83"/>
  <sheetViews>
    <sheetView topLeftCell="A7"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909</v>
      </c>
      <c r="B1" s="669"/>
      <c r="C1" s="2385" t="s">
        <v>3246</v>
      </c>
      <c r="D1" s="1273"/>
      <c r="E1" s="2578" t="s">
        <v>537</v>
      </c>
      <c r="F1" s="2579" t="e">
        <f ca="1">J53</f>
        <v>#N/A</v>
      </c>
      <c r="G1" s="671" t="e">
        <f>MATCH(C1,'数据-取费表'!A6:A16,0)+5</f>
        <v>#N/A</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t="e">
        <f ca="1">C40+J29+L46</f>
        <v>#N/A</v>
      </c>
      <c r="C2" s="1299" t="s">
        <v>1103</v>
      </c>
      <c r="D2" s="1275"/>
      <c r="E2" s="2568"/>
      <c r="F2" s="1276"/>
      <c r="G2" s="2280"/>
      <c r="H2" s="1274"/>
      <c r="I2" s="1274"/>
      <c r="J2" s="1274"/>
      <c r="K2" s="1298"/>
      <c r="L2" s="1274"/>
      <c r="M2" s="1274"/>
    </row>
    <row r="3" spans="1:37" ht="18" customHeight="1" thickBot="1">
      <c r="A3" s="674" t="s">
        <v>344</v>
      </c>
      <c r="B3" s="1407">
        <f ca="1">IF(ISERROR(B2*10000/F43),0,ROUND(B2*10000/F43,0))</f>
        <v>0</v>
      </c>
      <c r="C3" s="1299" t="s">
        <v>1104</v>
      </c>
      <c r="D3" s="1275"/>
      <c r="E3" s="2568"/>
      <c r="F3" s="1276"/>
      <c r="G3" s="2280"/>
      <c r="H3" s="675" t="s">
        <v>910</v>
      </c>
      <c r="I3" s="1274"/>
      <c r="J3" s="1274"/>
      <c r="K3" s="1298"/>
      <c r="L3" s="1274"/>
      <c r="M3" s="1274"/>
    </row>
    <row r="4" spans="1:37" ht="18" customHeight="1">
      <c r="A4" s="676" t="s">
        <v>911</v>
      </c>
      <c r="B4" s="677" t="s">
        <v>912</v>
      </c>
      <c r="C4" s="677" t="s">
        <v>913</v>
      </c>
      <c r="D4" s="677" t="s">
        <v>914</v>
      </c>
      <c r="E4" s="678" t="s">
        <v>915</v>
      </c>
      <c r="F4" s="679"/>
      <c r="G4" s="2281"/>
      <c r="H4" s="676" t="s">
        <v>911</v>
      </c>
      <c r="I4" s="677" t="s">
        <v>912</v>
      </c>
      <c r="J4" s="677" t="s">
        <v>913</v>
      </c>
      <c r="K4" s="677" t="s">
        <v>914</v>
      </c>
      <c r="L4" s="678" t="s">
        <v>915</v>
      </c>
      <c r="M4" s="679"/>
    </row>
    <row r="5" spans="1:37" ht="18" customHeight="1">
      <c r="A5" s="680">
        <v>1</v>
      </c>
      <c r="B5" s="681" t="s">
        <v>2339</v>
      </c>
      <c r="C5" s="2619" t="e">
        <f ca="1">C6+C10+C12</f>
        <v>#N/A</v>
      </c>
      <c r="D5" s="2629" t="s">
        <v>2542</v>
      </c>
      <c r="E5" s="2620"/>
      <c r="F5" s="2621"/>
      <c r="G5" s="2281"/>
      <c r="H5" s="680">
        <v>1</v>
      </c>
      <c r="I5" s="681" t="s">
        <v>2339</v>
      </c>
      <c r="J5" s="2619" t="e">
        <f ca="1">J6+J10+J12</f>
        <v>#N/A</v>
      </c>
      <c r="K5" s="2622" t="s">
        <v>2542</v>
      </c>
      <c r="L5" s="2620"/>
      <c r="M5" s="2621"/>
    </row>
    <row r="6" spans="1:37" ht="18" customHeight="1">
      <c r="A6" s="2615" t="s">
        <v>2380</v>
      </c>
      <c r="B6" s="3648" t="s">
        <v>2541</v>
      </c>
      <c r="C6" s="2624" t="e">
        <f ca="1">ROUND(F6*F8*F7*(1-F9)/10000,0)</f>
        <v>#N/A</v>
      </c>
      <c r="D6" s="2618" t="s">
        <v>2543</v>
      </c>
      <c r="E6" s="683" t="s">
        <v>916</v>
      </c>
      <c r="F6" s="684" t="e">
        <f ca="1">INDIRECT("'数据-取费表'!u"&amp;$G$1)</f>
        <v>#N/A</v>
      </c>
      <c r="G6" s="2281"/>
      <c r="H6" s="2615" t="s">
        <v>2380</v>
      </c>
      <c r="I6" s="3648" t="s">
        <v>2541</v>
      </c>
      <c r="J6" s="682" t="e">
        <f ca="1">ROUND(M6*M8*M7*(1-M9)/10000,0)</f>
        <v>#N/A</v>
      </c>
      <c r="K6" s="2618" t="s">
        <v>2543</v>
      </c>
      <c r="L6" s="683" t="s">
        <v>916</v>
      </c>
      <c r="M6" s="684" t="e">
        <f ca="1">INDIRECT("'数据-取费表'!z"&amp;$G$1)</f>
        <v>#N/A</v>
      </c>
    </row>
    <row r="7" spans="1:37" ht="18" customHeight="1">
      <c r="A7" s="2623"/>
      <c r="B7" s="3649"/>
      <c r="C7" s="2625"/>
      <c r="D7" s="2054"/>
      <c r="E7" s="2626" t="s">
        <v>917</v>
      </c>
      <c r="F7" s="684" t="e">
        <f ca="1">IF(INDIRECT("'数据-取费表'!ah"&amp;$G$1)="",INDIRECT("'数据-取费表'!k"&amp;$G$1),INDIRECT("'数据-取费表'!ah"&amp;$G$1))</f>
        <v>#N/A</v>
      </c>
      <c r="G7" s="2281"/>
      <c r="H7" s="685"/>
      <c r="I7" s="3649"/>
      <c r="J7" s="687"/>
      <c r="K7" s="688"/>
      <c r="L7" s="683" t="s">
        <v>917</v>
      </c>
      <c r="M7" s="684" t="e">
        <f ca="1">F7</f>
        <v>#N/A</v>
      </c>
    </row>
    <row r="8" spans="1:37" ht="18" customHeight="1">
      <c r="A8" s="685"/>
      <c r="B8" s="3649"/>
      <c r="C8" s="687"/>
      <c r="D8" s="688"/>
      <c r="E8" s="683" t="s">
        <v>918</v>
      </c>
      <c r="F8" s="684" t="e">
        <f ca="1">INDIRECT("'数据-取费表'!ai"&amp;$G$1)</f>
        <v>#N/A</v>
      </c>
      <c r="G8" s="2281"/>
      <c r="H8" s="685"/>
      <c r="I8" s="3649"/>
      <c r="J8" s="687"/>
      <c r="K8" s="688"/>
      <c r="L8" s="683" t="s">
        <v>918</v>
      </c>
      <c r="M8" s="684" t="e">
        <f ca="1">INDIRECT("'数据-取费表'!ai"&amp;$G$1)</f>
        <v>#N/A</v>
      </c>
    </row>
    <row r="9" spans="1:37" ht="18" customHeight="1">
      <c r="A9" s="685"/>
      <c r="B9" s="3650"/>
      <c r="C9" s="687"/>
      <c r="D9" s="688"/>
      <c r="E9" s="683" t="s">
        <v>919</v>
      </c>
      <c r="F9" s="693" t="e">
        <f ca="1">INDIRECT("'数据-取费表'!w"&amp;$G$1)</f>
        <v>#N/A</v>
      </c>
      <c r="G9" s="2281"/>
      <c r="H9" s="685"/>
      <c r="I9" s="3650"/>
      <c r="J9" s="687"/>
      <c r="K9" s="688"/>
      <c r="L9" s="694" t="s">
        <v>919</v>
      </c>
      <c r="M9" s="695" t="e">
        <f ca="1">INDIRECT("'数据-取费表'!ab"&amp;$G$1)</f>
        <v>#N/A</v>
      </c>
    </row>
    <row r="10" spans="1:37" ht="18" customHeight="1">
      <c r="A10" s="2615" t="s">
        <v>2387</v>
      </c>
      <c r="B10" s="2616" t="s">
        <v>2536</v>
      </c>
      <c r="C10" s="697" t="e">
        <f ca="1">ROUND(IF(F10="押一",F6*F8*F7/12*F11,IF(F10="押二",F6*F8*F7/12*2*F11,IF(F10="押三",F6*F8*F7/12*3*F11,C11*F11)))/10000,0)</f>
        <v>#N/A</v>
      </c>
      <c r="D10" s="2627" t="s">
        <v>2544</v>
      </c>
      <c r="E10" s="2090" t="s">
        <v>2538</v>
      </c>
      <c r="F10" s="2824" t="s">
        <v>3050</v>
      </c>
      <c r="G10" s="2281"/>
      <c r="H10" s="2615" t="s">
        <v>2387</v>
      </c>
      <c r="I10" s="2616" t="s">
        <v>2536</v>
      </c>
      <c r="J10" s="682" t="e">
        <f ca="1">ROUND(IF(M10="押一",M6*M8*M7/12*M11,IF(M10="押二",M6*M8*M7/12*2*M11,IF(M10="押三",M6*M8*M7/12*3*M11,J11*M11)))/10000,0)</f>
        <v>#N/A</v>
      </c>
      <c r="K10" s="2627" t="s">
        <v>2544</v>
      </c>
      <c r="L10" s="2090" t="s">
        <v>2538</v>
      </c>
      <c r="M10" s="2722" t="s">
        <v>2630</v>
      </c>
    </row>
    <row r="11" spans="1:37" ht="18" customHeight="1">
      <c r="A11" s="689"/>
      <c r="B11" s="2617" t="s">
        <v>2703</v>
      </c>
      <c r="C11" s="2408"/>
      <c r="D11" s="2863"/>
      <c r="E11" s="2090" t="s">
        <v>2539</v>
      </c>
      <c r="F11" s="695">
        <f ca="1">'数据-取费表'!B39</f>
        <v>1.4999999999999999E-2</v>
      </c>
      <c r="G11" s="2281"/>
      <c r="H11" s="2628"/>
      <c r="I11" s="2617" t="s">
        <v>2703</v>
      </c>
      <c r="J11" s="2408"/>
      <c r="K11" s="1280"/>
      <c r="L11" s="2090" t="s">
        <v>2539</v>
      </c>
      <c r="M11" s="2089">
        <f ca="1">'数据-取费表'!B39</f>
        <v>1.4999999999999999E-2</v>
      </c>
    </row>
    <row r="12" spans="1:37" ht="18" customHeight="1" thickBot="1">
      <c r="A12" s="2663" t="s">
        <v>2549</v>
      </c>
      <c r="B12" s="2664" t="s">
        <v>2537</v>
      </c>
      <c r="C12" s="2665"/>
      <c r="D12" s="2666"/>
      <c r="E12" s="2667"/>
      <c r="F12" s="2668"/>
      <c r="G12" s="2281"/>
      <c r="H12" s="2663" t="s">
        <v>2549</v>
      </c>
      <c r="I12" s="2664" t="s">
        <v>2537</v>
      </c>
      <c r="J12" s="2665"/>
      <c r="K12" s="2682"/>
      <c r="L12" s="2667"/>
      <c r="M12" s="2683"/>
    </row>
    <row r="13" spans="1:37" ht="18" customHeight="1" thickTop="1">
      <c r="A13" s="2659">
        <v>2</v>
      </c>
      <c r="B13" s="2660" t="s">
        <v>920</v>
      </c>
      <c r="C13" s="691" t="e">
        <f ca="1">ROUND(C29*F13,0)</f>
        <v>#N/A</v>
      </c>
      <c r="D13" s="2661" t="s">
        <v>921</v>
      </c>
      <c r="E13" s="2661" t="s">
        <v>922</v>
      </c>
      <c r="F13" s="2662" t="e">
        <f ca="1">INDIRECT("'数据-取费表'!y"&amp;$G$1)</f>
        <v>#N/A</v>
      </c>
      <c r="G13" s="2281"/>
      <c r="H13" s="2659">
        <v>2</v>
      </c>
      <c r="I13" s="2660" t="s">
        <v>920</v>
      </c>
      <c r="J13" s="2614" t="e">
        <f ca="1">ROUND(J14*J15,0)</f>
        <v>#N/A</v>
      </c>
      <c r="K13" s="2669" t="s">
        <v>921</v>
      </c>
      <c r="L13" s="2680"/>
      <c r="M13" s="2681"/>
    </row>
    <row r="14" spans="1:37" ht="18" customHeight="1">
      <c r="A14" s="2431" t="s">
        <v>2377</v>
      </c>
      <c r="B14" s="683" t="s">
        <v>357</v>
      </c>
      <c r="C14" s="701" t="e">
        <f ca="1">INDIRECT("'数据-取费表'!m"&amp;$G$1)+INDIRECT("'数据-取费表'!t"&amp;$G$1)</f>
        <v>#N/A</v>
      </c>
      <c r="D14" s="3382" t="s">
        <v>923</v>
      </c>
      <c r="E14" s="3380"/>
      <c r="F14" s="702"/>
      <c r="G14" s="2281"/>
      <c r="H14" s="2431" t="s">
        <v>2380</v>
      </c>
      <c r="I14" s="683" t="s">
        <v>924</v>
      </c>
      <c r="J14" s="313" t="e">
        <f ca="1">C29</f>
        <v>#N/A</v>
      </c>
      <c r="K14" s="303"/>
      <c r="L14" s="699"/>
      <c r="M14" s="700"/>
    </row>
    <row r="15" spans="1:37" s="705" customFormat="1" ht="18" customHeight="1" thickBot="1">
      <c r="A15" s="2431" t="s">
        <v>2613</v>
      </c>
      <c r="B15" s="683" t="s">
        <v>358</v>
      </c>
      <c r="C15" s="313" t="e">
        <f ca="1">ROUND(C14*F15,0)</f>
        <v>#N/A</v>
      </c>
      <c r="D15" s="703" t="s">
        <v>925</v>
      </c>
      <c r="E15" s="703" t="s">
        <v>926</v>
      </c>
      <c r="F15" s="704">
        <f>'数据-取费表'!B33</f>
        <v>0.03</v>
      </c>
      <c r="G15" s="2282"/>
      <c r="H15" s="2671" t="s">
        <v>2387</v>
      </c>
      <c r="I15" s="2672" t="s">
        <v>922</v>
      </c>
      <c r="J15" s="2683" t="e">
        <f ca="1">INDIRECT("'数据-取费表'!ad"&amp;$G$1)</f>
        <v>#N/A</v>
      </c>
      <c r="K15" s="2684"/>
      <c r="L15" s="2685"/>
      <c r="M15" s="2686"/>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1" t="s">
        <v>2614</v>
      </c>
      <c r="B16" s="683" t="s">
        <v>359</v>
      </c>
      <c r="C16" s="313" t="e">
        <f ca="1">ROUND(INDIRECT("'数据-取费表'!m"&amp;$G$1)*F16,0)</f>
        <v>#N/A</v>
      </c>
      <c r="D16" s="683" t="s">
        <v>925</v>
      </c>
      <c r="E16" s="683" t="s">
        <v>926</v>
      </c>
      <c r="F16" s="706" t="e">
        <f ca="1">IF(INDIRECT("'数据-取费表'!c"&amp;$G$1)="住宅",'数据-取费表'!B34,0)</f>
        <v>#N/A</v>
      </c>
      <c r="G16" s="2281"/>
      <c r="H16" s="2659" t="s">
        <v>2345</v>
      </c>
      <c r="I16" s="2660" t="s">
        <v>927</v>
      </c>
      <c r="J16" s="691" t="e">
        <f ca="1">ROUND(J17+J22+J23+J24,0)</f>
        <v>#N/A</v>
      </c>
      <c r="K16" s="2669" t="s">
        <v>928</v>
      </c>
      <c r="L16" s="2670"/>
      <c r="M16" s="2621"/>
    </row>
    <row r="17" spans="1:37" s="705" customFormat="1" ht="18" customHeight="1">
      <c r="A17" s="2431" t="s">
        <v>2615</v>
      </c>
      <c r="B17" s="683" t="s">
        <v>360</v>
      </c>
      <c r="C17" s="313" t="e">
        <f ca="1">ROUND(F17*(F43+INDIRECT("'数据-取费表'!S"&amp;$G$1))/10000,0)</f>
        <v>#N/A</v>
      </c>
      <c r="D17" s="683" t="s">
        <v>929</v>
      </c>
      <c r="E17" s="683" t="s">
        <v>930</v>
      </c>
      <c r="F17" s="315">
        <f>'数据-取费表'!B35</f>
        <v>150</v>
      </c>
      <c r="G17" s="2282"/>
      <c r="H17" s="2431" t="s">
        <v>2380</v>
      </c>
      <c r="I17" s="683" t="s">
        <v>361</v>
      </c>
      <c r="J17" s="313" t="e">
        <f ca="1">ROUND(IF(项目基本情况!B11="自然人",J5*M17,J18+J19+J20),1)</f>
        <v>#N/A</v>
      </c>
      <c r="K17" s="3382" t="s">
        <v>931</v>
      </c>
      <c r="L17" s="3381" t="s">
        <v>932</v>
      </c>
      <c r="M17" s="707" t="e">
        <f ca="1">IF(项目基本情况!B11="企业","",IF(INDIRECT("'数据-取费表'!c"&amp;$G$1)="住宅",5%,IF(M6*M7*M8/12/(1+'数据-取费表'!C42)&gt;20000,12%,7%)))</f>
        <v>#N/A</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1" t="s">
        <v>2616</v>
      </c>
      <c r="B18" s="683" t="s">
        <v>362</v>
      </c>
      <c r="C18" s="313" t="e">
        <f ca="1">ROUND(C14*F18,0)</f>
        <v>#N/A</v>
      </c>
      <c r="D18" s="683" t="s">
        <v>925</v>
      </c>
      <c r="E18" s="683" t="s">
        <v>926</v>
      </c>
      <c r="F18" s="706">
        <f>'数据-取费表'!B36</f>
        <v>1.4999999999999999E-2</v>
      </c>
      <c r="G18" s="2282"/>
      <c r="H18" s="2431" t="s">
        <v>2377</v>
      </c>
      <c r="I18" s="683" t="s">
        <v>933</v>
      </c>
      <c r="J18" s="313" t="e">
        <f ca="1">ROUND(J5*M18/(1+'数据-取费表'!C42),2)</f>
        <v>#N/A</v>
      </c>
      <c r="K18" s="3381" t="s">
        <v>934</v>
      </c>
      <c r="L18" s="683" t="s">
        <v>926</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1" t="s">
        <v>2380</v>
      </c>
      <c r="B19" s="683" t="s">
        <v>364</v>
      </c>
      <c r="C19" s="313" t="e">
        <f ca="1">SUM(C14:C18)</f>
        <v>#N/A</v>
      </c>
      <c r="D19" s="470" t="s">
        <v>935</v>
      </c>
      <c r="E19" s="3385"/>
      <c r="F19" s="315"/>
      <c r="G19" s="2281"/>
      <c r="H19" s="2431" t="s">
        <v>2613</v>
      </c>
      <c r="I19" s="683" t="s">
        <v>936</v>
      </c>
      <c r="J19" s="313" t="e">
        <f ca="1">IF(K19="按租金收入计税",ROUND(J5*M19,2),ROUND(C29*M19*0.7,2))</f>
        <v>#N/A</v>
      </c>
      <c r="K19" s="1300" t="s">
        <v>2420</v>
      </c>
      <c r="L19" s="683" t="s">
        <v>926</v>
      </c>
      <c r="M19" s="706">
        <f>IF(K19="按租金收入计税",'数据-取费表'!B51,'数据-取费表'!B50)</f>
        <v>1.2E-2</v>
      </c>
    </row>
    <row r="20" spans="1:37" s="705" customFormat="1" ht="18" customHeight="1">
      <c r="A20" s="2431" t="s">
        <v>2617</v>
      </c>
      <c r="B20" s="683" t="s">
        <v>365</v>
      </c>
      <c r="C20" s="313" t="e">
        <f ca="1">ROUND(C19*F20,0)</f>
        <v>#N/A</v>
      </c>
      <c r="D20" s="708" t="s">
        <v>937</v>
      </c>
      <c r="E20" s="683" t="s">
        <v>926</v>
      </c>
      <c r="F20" s="706">
        <f>'数据-取费表'!B37</f>
        <v>1.4999999999999999E-2</v>
      </c>
      <c r="G20" s="2282"/>
      <c r="H20" s="2431" t="s">
        <v>2614</v>
      </c>
      <c r="I20" s="495" t="s">
        <v>938</v>
      </c>
      <c r="J20" s="314" t="e">
        <f ca="1">ROUND(M20*M21/10000,2)</f>
        <v>#N/A</v>
      </c>
      <c r="K20" s="709" t="s">
        <v>939</v>
      </c>
      <c r="L20" s="683" t="s">
        <v>940</v>
      </c>
      <c r="M20" s="710">
        <f>'数据-取费表'!B52</f>
        <v>7</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1" t="s">
        <v>2618</v>
      </c>
      <c r="B21" s="683" t="s">
        <v>941</v>
      </c>
      <c r="C21" s="313" t="s">
        <v>23</v>
      </c>
      <c r="D21" s="708" t="s">
        <v>942</v>
      </c>
      <c r="E21" s="683" t="s">
        <v>943</v>
      </c>
      <c r="F21" s="706">
        <f>'数据-取费表'!B38</f>
        <v>2.5000000000000001E-2</v>
      </c>
      <c r="G21" s="2282"/>
      <c r="H21" s="711"/>
      <c r="I21" s="692"/>
      <c r="J21" s="318"/>
      <c r="K21" s="712"/>
      <c r="L21" s="683" t="s">
        <v>944</v>
      </c>
      <c r="M21" s="684"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1" t="s">
        <v>2619</v>
      </c>
      <c r="B22" s="683" t="s">
        <v>945</v>
      </c>
      <c r="C22" s="313"/>
      <c r="D22" s="2694" t="str">
        <f>IF(F23&lt;=1,"单利计息。","复利计息。")&amp;"建造成本、管理费用、销售费用产生的利息。"</f>
        <v>复利计息。建造成本、管理费用、销售费用产生的利息。</v>
      </c>
      <c r="E22" s="3385"/>
      <c r="F22" s="315"/>
      <c r="G22" s="2281"/>
      <c r="H22" s="2431" t="s">
        <v>2387</v>
      </c>
      <c r="I22" s="683" t="s">
        <v>946</v>
      </c>
      <c r="J22" s="313" t="e">
        <f ca="1">ROUND(J14*M22,1)</f>
        <v>#N/A</v>
      </c>
      <c r="K22" s="3381" t="s">
        <v>947</v>
      </c>
      <c r="L22" s="683" t="s">
        <v>926</v>
      </c>
      <c r="M22" s="713" t="e">
        <f ca="1">INDIRECT("'数据-取费表'!Ak"&amp;$G$1)</f>
        <v>#N/A</v>
      </c>
    </row>
    <row r="23" spans="1:37" s="705" customFormat="1" ht="18" customHeight="1">
      <c r="A23" s="2431" t="s">
        <v>2377</v>
      </c>
      <c r="B23" s="683" t="s">
        <v>2533</v>
      </c>
      <c r="C23" s="313" t="e">
        <f ca="1">IF('数据-取费表'!B22&lt;=1,ROUND(C19*F24*F23/2,0)+ROUND(C20*F24*F23/2,0),ROUND(C19*(POWER((1+F24),F23/2)-1),0)+ROUND(C20*(POWER((1+F24),F23/2)-1),0))</f>
        <v>#N/A</v>
      </c>
      <c r="D23" s="2698" t="str">
        <f>IF(F23&lt;=1,"(建造成本+管理费用)×利率×(建设周期÷2)","(建造成本+管理费用)×((1+利率)^(建设周期÷2)-1)")</f>
        <v>(建造成本+管理费用)×((1+利率)^(建设周期÷2)-1)</v>
      </c>
      <c r="E23" s="683" t="s">
        <v>948</v>
      </c>
      <c r="F23" s="710">
        <f>'数据-取费表'!B20</f>
        <v>1.5</v>
      </c>
      <c r="G23" s="2282"/>
      <c r="H23" s="2431" t="s">
        <v>2618</v>
      </c>
      <c r="I23" s="683" t="s">
        <v>366</v>
      </c>
      <c r="J23" s="313" t="e">
        <f ca="1">ROUND(J13*M23,1)</f>
        <v>#N/A</v>
      </c>
      <c r="K23" s="3381" t="s">
        <v>367</v>
      </c>
      <c r="L23" s="683" t="s">
        <v>926</v>
      </c>
      <c r="M23" s="715"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1" t="s">
        <v>2383</v>
      </c>
      <c r="B24" s="683" t="s">
        <v>950</v>
      </c>
      <c r="C24" s="313">
        <f ca="1">ROUND(IF('数据-取费表'!B22&lt;=1,F21*F24*F23/2,F21*(POWER((1+F24),F23/2)-1)),4)</f>
        <v>8.9999999999999998E-4</v>
      </c>
      <c r="D24" s="2698" t="str">
        <f>IF(F23&lt;=1,"销售费用×利率×(建设周期÷2)","销售费用×((1+利率)^(建设周期÷2)-1)")</f>
        <v>销售费用×((1+利率)^(建设周期÷2)-1)</v>
      </c>
      <c r="E24" s="683" t="s">
        <v>951</v>
      </c>
      <c r="F24" s="716">
        <f ca="1">'数据-取费表'!B40</f>
        <v>4.7500000000000001E-2</v>
      </c>
      <c r="G24" s="2282"/>
      <c r="H24" s="2671" t="s">
        <v>2619</v>
      </c>
      <c r="I24" s="2672" t="s">
        <v>365</v>
      </c>
      <c r="J24" s="2673" t="e">
        <f ca="1">ROUND(J5*M24,1)</f>
        <v>#N/A</v>
      </c>
      <c r="K24" s="2674" t="s">
        <v>369</v>
      </c>
      <c r="L24" s="2672" t="s">
        <v>926</v>
      </c>
      <c r="M24" s="2668"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1" t="s">
        <v>2384</v>
      </c>
      <c r="B25" s="683" t="s">
        <v>370</v>
      </c>
      <c r="C25" s="313"/>
      <c r="D25" s="470" t="s">
        <v>953</v>
      </c>
      <c r="E25" s="3385"/>
      <c r="F25" s="315"/>
      <c r="G25" s="2281"/>
      <c r="H25" s="2659" t="s">
        <v>2360</v>
      </c>
      <c r="I25" s="2676" t="s">
        <v>375</v>
      </c>
      <c r="J25" s="691" t="e">
        <f ca="1">J5-J16</f>
        <v>#N/A</v>
      </c>
      <c r="K25" s="2677" t="s">
        <v>376</v>
      </c>
      <c r="L25" s="2678"/>
      <c r="M25" s="2679"/>
    </row>
    <row r="26" spans="1:37" ht="18" customHeight="1">
      <c r="A26" s="2431" t="s">
        <v>2377</v>
      </c>
      <c r="B26" s="683" t="s">
        <v>2534</v>
      </c>
      <c r="C26" s="313" t="e">
        <f ca="1">ROUND((C19+C20)*F26,0)</f>
        <v>#N/A</v>
      </c>
      <c r="D26" s="708" t="s">
        <v>956</v>
      </c>
      <c r="E26" s="694" t="s">
        <v>957</v>
      </c>
      <c r="F26" s="693" t="e">
        <f ca="1">INDIRECT("'数据-取费表'!q"&amp;$G$1)</f>
        <v>#N/A</v>
      </c>
      <c r="G26" s="2281"/>
      <c r="H26" s="680" t="s">
        <v>2363</v>
      </c>
      <c r="I26" s="681" t="s">
        <v>958</v>
      </c>
      <c r="J26" s="682" t="e">
        <f ca="1">IF(J5&lt;&gt;0,ROUND(J25*(1-((1+M28)/(1+M26))^M27)/(M26-M28),0),0)</f>
        <v>#N/A</v>
      </c>
      <c r="K26" s="709" t="s">
        <v>371</v>
      </c>
      <c r="L26" s="683" t="s">
        <v>965</v>
      </c>
      <c r="M26" s="693" t="e">
        <f ca="1">INDIRECT("'数据-取费表'!I"&amp;$G$1)</f>
        <v>#N/A</v>
      </c>
    </row>
    <row r="27" spans="1:37" ht="18" customHeight="1">
      <c r="A27" s="2431" t="s">
        <v>2383</v>
      </c>
      <c r="B27" s="683" t="s">
        <v>373</v>
      </c>
      <c r="C27" s="313" t="e">
        <f ca="1">ROUND(F21*F26,4)</f>
        <v>#N/A</v>
      </c>
      <c r="D27" s="708" t="s">
        <v>960</v>
      </c>
      <c r="E27" s="703"/>
      <c r="F27" s="704"/>
      <c r="G27" s="2281"/>
      <c r="H27" s="685"/>
      <c r="I27" s="686"/>
      <c r="J27" s="687"/>
      <c r="K27" s="717" t="s">
        <v>961</v>
      </c>
      <c r="L27" s="683" t="s">
        <v>966</v>
      </c>
      <c r="M27" s="718" t="e">
        <f ca="1">INDIRECT("'数据-取费表'!ag"&amp;$G$1)</f>
        <v>#N/A</v>
      </c>
    </row>
    <row r="28" spans="1:37" s="705" customFormat="1" ht="18" customHeight="1">
      <c r="A28" s="2431" t="s">
        <v>2385</v>
      </c>
      <c r="B28" s="683" t="s">
        <v>374</v>
      </c>
      <c r="C28" s="313">
        <f>ROUND(F28/(1+'数据-取费表'!C42),4)</f>
        <v>5.33E-2</v>
      </c>
      <c r="D28" s="708" t="s">
        <v>967</v>
      </c>
      <c r="E28" s="683" t="s">
        <v>926</v>
      </c>
      <c r="F28" s="706">
        <f>'数据-取费表'!B41</f>
        <v>5.6000000000000001E-2</v>
      </c>
      <c r="G28" s="2282"/>
      <c r="H28" s="689"/>
      <c r="I28" s="690"/>
      <c r="J28" s="691"/>
      <c r="K28" s="712"/>
      <c r="L28" s="683" t="s">
        <v>380</v>
      </c>
      <c r="M28" s="693"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1" t="s">
        <v>2386</v>
      </c>
      <c r="B29" s="2672" t="s">
        <v>969</v>
      </c>
      <c r="C29" s="2673" t="e">
        <f ca="1">ROUND((C19+C20+C23+C26)/(1-F21-C24-C27-C28),0)</f>
        <v>#N/A</v>
      </c>
      <c r="D29" s="2674"/>
      <c r="E29" s="2672"/>
      <c r="F29" s="2675"/>
      <c r="G29" s="2282"/>
      <c r="H29" s="719" t="s">
        <v>2370</v>
      </c>
      <c r="I29" s="720" t="s">
        <v>962</v>
      </c>
      <c r="J29" s="721" t="e">
        <f ca="1">ROUND(J26/(1+F40)^F41,0)</f>
        <v>#N/A</v>
      </c>
      <c r="K29" s="722" t="s">
        <v>963</v>
      </c>
      <c r="L29" s="723"/>
      <c r="M29" s="724"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59" t="s">
        <v>2345</v>
      </c>
      <c r="B30" s="2660" t="s">
        <v>927</v>
      </c>
      <c r="C30" s="691" t="e">
        <f ca="1">ROUND(C31+C36+C37+C38,0)</f>
        <v>#N/A</v>
      </c>
      <c r="D30" s="2669" t="s">
        <v>928</v>
      </c>
      <c r="E30" s="2670"/>
      <c r="F30" s="2621"/>
      <c r="G30" s="2281"/>
      <c r="H30" s="1277"/>
      <c r="I30" s="1278"/>
      <c r="J30" s="1279"/>
      <c r="K30" s="1280"/>
      <c r="L30" s="1281"/>
      <c r="M30" s="1282"/>
    </row>
    <row r="31" spans="1:37" ht="18" customHeight="1">
      <c r="A31" s="2431" t="s">
        <v>2380</v>
      </c>
      <c r="B31" s="683" t="s">
        <v>361</v>
      </c>
      <c r="C31" s="313" t="e">
        <f ca="1">ROUND(IF(项目基本情况!B11="自然人",C5*F31,C32+C33+C34),1)</f>
        <v>#N/A</v>
      </c>
      <c r="D31" s="3382" t="s">
        <v>931</v>
      </c>
      <c r="E31" s="3381" t="s">
        <v>970</v>
      </c>
      <c r="F31" s="707" t="e">
        <f ca="1">IF(项目基本情况!B11="企业","",IF(INDIRECT("'数据-取费表'!c"&amp;$G$1)="住宅",5%,IF(F6*F7*F8/12/(1+'数据-取费表'!C42)&gt;20000,12%,7%)))</f>
        <v>#N/A</v>
      </c>
      <c r="G31" s="2281"/>
      <c r="H31" s="1277"/>
      <c r="I31" s="1278"/>
      <c r="J31" s="1279"/>
      <c r="K31" s="1280"/>
      <c r="L31" s="1281"/>
      <c r="M31" s="1282"/>
    </row>
    <row r="32" spans="1:37" ht="18" customHeight="1">
      <c r="A32" s="2431" t="s">
        <v>2377</v>
      </c>
      <c r="B32" s="683" t="s">
        <v>933</v>
      </c>
      <c r="C32" s="313" t="e">
        <f ca="1">IF(项目基本情况!B11="自然人","——",ROUND(C5*F32/(1+'数据-取费表'!C42),2))</f>
        <v>#N/A</v>
      </c>
      <c r="D32" s="3381" t="s">
        <v>934</v>
      </c>
      <c r="E32" s="683" t="s">
        <v>926</v>
      </c>
      <c r="F32" s="716">
        <f>'数据-取费表'!B41</f>
        <v>5.6000000000000001E-2</v>
      </c>
      <c r="G32" s="2281"/>
      <c r="H32" s="1283"/>
      <c r="I32" s="1284"/>
      <c r="J32" s="1285"/>
      <c r="K32" s="1286"/>
      <c r="L32" s="1287"/>
      <c r="M32" s="1288"/>
    </row>
    <row r="33" spans="1:18" ht="18" customHeight="1">
      <c r="A33" s="2431" t="s">
        <v>2613</v>
      </c>
      <c r="B33" s="683" t="s">
        <v>936</v>
      </c>
      <c r="C33" s="313" t="e">
        <f ca="1">IF(项目基本情况!B11="自然人","——",IF(D33="按租金收入计税",ROUND(C5*F33,2),IF(D33="按房产原值计税",ROUND(C29*F33*0.7,2),INDIRECT("'数据-取费表'!Aj"&amp;$G$1))))</f>
        <v>#N/A</v>
      </c>
      <c r="D33" s="1300" t="s">
        <v>2420</v>
      </c>
      <c r="E33" s="683" t="s">
        <v>363</v>
      </c>
      <c r="F33" s="706">
        <f>IF(D33="按票据","——",IF(D33="按租金收入计税",'数据-取费表'!B51,'数据-取费表'!B50))</f>
        <v>1.2E-2</v>
      </c>
      <c r="G33" s="2281"/>
      <c r="H33" s="1289"/>
      <c r="I33" s="2877"/>
      <c r="J33" s="2878"/>
      <c r="K33" s="1290"/>
      <c r="L33" s="1289"/>
      <c r="M33" s="1289"/>
    </row>
    <row r="34" spans="1:18" ht="18" customHeight="1">
      <c r="A34" s="2615" t="s">
        <v>2614</v>
      </c>
      <c r="B34" s="495" t="s">
        <v>971</v>
      </c>
      <c r="C34" s="314" t="e">
        <f ca="1">IF(项目基本情况!B11="自然人","——",ROUND(F34*F35/10000,2))</f>
        <v>#N/A</v>
      </c>
      <c r="D34" s="709" t="s">
        <v>939</v>
      </c>
      <c r="E34" s="683" t="s">
        <v>973</v>
      </c>
      <c r="F34" s="710">
        <f>'数据-取费表'!B52</f>
        <v>7</v>
      </c>
      <c r="G34" s="2281"/>
      <c r="H34" s="1277"/>
      <c r="I34" s="2877"/>
      <c r="J34" s="2878"/>
      <c r="K34" s="1291"/>
      <c r="L34" s="1292"/>
      <c r="M34" s="1292"/>
    </row>
    <row r="35" spans="1:18" ht="18" customHeight="1">
      <c r="A35" s="2689"/>
      <c r="B35" s="2687"/>
      <c r="C35" s="318"/>
      <c r="D35" s="712"/>
      <c r="E35" s="683" t="s">
        <v>944</v>
      </c>
      <c r="F35" s="684" t="e">
        <f ca="1">INDIRECT("'数据-取费表'!r"&amp;$G$1)</f>
        <v>#N/A</v>
      </c>
      <c r="G35" s="2281"/>
      <c r="H35" s="1277"/>
      <c r="I35" s="2877"/>
      <c r="J35" s="2878"/>
      <c r="K35" s="1290"/>
      <c r="L35" s="1289"/>
      <c r="M35" s="1289"/>
    </row>
    <row r="36" spans="1:18" ht="18" customHeight="1">
      <c r="A36" s="2688" t="s">
        <v>2387</v>
      </c>
      <c r="B36" s="683" t="s">
        <v>946</v>
      </c>
      <c r="C36" s="313" t="e">
        <f ca="1">ROUND(C29*F36,1)</f>
        <v>#N/A</v>
      </c>
      <c r="D36" s="3381" t="s">
        <v>976</v>
      </c>
      <c r="E36" s="683" t="s">
        <v>363</v>
      </c>
      <c r="F36" s="713" t="e">
        <f ca="1">INDIRECT("'数据-取费表'!Ak"&amp;$G$1)</f>
        <v>#N/A</v>
      </c>
      <c r="G36" s="2281"/>
      <c r="H36" s="1289"/>
      <c r="I36" s="2877"/>
      <c r="J36" s="2878"/>
      <c r="K36" s="1293"/>
      <c r="L36" s="1289"/>
      <c r="M36" s="1289"/>
    </row>
    <row r="37" spans="1:18" ht="18" customHeight="1">
      <c r="A37" s="2431" t="s">
        <v>2618</v>
      </c>
      <c r="B37" s="683" t="s">
        <v>366</v>
      </c>
      <c r="C37" s="313" t="e">
        <f ca="1">ROUND(C13*F37,1)</f>
        <v>#N/A</v>
      </c>
      <c r="D37" s="3381" t="s">
        <v>367</v>
      </c>
      <c r="E37" s="683" t="s">
        <v>363</v>
      </c>
      <c r="F37" s="715" t="e">
        <f ca="1">INDIRECT("'数据-取费表'!Al"&amp;$G$1)</f>
        <v>#N/A</v>
      </c>
      <c r="G37" s="2281"/>
      <c r="H37" s="1289"/>
      <c r="I37" s="2877"/>
      <c r="J37" s="2878"/>
      <c r="K37" s="1293"/>
      <c r="L37" s="1289"/>
      <c r="M37" s="1289"/>
    </row>
    <row r="38" spans="1:18" ht="18" customHeight="1" thickBot="1">
      <c r="A38" s="2671" t="s">
        <v>2619</v>
      </c>
      <c r="B38" s="2672" t="s">
        <v>365</v>
      </c>
      <c r="C38" s="2673" t="e">
        <f ca="1">ROUND(C5*F38,1)</f>
        <v>#N/A</v>
      </c>
      <c r="D38" s="2674" t="s">
        <v>369</v>
      </c>
      <c r="E38" s="2672" t="s">
        <v>363</v>
      </c>
      <c r="F38" s="2668" t="e">
        <f ca="1">INDIRECT("'数据-取费表'!Am"&amp;$G$1)</f>
        <v>#N/A</v>
      </c>
      <c r="G38" s="2281"/>
      <c r="H38" s="1289"/>
      <c r="I38" s="2877"/>
      <c r="J38" s="2878"/>
      <c r="K38" s="1294"/>
      <c r="L38" s="1289"/>
      <c r="M38" s="1289"/>
    </row>
    <row r="39" spans="1:18" ht="24.6" customHeight="1" thickTop="1">
      <c r="A39" s="2659" t="s">
        <v>2360</v>
      </c>
      <c r="B39" s="2676" t="s">
        <v>375</v>
      </c>
      <c r="C39" s="691" t="e">
        <f ca="1">C5-C30</f>
        <v>#N/A</v>
      </c>
      <c r="D39" s="2677" t="s">
        <v>376</v>
      </c>
      <c r="E39" s="2678"/>
      <c r="F39" s="2679"/>
      <c r="G39" s="2281"/>
      <c r="H39" s="1289"/>
      <c r="I39" s="2877"/>
      <c r="J39" s="2878"/>
      <c r="K39" s="1294"/>
      <c r="L39" s="1289"/>
      <c r="M39" s="1289"/>
    </row>
    <row r="40" spans="1:18" ht="18" customHeight="1">
      <c r="A40" s="680" t="s">
        <v>2363</v>
      </c>
      <c r="B40" s="681" t="s">
        <v>377</v>
      </c>
      <c r="C40" s="682" t="e">
        <f ca="1">ROUND(C39*(1-((1+F42)/(1+F40))^F41)/(F40-F42),0)</f>
        <v>#N/A</v>
      </c>
      <c r="D40" s="709" t="s">
        <v>371</v>
      </c>
      <c r="E40" s="683" t="s">
        <v>372</v>
      </c>
      <c r="F40" s="693" t="e">
        <f ca="1">INDIRECT("'数据-取费表'!I"&amp;$G$1)</f>
        <v>#N/A</v>
      </c>
      <c r="G40" s="2281"/>
      <c r="H40" s="1295"/>
      <c r="I40" s="2877"/>
      <c r="J40" s="2878"/>
      <c r="K40" s="1294"/>
      <c r="L40" s="1295"/>
      <c r="M40" s="1295"/>
    </row>
    <row r="41" spans="1:18" ht="18" customHeight="1">
      <c r="A41" s="685"/>
      <c r="B41" s="686"/>
      <c r="C41" s="687"/>
      <c r="D41" s="717" t="s">
        <v>378</v>
      </c>
      <c r="E41" s="683" t="s">
        <v>379</v>
      </c>
      <c r="F41" s="718" t="e">
        <f ca="1">IF(INDIRECT("'数据-取费表'!af"&amp;$G$1)=0,INDIRECT("'数据-取费表'!ae"&amp;$G$1),INDIRECT("'数据-取费表'!af"&amp;$G$1))</f>
        <v>#N/A</v>
      </c>
      <c r="G41" s="2281"/>
      <c r="H41" s="1191"/>
      <c r="I41" s="2877"/>
      <c r="J41" s="2878"/>
      <c r="K41" s="1293"/>
      <c r="L41" s="1191"/>
      <c r="M41" s="1191"/>
    </row>
    <row r="42" spans="1:18" ht="18" customHeight="1">
      <c r="A42" s="689"/>
      <c r="B42" s="690"/>
      <c r="C42" s="691"/>
      <c r="D42" s="712"/>
      <c r="E42" s="683" t="s">
        <v>380</v>
      </c>
      <c r="F42" s="693" t="e">
        <f ca="1">INDIRECT("'数据-取费表'!v"&amp;$G$1)</f>
        <v>#N/A</v>
      </c>
      <c r="G42" s="2281"/>
      <c r="H42" s="1191"/>
      <c r="I42" s="2877"/>
      <c r="J42" s="2878"/>
      <c r="K42" s="1293"/>
      <c r="L42" s="1191"/>
      <c r="M42" s="1191"/>
    </row>
    <row r="43" spans="1:18" ht="18" customHeight="1" thickBot="1">
      <c r="A43" s="719" t="s">
        <v>2370</v>
      </c>
      <c r="B43" s="720" t="s">
        <v>381</v>
      </c>
      <c r="C43" s="721" t="e">
        <f ca="1">ROUND(C40*10000/F43,0)</f>
        <v>#N/A</v>
      </c>
      <c r="D43" s="722" t="s">
        <v>382</v>
      </c>
      <c r="E43" s="723" t="s">
        <v>383</v>
      </c>
      <c r="F43" s="724" t="e">
        <f ca="1">INDIRECT("'数据-取费表'!k"&amp;$G$1)</f>
        <v>#N/A</v>
      </c>
      <c r="G43" s="2281"/>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4" t="s">
        <v>2493</v>
      </c>
      <c r="P45" s="1295"/>
      <c r="Q45" s="1295"/>
      <c r="R45" s="1295"/>
    </row>
    <row r="46" spans="1:18" s="1454" customFormat="1" ht="21" thickBot="1">
      <c r="A46" s="2389" t="s">
        <v>2332</v>
      </c>
      <c r="B46" s="2390"/>
      <c r="C46" s="2718" t="e">
        <f ca="1">C68-C40</f>
        <v>#N/A</v>
      </c>
      <c r="D46" s="2719" t="str">
        <f>C2</f>
        <v>万元</v>
      </c>
      <c r="E46" s="1432"/>
      <c r="F46" s="1432"/>
      <c r="I46" s="2571" t="s">
        <v>2428</v>
      </c>
      <c r="J46" s="2572"/>
      <c r="K46" s="2573"/>
      <c r="L46" s="2575" t="e">
        <f ca="1">IF(M47="住宅",0,IF(L48&gt;J51,L60,J60))</f>
        <v>#N/A</v>
      </c>
      <c r="O46" s="2587" t="s">
        <v>2471</v>
      </c>
      <c r="P46" s="2588" t="s">
        <v>2472</v>
      </c>
      <c r="Q46" s="2589" t="s">
        <v>2470</v>
      </c>
      <c r="R46" s="2589" t="s">
        <v>2473</v>
      </c>
    </row>
    <row r="47" spans="1:18" s="1454" customFormat="1" ht="15.75" thickBot="1">
      <c r="A47" s="2391" t="s">
        <v>911</v>
      </c>
      <c r="B47" s="2427" t="s">
        <v>912</v>
      </c>
      <c r="C47" s="2723" t="s">
        <v>913</v>
      </c>
      <c r="D47" s="2427" t="s">
        <v>914</v>
      </c>
      <c r="E47" s="2530" t="s">
        <v>2338</v>
      </c>
      <c r="F47" s="2531"/>
      <c r="G47" s="1456"/>
      <c r="I47" s="2546" t="s">
        <v>2421</v>
      </c>
      <c r="J47" s="2547" t="s">
        <v>3225</v>
      </c>
      <c r="K47" s="2556" t="s">
        <v>2444</v>
      </c>
      <c r="L47" s="2557" t="e">
        <f ca="1">INDIRECT("'数据-取费表'!d"&amp;$G$1)</f>
        <v>#N/A</v>
      </c>
      <c r="M47" s="2577" t="str">
        <f>IF(ISNUMBER(FIND("住宅",C1)),"住宅","非住宅")</f>
        <v>非住宅</v>
      </c>
      <c r="O47" s="2580" t="s">
        <v>2456</v>
      </c>
      <c r="P47" s="2590" t="s">
        <v>2474</v>
      </c>
      <c r="Q47" s="2581" t="e">
        <f ca="1">C40+J29</f>
        <v>#N/A</v>
      </c>
      <c r="R47" s="2581" t="s">
        <v>2475</v>
      </c>
    </row>
    <row r="48" spans="1:18" s="1454" customFormat="1" ht="47.25" thickBot="1">
      <c r="A48" s="2704" t="s">
        <v>2624</v>
      </c>
      <c r="B48" s="681" t="s">
        <v>2339</v>
      </c>
      <c r="C48" s="3384" t="e">
        <f ca="1">C49+C53+C55</f>
        <v>#N/A</v>
      </c>
      <c r="D48" s="2708"/>
      <c r="E48" s="2709"/>
      <c r="F48" s="2411"/>
      <c r="G48" s="1456"/>
      <c r="H48" s="1457"/>
      <c r="I48" s="2537" t="s">
        <v>2422</v>
      </c>
      <c r="J48" s="2548" t="s">
        <v>2423</v>
      </c>
      <c r="K48" s="2558" t="s">
        <v>681</v>
      </c>
      <c r="L48" s="2161" t="e">
        <f ca="1">INDIRECT("'数据-取费表'!f"&amp;$G$1)</f>
        <v>#N/A</v>
      </c>
      <c r="O48" s="2580" t="s">
        <v>2457</v>
      </c>
      <c r="P48" s="2590" t="s">
        <v>2476</v>
      </c>
      <c r="Q48" s="2581" t="e">
        <f ca="1">J60</f>
        <v>#N/A</v>
      </c>
      <c r="R48" s="2581" t="s">
        <v>2484</v>
      </c>
    </row>
    <row r="49" spans="1:18" s="1454" customFormat="1" ht="16.5" thickBot="1">
      <c r="A49" s="2424" t="s">
        <v>2625</v>
      </c>
      <c r="B49" s="2707" t="s">
        <v>2627</v>
      </c>
      <c r="C49" s="2716" t="e">
        <f ca="1">ROUND(F49*F51*F50*(1-F52)/10000,0)</f>
        <v>#N/A</v>
      </c>
      <c r="D49" s="2526" t="s">
        <v>2340</v>
      </c>
      <c r="E49" s="2529" t="s">
        <v>2333</v>
      </c>
      <c r="F49" s="2532"/>
      <c r="G49" s="1458"/>
      <c r="H49" s="1457"/>
      <c r="I49" s="2537" t="s">
        <v>2442</v>
      </c>
      <c r="J49" s="3335">
        <v>2017</v>
      </c>
      <c r="K49" s="2559" t="s">
        <v>2447</v>
      </c>
      <c r="L49" s="2560"/>
      <c r="O49" s="2582" t="s">
        <v>2458</v>
      </c>
      <c r="P49" s="2590" t="s">
        <v>2477</v>
      </c>
      <c r="Q49" s="2581" t="e">
        <f ca="1">C29</f>
        <v>#N/A</v>
      </c>
      <c r="R49" s="2581" t="s">
        <v>2475</v>
      </c>
    </row>
    <row r="50" spans="1:18" s="1454" customFormat="1" ht="15.75" thickBot="1">
      <c r="A50" s="2425"/>
      <c r="B50" s="2428"/>
      <c r="C50" s="2724"/>
      <c r="D50" s="2398"/>
      <c r="E50" s="2527" t="s">
        <v>2341</v>
      </c>
      <c r="F50" s="2528" t="e">
        <f ca="1">F7</f>
        <v>#N/A</v>
      </c>
      <c r="H50" s="1457"/>
      <c r="I50" s="2537" t="s">
        <v>2424</v>
      </c>
      <c r="J50" s="2550">
        <f>SUMPRODUCT((I63:I65=J47)*(J62:L62=J48)*(J63:L65))</f>
        <v>80</v>
      </c>
      <c r="K50" s="2559" t="s">
        <v>2448</v>
      </c>
      <c r="L50" s="2560"/>
      <c r="M50" s="2554"/>
      <c r="O50" s="2582" t="s">
        <v>2459</v>
      </c>
      <c r="P50" s="2590" t="s">
        <v>2485</v>
      </c>
      <c r="Q50" s="2583" t="e">
        <f ca="1">J58</f>
        <v>#N/A</v>
      </c>
      <c r="R50" s="2581"/>
    </row>
    <row r="51" spans="1:18" s="1454" customFormat="1" ht="15.75" thickBot="1">
      <c r="A51" s="2426"/>
      <c r="B51" s="2428"/>
      <c r="C51" s="2429"/>
      <c r="D51" s="2398"/>
      <c r="E51" s="2430" t="s">
        <v>918</v>
      </c>
      <c r="F51" s="684" t="e">
        <f ca="1">F8</f>
        <v>#N/A</v>
      </c>
      <c r="I51" s="2551" t="s">
        <v>2429</v>
      </c>
      <c r="J51" s="2552">
        <f>IF(J49="",J50,J49+J50-YEAR('数据-取费表'!B2))</f>
        <v>80</v>
      </c>
      <c r="K51" s="2561" t="s">
        <v>2449</v>
      </c>
      <c r="L51" s="2574" t="e">
        <f ca="1">ROUND(-PV(INDIRECT("'数据-取费表'!h"&amp;$G$1),L48,(C39-C13*C76),0),0)</f>
        <v>#N/A</v>
      </c>
      <c r="M51" s="2555"/>
      <c r="O51" s="2582" t="s">
        <v>2460</v>
      </c>
      <c r="P51" s="2590" t="s">
        <v>2486</v>
      </c>
      <c r="Q51" s="2583">
        <f>J52</f>
        <v>7.4999999999999997E-2</v>
      </c>
      <c r="R51" s="2581"/>
    </row>
    <row r="52" spans="1:18" s="1454" customFormat="1" ht="15.75" thickBot="1">
      <c r="A52" s="2426"/>
      <c r="B52" s="2428"/>
      <c r="C52" s="2429"/>
      <c r="D52" s="2398"/>
      <c r="E52" s="2430" t="s">
        <v>2343</v>
      </c>
      <c r="F52" s="2525"/>
      <c r="I52" s="2553" t="s">
        <v>2452</v>
      </c>
      <c r="J52" s="2567">
        <v>7.4999999999999997E-2</v>
      </c>
      <c r="K52" s="2553" t="s">
        <v>2437</v>
      </c>
      <c r="L52" s="2567"/>
      <c r="M52" s="2390"/>
      <c r="O52" s="2582" t="s">
        <v>2461</v>
      </c>
      <c r="P52" s="2590" t="s">
        <v>2478</v>
      </c>
      <c r="Q52" s="2581" t="e">
        <f ca="1">J53</f>
        <v>#N/A</v>
      </c>
      <c r="R52" s="2581" t="s">
        <v>2479</v>
      </c>
    </row>
    <row r="53" spans="1:18" s="1454" customFormat="1" ht="43.5" thickBot="1">
      <c r="A53" s="2822" t="s">
        <v>2626</v>
      </c>
      <c r="B53" s="432" t="s">
        <v>2536</v>
      </c>
      <c r="C53" s="697">
        <f ca="1">ROUND(IF(F53="押一",F49*F51*F50/12*F11,IF(F53="押二",F49*F51*F50/12*2*F11,IF(F53="押三",F49*F51*F50/12*3*F11,C54*F11)))/10000,0)</f>
        <v>0</v>
      </c>
      <c r="D53" s="2627" t="s">
        <v>2544</v>
      </c>
      <c r="E53" s="2090" t="s">
        <v>2538</v>
      </c>
      <c r="F53" s="2824"/>
      <c r="I53" s="2563" t="s">
        <v>2454</v>
      </c>
      <c r="J53" s="2564" t="e">
        <f ca="1">IF(M47="住宅",J51,MIN(J51,L48))</f>
        <v>#N/A</v>
      </c>
      <c r="K53" s="36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52"/>
      <c r="O53" s="2580" t="s">
        <v>2462</v>
      </c>
      <c r="P53" s="2590" t="s">
        <v>2480</v>
      </c>
      <c r="Q53" s="2581" t="e">
        <f ca="1">Q47+Q48</f>
        <v>#N/A</v>
      </c>
      <c r="R53" s="2581" t="s">
        <v>2463</v>
      </c>
    </row>
    <row r="54" spans="1:18" s="1454" customFormat="1" ht="16.5" thickBot="1">
      <c r="A54" s="2823"/>
      <c r="B54" s="2617" t="s">
        <v>2703</v>
      </c>
      <c r="C54" s="2408"/>
      <c r="D54" s="2627"/>
      <c r="E54" s="3383"/>
      <c r="F54" s="2533"/>
      <c r="I54" s="2405"/>
      <c r="J54" s="2562"/>
      <c r="K54" s="2562"/>
      <c r="L54" s="2562"/>
      <c r="M54" s="1458"/>
      <c r="O54" s="2584" t="s">
        <v>2487</v>
      </c>
      <c r="P54" s="1295"/>
      <c r="Q54" s="1295"/>
      <c r="R54" s="1295"/>
    </row>
    <row r="55" spans="1:18" s="1454" customFormat="1" ht="15.75" thickBot="1">
      <c r="A55" s="2663" t="s">
        <v>2549</v>
      </c>
      <c r="B55" s="2664" t="s">
        <v>2537</v>
      </c>
      <c r="C55" s="2665"/>
      <c r="D55" s="2627"/>
      <c r="E55" s="3383"/>
      <c r="F55" s="2533"/>
      <c r="I55" s="3316" t="s">
        <v>2430</v>
      </c>
      <c r="J55" s="3315" t="e">
        <f ca="1">ROUND(IF(J47="钢混",J57/J50,1-(1-2%)*(J50-J57)/J50),3)</f>
        <v>#N/A</v>
      </c>
      <c r="K55" s="2544" t="s">
        <v>2431</v>
      </c>
      <c r="L55" s="2566" t="s">
        <v>3226</v>
      </c>
      <c r="O55" s="2587" t="s">
        <v>2471</v>
      </c>
      <c r="P55" s="2588" t="s">
        <v>2472</v>
      </c>
      <c r="Q55" s="2589" t="s">
        <v>2470</v>
      </c>
      <c r="R55" s="2589" t="s">
        <v>2473</v>
      </c>
    </row>
    <row r="56" spans="1:18" s="1454" customFormat="1" ht="44.25" thickTop="1" thickBot="1">
      <c r="A56" s="2402">
        <v>2</v>
      </c>
      <c r="B56" s="2403" t="s">
        <v>920</v>
      </c>
      <c r="C56" s="607" t="e">
        <f ca="1">C13</f>
        <v>#N/A</v>
      </c>
      <c r="D56" s="2691"/>
      <c r="E56" s="2404"/>
      <c r="F56" s="2533"/>
      <c r="I56" s="2536" t="s">
        <v>2432</v>
      </c>
      <c r="J56" s="2565" t="s">
        <v>41</v>
      </c>
      <c r="K56" s="2537" t="s">
        <v>2436</v>
      </c>
      <c r="L56" s="2161" t="e">
        <f ca="1">IF(L48&lt;J51,"——",L48-J51)</f>
        <v>#N/A</v>
      </c>
      <c r="O56" s="2580" t="s">
        <v>2456</v>
      </c>
      <c r="P56" s="2590" t="s">
        <v>2474</v>
      </c>
      <c r="Q56" s="2581" t="e">
        <f ca="1">C40+J29</f>
        <v>#N/A</v>
      </c>
      <c r="R56" s="2581" t="s">
        <v>2475</v>
      </c>
    </row>
    <row r="57" spans="1:18" s="1454" customFormat="1" ht="29.25" thickBot="1">
      <c r="A57" s="2534"/>
      <c r="B57" s="2395" t="s">
        <v>969</v>
      </c>
      <c r="C57" s="613" t="e">
        <f ca="1">C29</f>
        <v>#N/A</v>
      </c>
      <c r="D57" s="2406"/>
      <c r="E57" s="2407"/>
      <c r="F57" s="2535"/>
      <c r="I57" s="2538" t="s">
        <v>2453</v>
      </c>
      <c r="J57" s="2542" t="e">
        <f ca="1">IF(OR(M47="住宅",J51&lt;L48,J56="是"),"——",J51-L48)</f>
        <v>#N/A</v>
      </c>
      <c r="K57" s="2537" t="s">
        <v>2908</v>
      </c>
      <c r="L57" s="2161" t="e">
        <f ca="1">IF(L48&lt;J51,"——",IF(L55="比较法",L49,IF(L55="基准地价",L50,L51)))</f>
        <v>#N/A</v>
      </c>
      <c r="O57" s="2580" t="s">
        <v>2457</v>
      </c>
      <c r="P57" s="2590" t="s">
        <v>2481</v>
      </c>
      <c r="Q57" s="2581" t="e">
        <f ca="1">L60</f>
        <v>#N/A</v>
      </c>
      <c r="R57" s="2581" t="s">
        <v>2496</v>
      </c>
    </row>
    <row r="58" spans="1:18" s="1454" customFormat="1" ht="29.25" thickBot="1">
      <c r="A58" s="696" t="s">
        <v>2345</v>
      </c>
      <c r="B58" s="2403" t="s">
        <v>927</v>
      </c>
      <c r="C58" s="697" t="e">
        <f ca="1">ROUND(C59+C64+C65+C66,0)</f>
        <v>#N/A</v>
      </c>
      <c r="D58" s="2409" t="s">
        <v>928</v>
      </c>
      <c r="E58" s="2410"/>
      <c r="F58" s="2411"/>
      <c r="I58" s="2538" t="s">
        <v>2433</v>
      </c>
      <c r="J58" s="3317" t="e">
        <f ca="1">IF(J55&lt;0.4,0.4,J55)</f>
        <v>#N/A</v>
      </c>
      <c r="K58" s="2561" t="s">
        <v>2909</v>
      </c>
      <c r="L58" s="2161">
        <f ca="1">IF(ISERROR(POWER(1+L52,L47-L48)*(POWER(1+L52,L48)-1)/(POWER(1+L52,L47)-1)),0,POWER(1+L52,L47-L48)*(POWER(1+L52,L48)-1)/(POWER(1+L52,L47)-1))</f>
        <v>0</v>
      </c>
      <c r="O58" s="2582" t="s">
        <v>2458</v>
      </c>
      <c r="P58" s="2590" t="s">
        <v>2488</v>
      </c>
      <c r="Q58" s="2581">
        <f>IF(L55="比较法",L49,IF(L55="基准地价",L50,0))</f>
        <v>0</v>
      </c>
      <c r="R58" s="2581" t="s">
        <v>2475</v>
      </c>
    </row>
    <row r="59" spans="1:18" s="1454" customFormat="1" ht="29.25" thickBot="1">
      <c r="A59" s="2431" t="s">
        <v>2380</v>
      </c>
      <c r="B59" s="2395" t="s">
        <v>361</v>
      </c>
      <c r="C59" s="313" t="e">
        <f ca="1">ROUND(IF(项目基本情况!B11="自然人",C48*F59,C60+C61+C62),1)</f>
        <v>#N/A</v>
      </c>
      <c r="D59" s="2412" t="s">
        <v>931</v>
      </c>
      <c r="E59" s="2413" t="s">
        <v>2347</v>
      </c>
      <c r="F59" s="707" t="e">
        <f ca="1">IF(项目基本情况!B11="企业","",IF(INDIRECT("'数据-取费表'!c"&amp;$G$1)="住宅",5%,IF(F49*F50*F51/12/(1+'数据-取费表'!C42)&gt;20000,12%,7%)))</f>
        <v>#N/A</v>
      </c>
      <c r="I59" s="2538" t="s">
        <v>2434</v>
      </c>
      <c r="J59" s="2542" t="e">
        <f ca="1">IF(OR(M47="住宅",J51&lt;L48,J56="是"),"——",ROUND(C29*J58,0))</f>
        <v>#N/A</v>
      </c>
      <c r="K59" s="2561" t="s">
        <v>2910</v>
      </c>
      <c r="L59" s="2161">
        <f ca="1">IF(ISERROR(POWER(1+L52,L47-J51)*(POWER(1+L52,J51)-1)/(POWER(1+L52,L47)-1)),0,POWER(1+L52,L47-J51)*(POWER(1+L52,J51)-1)/(POWER(1+L52,L47)-1))</f>
        <v>0</v>
      </c>
      <c r="O59" s="2582" t="s">
        <v>2459</v>
      </c>
      <c r="P59" s="2590" t="s">
        <v>2489</v>
      </c>
      <c r="Q59" s="2583">
        <f>L52</f>
        <v>0</v>
      </c>
      <c r="R59" s="2581"/>
    </row>
    <row r="60" spans="1:18" s="1454" customFormat="1" ht="20.25" thickBot="1">
      <c r="A60" s="2431" t="s">
        <v>2377</v>
      </c>
      <c r="B60" s="2395" t="s">
        <v>933</v>
      </c>
      <c r="C60" s="313" t="e">
        <f ca="1">IF(项目基本情况!B11="自然人","——",ROUND(C48*F60/(1+'数据-取费表'!C42),2))</f>
        <v>#N/A</v>
      </c>
      <c r="D60" s="2413" t="s">
        <v>2349</v>
      </c>
      <c r="E60" s="2395" t="s">
        <v>363</v>
      </c>
      <c r="F60" s="716">
        <f t="shared" ref="F60:F66" si="0">F32</f>
        <v>5.6000000000000001E-2</v>
      </c>
      <c r="I60" s="2539" t="s">
        <v>2435</v>
      </c>
      <c r="J60" s="2543" t="e">
        <f ca="1">IF(OR(M47="住宅",J51&lt;L48,J56="是"),"0",ROUND(J59/(1+J52)^J53,0))</f>
        <v>#N/A</v>
      </c>
      <c r="K60" s="2545" t="s">
        <v>2438</v>
      </c>
      <c r="L60" s="2543" t="e">
        <f ca="1">IF(OR(M47="住宅",L48&lt;J51),0,ROUND(L57*(L58/L59-1),0))</f>
        <v>#N/A</v>
      </c>
      <c r="O60" s="2582" t="s">
        <v>2460</v>
      </c>
      <c r="P60" s="2590" t="s">
        <v>2490</v>
      </c>
      <c r="Q60" s="2581">
        <f ca="1">L58</f>
        <v>0</v>
      </c>
      <c r="R60" s="2581" t="s">
        <v>2465</v>
      </c>
    </row>
    <row r="61" spans="1:18" s="1454" customFormat="1" ht="20.25" thickBot="1">
      <c r="A61" s="2431" t="s">
        <v>2378</v>
      </c>
      <c r="B61" s="2395" t="s">
        <v>2351</v>
      </c>
      <c r="C61" s="313" t="e">
        <f ca="1">IF(项目基本情况!B11="自然人","——",IF(D61="按租金收入计税",ROUND(C48*F61,2),IF(D61="按房产原值计税",ROUND(C57*F61*0.7,2),INDIRECT("'数据-取费表'!Aj"&amp;$G$1))))</f>
        <v>#N/A</v>
      </c>
      <c r="D61" s="1300" t="s">
        <v>2420</v>
      </c>
      <c r="E61" s="2395" t="s">
        <v>363</v>
      </c>
      <c r="F61" s="706">
        <f t="shared" si="0"/>
        <v>1.2E-2</v>
      </c>
      <c r="I61" s="2405"/>
      <c r="J61" s="2405"/>
      <c r="K61" s="2405"/>
      <c r="L61" s="2405"/>
      <c r="O61" s="2582" t="s">
        <v>2461</v>
      </c>
      <c r="P61" s="2590" t="s">
        <v>2491</v>
      </c>
      <c r="Q61" s="2581">
        <f ca="1">L59</f>
        <v>0</v>
      </c>
      <c r="R61" s="2581" t="s">
        <v>2466</v>
      </c>
    </row>
    <row r="62" spans="1:18" s="1454" customFormat="1" ht="15.75" thickBot="1">
      <c r="A62" s="2431" t="s">
        <v>2379</v>
      </c>
      <c r="B62" s="2394" t="s">
        <v>938</v>
      </c>
      <c r="C62" s="314" t="e">
        <f ca="1">IF(项目基本情况!B11="自然人","——",ROUND(F62*F63/10000,2))</f>
        <v>#N/A</v>
      </c>
      <c r="D62" s="2414" t="s">
        <v>939</v>
      </c>
      <c r="E62" s="2395" t="s">
        <v>973</v>
      </c>
      <c r="F62" s="710">
        <f t="shared" si="0"/>
        <v>7</v>
      </c>
      <c r="I62" s="2540" t="s">
        <v>2425</v>
      </c>
      <c r="J62" s="2541" t="s">
        <v>2426</v>
      </c>
      <c r="K62" s="2541" t="s">
        <v>2427</v>
      </c>
      <c r="L62" s="2541" t="s">
        <v>2423</v>
      </c>
      <c r="M62" s="3318" t="s">
        <v>3046</v>
      </c>
      <c r="O62" s="2580" t="s">
        <v>2462</v>
      </c>
      <c r="P62" s="2590" t="s">
        <v>2480</v>
      </c>
      <c r="Q62" s="2581" t="e">
        <f ca="1">Q56+Q57</f>
        <v>#N/A</v>
      </c>
      <c r="R62" s="2581" t="s">
        <v>2463</v>
      </c>
    </row>
    <row r="63" spans="1:18" s="1454" customFormat="1" ht="16.5" thickBot="1">
      <c r="A63" s="711"/>
      <c r="B63" s="2401"/>
      <c r="C63" s="318"/>
      <c r="D63" s="2415"/>
      <c r="E63" s="2395" t="s">
        <v>2355</v>
      </c>
      <c r="F63" s="684" t="e">
        <f t="shared" ca="1" si="0"/>
        <v>#N/A</v>
      </c>
      <c r="I63" s="2540" t="s">
        <v>2439</v>
      </c>
      <c r="J63" s="3321">
        <v>70</v>
      </c>
      <c r="K63" s="3321">
        <v>50</v>
      </c>
      <c r="L63" s="3321">
        <v>80</v>
      </c>
      <c r="M63" s="3319">
        <v>0.02</v>
      </c>
      <c r="O63" s="2584" t="s">
        <v>2494</v>
      </c>
      <c r="P63" s="1295"/>
      <c r="Q63" s="1295"/>
      <c r="R63" s="1295"/>
    </row>
    <row r="64" spans="1:18" s="1454" customFormat="1" ht="15.75" thickBot="1">
      <c r="A64" s="2431" t="s">
        <v>2387</v>
      </c>
      <c r="B64" s="2395" t="s">
        <v>2356</v>
      </c>
      <c r="C64" s="313" t="e">
        <f ca="1">ROUND(C57*F64,1)</f>
        <v>#N/A</v>
      </c>
      <c r="D64" s="2413" t="s">
        <v>2357</v>
      </c>
      <c r="E64" s="2395" t="s">
        <v>363</v>
      </c>
      <c r="F64" s="713" t="e">
        <f t="shared" ca="1" si="0"/>
        <v>#N/A</v>
      </c>
      <c r="I64" s="2540" t="s">
        <v>107</v>
      </c>
      <c r="J64" s="3321">
        <v>50</v>
      </c>
      <c r="K64" s="3321">
        <v>35</v>
      </c>
      <c r="L64" s="3321">
        <v>60</v>
      </c>
      <c r="M64" s="3320">
        <v>0</v>
      </c>
      <c r="O64" s="2587" t="s">
        <v>2471</v>
      </c>
      <c r="P64" s="2588" t="s">
        <v>2472</v>
      </c>
      <c r="Q64" s="2589" t="s">
        <v>2470</v>
      </c>
      <c r="R64" s="2589" t="s">
        <v>2473</v>
      </c>
    </row>
    <row r="65" spans="1:18" s="1454" customFormat="1" ht="15.75" thickBot="1">
      <c r="A65" s="2431" t="s">
        <v>2381</v>
      </c>
      <c r="B65" s="2395" t="s">
        <v>366</v>
      </c>
      <c r="C65" s="313" t="e">
        <f ca="1">ROUND(C56*F65,1)</f>
        <v>#N/A</v>
      </c>
      <c r="D65" s="2413" t="s">
        <v>367</v>
      </c>
      <c r="E65" s="2395" t="s">
        <v>363</v>
      </c>
      <c r="F65" s="715" t="e">
        <f t="shared" ca="1" si="0"/>
        <v>#N/A</v>
      </c>
      <c r="I65" s="2540" t="s">
        <v>2441</v>
      </c>
      <c r="J65" s="3321">
        <v>40</v>
      </c>
      <c r="K65" s="3321">
        <v>30</v>
      </c>
      <c r="L65" s="3321">
        <v>50</v>
      </c>
      <c r="M65" s="3319">
        <v>0.02</v>
      </c>
      <c r="O65" s="2580" t="s">
        <v>2456</v>
      </c>
      <c r="P65" s="2590" t="s">
        <v>2474</v>
      </c>
      <c r="Q65" s="2581" t="e">
        <f ca="1">C40+J29</f>
        <v>#N/A</v>
      </c>
      <c r="R65" s="2581" t="s">
        <v>2475</v>
      </c>
    </row>
    <row r="66" spans="1:18" s="1454" customFormat="1" ht="20.25" thickBot="1">
      <c r="A66" s="2431" t="s">
        <v>2382</v>
      </c>
      <c r="B66" s="2395" t="s">
        <v>365</v>
      </c>
      <c r="C66" s="313" t="e">
        <f ca="1">ROUND(C48*F66,1)</f>
        <v>#N/A</v>
      </c>
      <c r="D66" s="2413" t="s">
        <v>369</v>
      </c>
      <c r="E66" s="2395" t="s">
        <v>363</v>
      </c>
      <c r="F66" s="693" t="e">
        <f t="shared" ca="1" si="0"/>
        <v>#N/A</v>
      </c>
      <c r="O66" s="2580" t="s">
        <v>2457</v>
      </c>
      <c r="P66" s="2590" t="s">
        <v>2481</v>
      </c>
      <c r="Q66" s="2581" t="e">
        <f ca="1">L60</f>
        <v>#N/A</v>
      </c>
      <c r="R66" s="2581" t="s">
        <v>2464</v>
      </c>
    </row>
    <row r="67" spans="1:18" s="1454" customFormat="1" ht="24.75" thickBot="1">
      <c r="A67" s="2402" t="s">
        <v>2360</v>
      </c>
      <c r="B67" s="2416" t="s">
        <v>375</v>
      </c>
      <c r="C67" s="697" t="e">
        <f ca="1">C48-C58</f>
        <v>#N/A</v>
      </c>
      <c r="D67" s="2412" t="s">
        <v>376</v>
      </c>
      <c r="E67" s="2417"/>
      <c r="F67" s="2418"/>
      <c r="O67" s="2582" t="s">
        <v>2458</v>
      </c>
      <c r="P67" s="2590" t="s">
        <v>2488</v>
      </c>
      <c r="Q67" s="2585" t="e">
        <f ca="1">L51</f>
        <v>#N/A</v>
      </c>
      <c r="R67" s="2586" t="s">
        <v>2498</v>
      </c>
    </row>
    <row r="68" spans="1:18" s="1454" customFormat="1" ht="20.25" thickBot="1">
      <c r="A68" s="2392" t="s">
        <v>2363</v>
      </c>
      <c r="B68" s="2393" t="s">
        <v>377</v>
      </c>
      <c r="C68" s="682" t="e">
        <f ca="1">ROUND(C67*(1-((1+F70)/(1+F68))^F69)/(F68-F70),0)</f>
        <v>#N/A</v>
      </c>
      <c r="D68" s="2414" t="s">
        <v>371</v>
      </c>
      <c r="E68" s="2395" t="s">
        <v>372</v>
      </c>
      <c r="F68" s="693" t="e">
        <f ca="1">F40</f>
        <v>#N/A</v>
      </c>
      <c r="O68" s="2582" t="s">
        <v>2459</v>
      </c>
      <c r="P68" s="2591" t="s">
        <v>2492</v>
      </c>
      <c r="Q68" s="2581" t="e">
        <f ca="1">ROUND(Q69-Q70*Q71,0)</f>
        <v>#N/A</v>
      </c>
      <c r="R68" s="2581" t="s">
        <v>2497</v>
      </c>
    </row>
    <row r="69" spans="1:18" s="1454" customFormat="1" ht="15.75" thickBot="1">
      <c r="A69" s="2396"/>
      <c r="B69" s="2397"/>
      <c r="C69" s="687"/>
      <c r="D69" s="2419" t="s">
        <v>2367</v>
      </c>
      <c r="E69" s="2395" t="s">
        <v>379</v>
      </c>
      <c r="F69" s="718" t="e">
        <f ca="1">F41</f>
        <v>#N/A</v>
      </c>
      <c r="O69" s="2582" t="s">
        <v>2467</v>
      </c>
      <c r="P69" s="2591" t="s">
        <v>2482</v>
      </c>
      <c r="Q69" s="2581" t="e">
        <f ca="1">C39</f>
        <v>#N/A</v>
      </c>
      <c r="R69" s="2581" t="s">
        <v>2475</v>
      </c>
    </row>
    <row r="70" spans="1:18" s="1454" customFormat="1" ht="15.75" thickBot="1">
      <c r="A70" s="2399"/>
      <c r="B70" s="2400"/>
      <c r="C70" s="691"/>
      <c r="D70" s="2415"/>
      <c r="E70" s="2395" t="s">
        <v>380</v>
      </c>
      <c r="F70" s="2525"/>
      <c r="O70" s="2582" t="s">
        <v>2468</v>
      </c>
      <c r="P70" s="2591" t="s">
        <v>2483</v>
      </c>
      <c r="Q70" s="2581" t="e">
        <f ca="1">C13</f>
        <v>#N/A</v>
      </c>
      <c r="R70" s="2581" t="s">
        <v>2475</v>
      </c>
    </row>
    <row r="71" spans="1:18" s="1454" customFormat="1" ht="15.75" thickBot="1">
      <c r="A71" s="2420" t="s">
        <v>2370</v>
      </c>
      <c r="B71" s="2421" t="s">
        <v>381</v>
      </c>
      <c r="C71" s="721" t="e">
        <f ca="1">ROUND(C68*10000/F71,0)</f>
        <v>#N/A</v>
      </c>
      <c r="D71" s="2422" t="s">
        <v>382</v>
      </c>
      <c r="E71" s="2423" t="s">
        <v>383</v>
      </c>
      <c r="F71" s="724" t="e">
        <f ca="1">F43</f>
        <v>#N/A</v>
      </c>
      <c r="I71" s="2390"/>
      <c r="K71" s="2390"/>
      <c r="O71" s="2582" t="s">
        <v>2469</v>
      </c>
      <c r="P71" s="2591" t="s">
        <v>2495</v>
      </c>
      <c r="Q71" s="2583" t="e">
        <f ca="1">C76</f>
        <v>#N/A</v>
      </c>
      <c r="R71" s="2581"/>
    </row>
    <row r="72" spans="1:18" s="1454" customFormat="1" ht="15.75" thickBot="1">
      <c r="B72" s="1459"/>
      <c r="C72" s="1459"/>
      <c r="I72" s="2390"/>
      <c r="O72" s="2582" t="s">
        <v>2460</v>
      </c>
      <c r="P72" s="2590" t="s">
        <v>2489</v>
      </c>
      <c r="Q72" s="2583">
        <f>L52</f>
        <v>0</v>
      </c>
      <c r="R72" s="2581"/>
    </row>
    <row r="73" spans="1:18" ht="20.25" thickBot="1">
      <c r="A73" s="1454"/>
      <c r="B73" s="1459"/>
      <c r="C73" s="1459"/>
      <c r="D73" s="1454"/>
      <c r="E73" s="1454"/>
      <c r="F73" s="1454"/>
      <c r="I73" s="2576"/>
      <c r="O73" s="2582" t="s">
        <v>2461</v>
      </c>
      <c r="P73" s="2590" t="s">
        <v>2490</v>
      </c>
      <c r="Q73" s="2581">
        <f ca="1">L58</f>
        <v>0</v>
      </c>
      <c r="R73" s="2581" t="s">
        <v>2465</v>
      </c>
    </row>
    <row r="74" spans="1:18" ht="20.25" thickBot="1">
      <c r="A74" s="1454"/>
      <c r="B74" s="726" t="s">
        <v>384</v>
      </c>
      <c r="C74" s="727"/>
      <c r="D74" s="1454"/>
      <c r="E74" s="1454"/>
      <c r="F74" s="1454"/>
      <c r="O74" s="2582" t="s">
        <v>2499</v>
      </c>
      <c r="P74" s="2590" t="s">
        <v>2491</v>
      </c>
      <c r="Q74" s="2581">
        <f ca="1">L59</f>
        <v>0</v>
      </c>
      <c r="R74" s="2581" t="s">
        <v>2466</v>
      </c>
    </row>
    <row r="75" spans="1:18" ht="15.75" thickBot="1">
      <c r="A75" s="1454"/>
      <c r="B75" s="728" t="s">
        <v>974</v>
      </c>
      <c r="C75" s="729" t="e">
        <f ca="1">ROUND(C13*C76,0)</f>
        <v>#N/A</v>
      </c>
      <c r="D75" s="1454"/>
      <c r="E75" s="1454"/>
      <c r="F75" s="1454"/>
      <c r="K75" s="1455"/>
      <c r="L75" s="1454"/>
      <c r="O75" s="2580" t="s">
        <v>2462</v>
      </c>
      <c r="P75" s="2590" t="s">
        <v>2480</v>
      </c>
      <c r="Q75" s="2581" t="e">
        <f ca="1">Q65+Q66</f>
        <v>#N/A</v>
      </c>
      <c r="R75" s="2581" t="s">
        <v>2463</v>
      </c>
    </row>
    <row r="76" spans="1:18">
      <c r="B76" s="730" t="s">
        <v>975</v>
      </c>
      <c r="C76" s="731" t="e">
        <f ca="1">INDIRECT("'数据-取费表'!j"&amp;$G$1)</f>
        <v>#N/A</v>
      </c>
      <c r="I76" s="1454"/>
      <c r="J76" s="1454"/>
      <c r="K76" s="1455"/>
      <c r="L76" s="1454"/>
    </row>
    <row r="77" spans="1:18">
      <c r="B77" s="732" t="s">
        <v>978</v>
      </c>
      <c r="C77" s="733"/>
      <c r="I77" s="1454"/>
      <c r="J77" s="1454"/>
      <c r="K77" s="1455"/>
      <c r="L77" s="1454"/>
    </row>
    <row r="78" spans="1:18">
      <c r="B78" s="645" t="s">
        <v>964</v>
      </c>
      <c r="C78" s="734"/>
    </row>
    <row r="79" spans="1:18">
      <c r="B79" s="2869" t="s">
        <v>2708</v>
      </c>
      <c r="C79" s="649" t="e">
        <f ca="1">1-C80</f>
        <v>#N/A</v>
      </c>
    </row>
    <row r="80" spans="1:18">
      <c r="B80" s="2869" t="s">
        <v>2707</v>
      </c>
      <c r="C80" s="649" t="e">
        <f ca="1">ROUND(C75/C39,3)</f>
        <v>#N/A</v>
      </c>
    </row>
    <row r="81" spans="2:3">
      <c r="B81" s="645" t="s">
        <v>385</v>
      </c>
      <c r="C81" s="646"/>
    </row>
    <row r="82" spans="2:3">
      <c r="B82" s="2868" t="s">
        <v>2706</v>
      </c>
      <c r="C82" s="650" t="e">
        <f ca="1">1-C83</f>
        <v>#N/A</v>
      </c>
    </row>
    <row r="83" spans="2:3">
      <c r="B83" s="2868" t="s">
        <v>2705</v>
      </c>
      <c r="C83" s="649"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sheetPr>
    <tabColor rgb="FF00B0F0"/>
  </sheetPr>
  <dimension ref="A1:AK83"/>
  <sheetViews>
    <sheetView topLeftCell="A22"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909</v>
      </c>
      <c r="B1" s="669"/>
      <c r="C1" s="2385" t="s">
        <v>3247</v>
      </c>
      <c r="D1" s="1273"/>
      <c r="E1" s="2578" t="s">
        <v>537</v>
      </c>
      <c r="F1" s="2579" t="e">
        <f ca="1">J53</f>
        <v>#N/A</v>
      </c>
      <c r="G1" s="671" t="e">
        <f>MATCH(C1,'数据-取费表'!A6:A16,0)+5</f>
        <v>#N/A</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t="e">
        <f ca="1">C40+J29+L46</f>
        <v>#N/A</v>
      </c>
      <c r="C2" s="1299" t="s">
        <v>1103</v>
      </c>
      <c r="D2" s="1275"/>
      <c r="E2" s="2568"/>
      <c r="F2" s="1276"/>
      <c r="G2" s="2280"/>
      <c r="H2" s="1274"/>
      <c r="I2" s="1274"/>
      <c r="J2" s="1274"/>
      <c r="K2" s="1298"/>
      <c r="L2" s="1274"/>
      <c r="M2" s="1274"/>
    </row>
    <row r="3" spans="1:37" ht="18" customHeight="1" thickBot="1">
      <c r="A3" s="674" t="s">
        <v>344</v>
      </c>
      <c r="B3" s="1407">
        <f ca="1">IF(ISERROR(B2*10000/F43),0,ROUND(B2*10000/F43,0))</f>
        <v>0</v>
      </c>
      <c r="C3" s="1299" t="s">
        <v>1104</v>
      </c>
      <c r="D3" s="1275"/>
      <c r="E3" s="2568"/>
      <c r="F3" s="1276"/>
      <c r="G3" s="2280"/>
      <c r="H3" s="675" t="s">
        <v>910</v>
      </c>
      <c r="I3" s="1274"/>
      <c r="J3" s="1274"/>
      <c r="K3" s="1298"/>
      <c r="L3" s="1274"/>
      <c r="M3" s="1274"/>
    </row>
    <row r="4" spans="1:37" ht="18" customHeight="1">
      <c r="A4" s="676" t="s">
        <v>911</v>
      </c>
      <c r="B4" s="677" t="s">
        <v>912</v>
      </c>
      <c r="C4" s="677" t="s">
        <v>913</v>
      </c>
      <c r="D4" s="677" t="s">
        <v>914</v>
      </c>
      <c r="E4" s="678" t="s">
        <v>915</v>
      </c>
      <c r="F4" s="679"/>
      <c r="G4" s="2281"/>
      <c r="H4" s="676" t="s">
        <v>911</v>
      </c>
      <c r="I4" s="677" t="s">
        <v>912</v>
      </c>
      <c r="J4" s="677" t="s">
        <v>913</v>
      </c>
      <c r="K4" s="677" t="s">
        <v>914</v>
      </c>
      <c r="L4" s="678" t="s">
        <v>915</v>
      </c>
      <c r="M4" s="679"/>
    </row>
    <row r="5" spans="1:37" ht="18" customHeight="1">
      <c r="A5" s="680">
        <v>1</v>
      </c>
      <c r="B5" s="681" t="s">
        <v>2339</v>
      </c>
      <c r="C5" s="2619" t="e">
        <f ca="1">C6+C10+C12</f>
        <v>#N/A</v>
      </c>
      <c r="D5" s="2629" t="s">
        <v>2542</v>
      </c>
      <c r="E5" s="2620"/>
      <c r="F5" s="2621"/>
      <c r="G5" s="2281"/>
      <c r="H5" s="680">
        <v>1</v>
      </c>
      <c r="I5" s="681" t="s">
        <v>2339</v>
      </c>
      <c r="J5" s="2619" t="e">
        <f ca="1">J6+J10+J12</f>
        <v>#N/A</v>
      </c>
      <c r="K5" s="2622" t="s">
        <v>2542</v>
      </c>
      <c r="L5" s="2620"/>
      <c r="M5" s="2621"/>
    </row>
    <row r="6" spans="1:37" ht="18" customHeight="1">
      <c r="A6" s="2615" t="s">
        <v>2380</v>
      </c>
      <c r="B6" s="3648" t="s">
        <v>2541</v>
      </c>
      <c r="C6" s="2624" t="e">
        <f ca="1">ROUND(F6*F8*F7*(1-F9)/10000,0)</f>
        <v>#N/A</v>
      </c>
      <c r="D6" s="2618" t="s">
        <v>2543</v>
      </c>
      <c r="E6" s="683" t="s">
        <v>916</v>
      </c>
      <c r="F6" s="684" t="e">
        <f ca="1">INDIRECT("'数据-取费表'!u"&amp;$G$1)</f>
        <v>#N/A</v>
      </c>
      <c r="G6" s="2281"/>
      <c r="H6" s="2615" t="s">
        <v>2380</v>
      </c>
      <c r="I6" s="3648" t="s">
        <v>2541</v>
      </c>
      <c r="J6" s="682" t="e">
        <f ca="1">ROUND(M6*M8*M7*(1-M9)/10000,0)</f>
        <v>#N/A</v>
      </c>
      <c r="K6" s="2618" t="s">
        <v>2543</v>
      </c>
      <c r="L6" s="683" t="s">
        <v>916</v>
      </c>
      <c r="M6" s="684" t="e">
        <f ca="1">INDIRECT("'数据-取费表'!z"&amp;$G$1)</f>
        <v>#N/A</v>
      </c>
    </row>
    <row r="7" spans="1:37" ht="18" customHeight="1">
      <c r="A7" s="2623"/>
      <c r="B7" s="3649"/>
      <c r="C7" s="2625"/>
      <c r="D7" s="2054"/>
      <c r="E7" s="2626" t="s">
        <v>917</v>
      </c>
      <c r="F7" s="684" t="e">
        <f ca="1">IF(INDIRECT("'数据-取费表'!ah"&amp;$G$1)="",INDIRECT("'数据-取费表'!k"&amp;$G$1),INDIRECT("'数据-取费表'!ah"&amp;$G$1))</f>
        <v>#N/A</v>
      </c>
      <c r="G7" s="2281"/>
      <c r="H7" s="685"/>
      <c r="I7" s="3649"/>
      <c r="J7" s="687"/>
      <c r="K7" s="688"/>
      <c r="L7" s="683" t="s">
        <v>917</v>
      </c>
      <c r="M7" s="684" t="e">
        <f ca="1">F7</f>
        <v>#N/A</v>
      </c>
    </row>
    <row r="8" spans="1:37" ht="18" customHeight="1">
      <c r="A8" s="685"/>
      <c r="B8" s="3649"/>
      <c r="C8" s="687"/>
      <c r="D8" s="688"/>
      <c r="E8" s="683" t="s">
        <v>918</v>
      </c>
      <c r="F8" s="684" t="e">
        <f ca="1">INDIRECT("'数据-取费表'!ai"&amp;$G$1)</f>
        <v>#N/A</v>
      </c>
      <c r="G8" s="2281"/>
      <c r="H8" s="685"/>
      <c r="I8" s="3649"/>
      <c r="J8" s="687"/>
      <c r="K8" s="688"/>
      <c r="L8" s="683" t="s">
        <v>918</v>
      </c>
      <c r="M8" s="684" t="e">
        <f ca="1">INDIRECT("'数据-取费表'!ai"&amp;$G$1)</f>
        <v>#N/A</v>
      </c>
    </row>
    <row r="9" spans="1:37" ht="18" customHeight="1">
      <c r="A9" s="685"/>
      <c r="B9" s="3650"/>
      <c r="C9" s="687"/>
      <c r="D9" s="688"/>
      <c r="E9" s="683" t="s">
        <v>919</v>
      </c>
      <c r="F9" s="693" t="e">
        <f ca="1">INDIRECT("'数据-取费表'!w"&amp;$G$1)</f>
        <v>#N/A</v>
      </c>
      <c r="G9" s="2281"/>
      <c r="H9" s="685"/>
      <c r="I9" s="3650"/>
      <c r="J9" s="687"/>
      <c r="K9" s="688"/>
      <c r="L9" s="694" t="s">
        <v>919</v>
      </c>
      <c r="M9" s="695" t="e">
        <f ca="1">INDIRECT("'数据-取费表'!ab"&amp;$G$1)</f>
        <v>#N/A</v>
      </c>
    </row>
    <row r="10" spans="1:37" ht="18" customHeight="1">
      <c r="A10" s="2615" t="s">
        <v>2387</v>
      </c>
      <c r="B10" s="2616" t="s">
        <v>2536</v>
      </c>
      <c r="C10" s="697" t="e">
        <f ca="1">ROUND(IF(F10="押一",F6*F8*F7/12*F11,IF(F10="押二",F6*F8*F7/12*2*F11,IF(F10="押三",F6*F8*F7/12*3*F11,C11*F11)))/10000,0)</f>
        <v>#N/A</v>
      </c>
      <c r="D10" s="2627" t="s">
        <v>2544</v>
      </c>
      <c r="E10" s="2090" t="s">
        <v>2538</v>
      </c>
      <c r="F10" s="2824" t="s">
        <v>3050</v>
      </c>
      <c r="G10" s="2281"/>
      <c r="H10" s="2615" t="s">
        <v>2387</v>
      </c>
      <c r="I10" s="2616" t="s">
        <v>2536</v>
      </c>
      <c r="J10" s="682" t="e">
        <f ca="1">ROUND(IF(M10="押一",M6*M8*M7/12*M11,IF(M10="押二",M6*M8*M7/12*2*M11,IF(M10="押三",M6*M8*M7/12*3*M11,J11*M11)))/10000,0)</f>
        <v>#N/A</v>
      </c>
      <c r="K10" s="2627" t="s">
        <v>2544</v>
      </c>
      <c r="L10" s="2090" t="s">
        <v>2538</v>
      </c>
      <c r="M10" s="2722" t="s">
        <v>2630</v>
      </c>
    </row>
    <row r="11" spans="1:37" ht="18" customHeight="1">
      <c r="A11" s="689"/>
      <c r="B11" s="2617" t="s">
        <v>2703</v>
      </c>
      <c r="C11" s="2408"/>
      <c r="D11" s="2863"/>
      <c r="E11" s="2090" t="s">
        <v>2539</v>
      </c>
      <c r="F11" s="695">
        <f ca="1">'数据-取费表'!B39</f>
        <v>1.4999999999999999E-2</v>
      </c>
      <c r="G11" s="2281"/>
      <c r="H11" s="2628"/>
      <c r="I11" s="2617" t="s">
        <v>2703</v>
      </c>
      <c r="J11" s="2408"/>
      <c r="K11" s="1280"/>
      <c r="L11" s="2090" t="s">
        <v>2539</v>
      </c>
      <c r="M11" s="2089">
        <f ca="1">'数据-取费表'!B39</f>
        <v>1.4999999999999999E-2</v>
      </c>
    </row>
    <row r="12" spans="1:37" ht="18" customHeight="1" thickBot="1">
      <c r="A12" s="2663" t="s">
        <v>2549</v>
      </c>
      <c r="B12" s="2664" t="s">
        <v>2537</v>
      </c>
      <c r="C12" s="2665"/>
      <c r="D12" s="2666"/>
      <c r="E12" s="2667"/>
      <c r="F12" s="2668"/>
      <c r="G12" s="2281"/>
      <c r="H12" s="2663" t="s">
        <v>2549</v>
      </c>
      <c r="I12" s="2664" t="s">
        <v>2537</v>
      </c>
      <c r="J12" s="2665"/>
      <c r="K12" s="2682"/>
      <c r="L12" s="2667"/>
      <c r="M12" s="2683"/>
    </row>
    <row r="13" spans="1:37" ht="18" customHeight="1" thickTop="1">
      <c r="A13" s="2659">
        <v>2</v>
      </c>
      <c r="B13" s="2660" t="s">
        <v>920</v>
      </c>
      <c r="C13" s="691" t="e">
        <f ca="1">ROUND(C29*F13,0)</f>
        <v>#N/A</v>
      </c>
      <c r="D13" s="2661" t="s">
        <v>921</v>
      </c>
      <c r="E13" s="2661" t="s">
        <v>922</v>
      </c>
      <c r="F13" s="2662" t="e">
        <f ca="1">INDIRECT("'数据-取费表'!y"&amp;$G$1)</f>
        <v>#N/A</v>
      </c>
      <c r="G13" s="2281"/>
      <c r="H13" s="2659">
        <v>2</v>
      </c>
      <c r="I13" s="2660" t="s">
        <v>920</v>
      </c>
      <c r="J13" s="2614" t="e">
        <f ca="1">ROUND(J14*J15,0)</f>
        <v>#N/A</v>
      </c>
      <c r="K13" s="2669" t="s">
        <v>921</v>
      </c>
      <c r="L13" s="2680"/>
      <c r="M13" s="2681"/>
    </row>
    <row r="14" spans="1:37" ht="18" customHeight="1">
      <c r="A14" s="2431" t="s">
        <v>2377</v>
      </c>
      <c r="B14" s="683" t="s">
        <v>357</v>
      </c>
      <c r="C14" s="701" t="e">
        <f ca="1">INDIRECT("'数据-取费表'!m"&amp;$G$1)+INDIRECT("'数据-取费表'!t"&amp;$G$1)</f>
        <v>#N/A</v>
      </c>
      <c r="D14" s="3382" t="s">
        <v>923</v>
      </c>
      <c r="E14" s="3380"/>
      <c r="F14" s="702"/>
      <c r="G14" s="2281"/>
      <c r="H14" s="2431" t="s">
        <v>2380</v>
      </c>
      <c r="I14" s="683" t="s">
        <v>924</v>
      </c>
      <c r="J14" s="313" t="e">
        <f ca="1">C29</f>
        <v>#N/A</v>
      </c>
      <c r="K14" s="303"/>
      <c r="L14" s="699"/>
      <c r="M14" s="700"/>
    </row>
    <row r="15" spans="1:37" s="705" customFormat="1" ht="18" customHeight="1" thickBot="1">
      <c r="A15" s="2431" t="s">
        <v>2613</v>
      </c>
      <c r="B15" s="683" t="s">
        <v>358</v>
      </c>
      <c r="C15" s="313" t="e">
        <f ca="1">ROUND(C14*F15,0)</f>
        <v>#N/A</v>
      </c>
      <c r="D15" s="703" t="s">
        <v>925</v>
      </c>
      <c r="E15" s="703" t="s">
        <v>926</v>
      </c>
      <c r="F15" s="704">
        <f>'数据-取费表'!B33</f>
        <v>0.03</v>
      </c>
      <c r="G15" s="2282"/>
      <c r="H15" s="2671" t="s">
        <v>2387</v>
      </c>
      <c r="I15" s="2672" t="s">
        <v>922</v>
      </c>
      <c r="J15" s="2683" t="e">
        <f ca="1">INDIRECT("'数据-取费表'!ad"&amp;$G$1)</f>
        <v>#N/A</v>
      </c>
      <c r="K15" s="2684"/>
      <c r="L15" s="2685"/>
      <c r="M15" s="2686"/>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1" t="s">
        <v>2614</v>
      </c>
      <c r="B16" s="683" t="s">
        <v>359</v>
      </c>
      <c r="C16" s="313" t="e">
        <f ca="1">ROUND(INDIRECT("'数据-取费表'!m"&amp;$G$1)*F16,0)</f>
        <v>#N/A</v>
      </c>
      <c r="D16" s="683" t="s">
        <v>925</v>
      </c>
      <c r="E16" s="683" t="s">
        <v>926</v>
      </c>
      <c r="F16" s="706" t="e">
        <f ca="1">IF(INDIRECT("'数据-取费表'!c"&amp;$G$1)="住宅",'数据-取费表'!B34,0)</f>
        <v>#N/A</v>
      </c>
      <c r="G16" s="2281"/>
      <c r="H16" s="2659" t="s">
        <v>2345</v>
      </c>
      <c r="I16" s="2660" t="s">
        <v>927</v>
      </c>
      <c r="J16" s="691" t="e">
        <f ca="1">ROUND(J17+J22+J23+J24,0)</f>
        <v>#N/A</v>
      </c>
      <c r="K16" s="2669" t="s">
        <v>928</v>
      </c>
      <c r="L16" s="2670"/>
      <c r="M16" s="2621"/>
    </row>
    <row r="17" spans="1:37" s="705" customFormat="1" ht="18" customHeight="1">
      <c r="A17" s="2431" t="s">
        <v>2615</v>
      </c>
      <c r="B17" s="683" t="s">
        <v>360</v>
      </c>
      <c r="C17" s="313" t="e">
        <f ca="1">ROUND(F17*(F43+INDIRECT("'数据-取费表'!S"&amp;$G$1))/10000,0)</f>
        <v>#N/A</v>
      </c>
      <c r="D17" s="683" t="s">
        <v>929</v>
      </c>
      <c r="E17" s="683" t="s">
        <v>930</v>
      </c>
      <c r="F17" s="315">
        <f>'数据-取费表'!B35</f>
        <v>150</v>
      </c>
      <c r="G17" s="2282"/>
      <c r="H17" s="2431" t="s">
        <v>2380</v>
      </c>
      <c r="I17" s="683" t="s">
        <v>361</v>
      </c>
      <c r="J17" s="313" t="e">
        <f ca="1">ROUND(IF(项目基本情况!B11="自然人",J5*M17,J18+J19+J20),1)</f>
        <v>#N/A</v>
      </c>
      <c r="K17" s="3382" t="s">
        <v>931</v>
      </c>
      <c r="L17" s="3381" t="s">
        <v>932</v>
      </c>
      <c r="M17" s="707" t="e">
        <f ca="1">IF(项目基本情况!B11="企业","",IF(INDIRECT("'数据-取费表'!c"&amp;$G$1)="住宅",5%,IF(M6*M7*M8/12/(1+'数据-取费表'!C42)&gt;20000,12%,7%)))</f>
        <v>#N/A</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1" t="s">
        <v>2616</v>
      </c>
      <c r="B18" s="683" t="s">
        <v>362</v>
      </c>
      <c r="C18" s="313" t="e">
        <f ca="1">ROUND(C14*F18,0)</f>
        <v>#N/A</v>
      </c>
      <c r="D18" s="683" t="s">
        <v>925</v>
      </c>
      <c r="E18" s="683" t="s">
        <v>926</v>
      </c>
      <c r="F18" s="706">
        <f>'数据-取费表'!B36</f>
        <v>1.4999999999999999E-2</v>
      </c>
      <c r="G18" s="2282"/>
      <c r="H18" s="2431" t="s">
        <v>2377</v>
      </c>
      <c r="I18" s="683" t="s">
        <v>933</v>
      </c>
      <c r="J18" s="313" t="e">
        <f ca="1">ROUND(J5*M18/(1+'数据-取费表'!C42),2)</f>
        <v>#N/A</v>
      </c>
      <c r="K18" s="3381" t="s">
        <v>934</v>
      </c>
      <c r="L18" s="683" t="s">
        <v>926</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1" t="s">
        <v>2380</v>
      </c>
      <c r="B19" s="683" t="s">
        <v>364</v>
      </c>
      <c r="C19" s="313" t="e">
        <f ca="1">SUM(C14:C18)</f>
        <v>#N/A</v>
      </c>
      <c r="D19" s="470" t="s">
        <v>935</v>
      </c>
      <c r="E19" s="3385"/>
      <c r="F19" s="315"/>
      <c r="G19" s="2281"/>
      <c r="H19" s="2431" t="s">
        <v>2613</v>
      </c>
      <c r="I19" s="683" t="s">
        <v>936</v>
      </c>
      <c r="J19" s="313" t="e">
        <f ca="1">IF(K19="按租金收入计税",ROUND(J5*M19,2),ROUND(C29*M19*0.7,2))</f>
        <v>#N/A</v>
      </c>
      <c r="K19" s="1300" t="s">
        <v>2420</v>
      </c>
      <c r="L19" s="683" t="s">
        <v>926</v>
      </c>
      <c r="M19" s="706">
        <f>IF(K19="按租金收入计税",'数据-取费表'!B51,'数据-取费表'!B50)</f>
        <v>1.2E-2</v>
      </c>
    </row>
    <row r="20" spans="1:37" s="705" customFormat="1" ht="18" customHeight="1">
      <c r="A20" s="2431" t="s">
        <v>2617</v>
      </c>
      <c r="B20" s="683" t="s">
        <v>365</v>
      </c>
      <c r="C20" s="313" t="e">
        <f ca="1">ROUND(C19*F20,0)</f>
        <v>#N/A</v>
      </c>
      <c r="D20" s="708" t="s">
        <v>937</v>
      </c>
      <c r="E20" s="683" t="s">
        <v>926</v>
      </c>
      <c r="F20" s="706">
        <f>'数据-取费表'!B37</f>
        <v>1.4999999999999999E-2</v>
      </c>
      <c r="G20" s="2282"/>
      <c r="H20" s="2431" t="s">
        <v>2614</v>
      </c>
      <c r="I20" s="495" t="s">
        <v>938</v>
      </c>
      <c r="J20" s="314" t="e">
        <f ca="1">ROUND(M20*M21/10000,2)</f>
        <v>#N/A</v>
      </c>
      <c r="K20" s="709" t="s">
        <v>939</v>
      </c>
      <c r="L20" s="683" t="s">
        <v>940</v>
      </c>
      <c r="M20" s="710">
        <f>'数据-取费表'!B52</f>
        <v>7</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1" t="s">
        <v>2618</v>
      </c>
      <c r="B21" s="683" t="s">
        <v>941</v>
      </c>
      <c r="C21" s="313" t="s">
        <v>23</v>
      </c>
      <c r="D21" s="708" t="s">
        <v>942</v>
      </c>
      <c r="E21" s="683" t="s">
        <v>943</v>
      </c>
      <c r="F21" s="706">
        <f>'数据-取费表'!B38</f>
        <v>2.5000000000000001E-2</v>
      </c>
      <c r="G21" s="2282"/>
      <c r="H21" s="711"/>
      <c r="I21" s="692"/>
      <c r="J21" s="318"/>
      <c r="K21" s="712"/>
      <c r="L21" s="683" t="s">
        <v>944</v>
      </c>
      <c r="M21" s="684"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1" t="s">
        <v>2619</v>
      </c>
      <c r="B22" s="683" t="s">
        <v>945</v>
      </c>
      <c r="C22" s="313"/>
      <c r="D22" s="2694" t="str">
        <f>IF(F23&lt;=1,"单利计息。","复利计息。")&amp;"建造成本、管理费用、销售费用产生的利息。"</f>
        <v>复利计息。建造成本、管理费用、销售费用产生的利息。</v>
      </c>
      <c r="E22" s="3385"/>
      <c r="F22" s="315"/>
      <c r="G22" s="2281"/>
      <c r="H22" s="2431" t="s">
        <v>2387</v>
      </c>
      <c r="I22" s="683" t="s">
        <v>946</v>
      </c>
      <c r="J22" s="313" t="e">
        <f ca="1">ROUND(J14*M22,1)</f>
        <v>#N/A</v>
      </c>
      <c r="K22" s="3381" t="s">
        <v>947</v>
      </c>
      <c r="L22" s="683" t="s">
        <v>926</v>
      </c>
      <c r="M22" s="713" t="e">
        <f ca="1">INDIRECT("'数据-取费表'!Ak"&amp;$G$1)</f>
        <v>#N/A</v>
      </c>
    </row>
    <row r="23" spans="1:37" s="705" customFormat="1" ht="18" customHeight="1">
      <c r="A23" s="2431" t="s">
        <v>2377</v>
      </c>
      <c r="B23" s="683" t="s">
        <v>2533</v>
      </c>
      <c r="C23" s="313" t="e">
        <f ca="1">IF('数据-取费表'!B22&lt;=1,ROUND(C19*F24*F23/2,0)+ROUND(C20*F24*F23/2,0),ROUND(C19*(POWER((1+F24),F23/2)-1),0)+ROUND(C20*(POWER((1+F24),F23/2)-1),0))</f>
        <v>#N/A</v>
      </c>
      <c r="D23" s="2698" t="str">
        <f>IF(F23&lt;=1,"(建造成本+管理费用)×利率×(建设周期÷2)","(建造成本+管理费用)×((1+利率)^(建设周期÷2)-1)")</f>
        <v>(建造成本+管理费用)×((1+利率)^(建设周期÷2)-1)</v>
      </c>
      <c r="E23" s="683" t="s">
        <v>948</v>
      </c>
      <c r="F23" s="710">
        <f>'数据-取费表'!B20</f>
        <v>1.5</v>
      </c>
      <c r="G23" s="2282"/>
      <c r="H23" s="2431" t="s">
        <v>2618</v>
      </c>
      <c r="I23" s="683" t="s">
        <v>366</v>
      </c>
      <c r="J23" s="313" t="e">
        <f ca="1">ROUND(J13*M23,1)</f>
        <v>#N/A</v>
      </c>
      <c r="K23" s="3381" t="s">
        <v>367</v>
      </c>
      <c r="L23" s="683" t="s">
        <v>926</v>
      </c>
      <c r="M23" s="715"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1" t="s">
        <v>2383</v>
      </c>
      <c r="B24" s="683" t="s">
        <v>950</v>
      </c>
      <c r="C24" s="313">
        <f ca="1">ROUND(IF('数据-取费表'!B22&lt;=1,F21*F24*F23/2,F21*(POWER((1+F24),F23/2)-1)),4)</f>
        <v>8.9999999999999998E-4</v>
      </c>
      <c r="D24" s="2698" t="str">
        <f>IF(F23&lt;=1,"销售费用×利率×(建设周期÷2)","销售费用×((1+利率)^(建设周期÷2)-1)")</f>
        <v>销售费用×((1+利率)^(建设周期÷2)-1)</v>
      </c>
      <c r="E24" s="683" t="s">
        <v>951</v>
      </c>
      <c r="F24" s="716">
        <f ca="1">'数据-取费表'!B40</f>
        <v>4.7500000000000001E-2</v>
      </c>
      <c r="G24" s="2282"/>
      <c r="H24" s="2671" t="s">
        <v>2619</v>
      </c>
      <c r="I24" s="2672" t="s">
        <v>365</v>
      </c>
      <c r="J24" s="2673" t="e">
        <f ca="1">ROUND(J5*M24,1)</f>
        <v>#N/A</v>
      </c>
      <c r="K24" s="2674" t="s">
        <v>369</v>
      </c>
      <c r="L24" s="2672" t="s">
        <v>926</v>
      </c>
      <c r="M24" s="2668"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1" t="s">
        <v>2384</v>
      </c>
      <c r="B25" s="683" t="s">
        <v>370</v>
      </c>
      <c r="C25" s="313"/>
      <c r="D25" s="470" t="s">
        <v>953</v>
      </c>
      <c r="E25" s="3385"/>
      <c r="F25" s="315"/>
      <c r="G25" s="2281"/>
      <c r="H25" s="2659" t="s">
        <v>2360</v>
      </c>
      <c r="I25" s="2676" t="s">
        <v>375</v>
      </c>
      <c r="J25" s="691" t="e">
        <f ca="1">J5-J16</f>
        <v>#N/A</v>
      </c>
      <c r="K25" s="2677" t="s">
        <v>376</v>
      </c>
      <c r="L25" s="2678"/>
      <c r="M25" s="2679"/>
    </row>
    <row r="26" spans="1:37" ht="18" customHeight="1">
      <c r="A26" s="2431" t="s">
        <v>2377</v>
      </c>
      <c r="B26" s="683" t="s">
        <v>2534</v>
      </c>
      <c r="C26" s="313" t="e">
        <f ca="1">ROUND((C19+C20)*F26,0)</f>
        <v>#N/A</v>
      </c>
      <c r="D26" s="708" t="s">
        <v>956</v>
      </c>
      <c r="E26" s="694" t="s">
        <v>957</v>
      </c>
      <c r="F26" s="693" t="e">
        <f ca="1">INDIRECT("'数据-取费表'!q"&amp;$G$1)</f>
        <v>#N/A</v>
      </c>
      <c r="G26" s="2281"/>
      <c r="H26" s="680" t="s">
        <v>2363</v>
      </c>
      <c r="I26" s="681" t="s">
        <v>958</v>
      </c>
      <c r="J26" s="682" t="e">
        <f ca="1">IF(J5&lt;&gt;0,ROUND(J25*(1-((1+M28)/(1+M26))^M27)/(M26-M28),0),0)</f>
        <v>#N/A</v>
      </c>
      <c r="K26" s="709" t="s">
        <v>371</v>
      </c>
      <c r="L26" s="683" t="s">
        <v>965</v>
      </c>
      <c r="M26" s="693" t="e">
        <f ca="1">INDIRECT("'数据-取费表'!I"&amp;$G$1)</f>
        <v>#N/A</v>
      </c>
    </row>
    <row r="27" spans="1:37" ht="18" customHeight="1">
      <c r="A27" s="2431" t="s">
        <v>2383</v>
      </c>
      <c r="B27" s="683" t="s">
        <v>373</v>
      </c>
      <c r="C27" s="313" t="e">
        <f ca="1">ROUND(F21*F26,4)</f>
        <v>#N/A</v>
      </c>
      <c r="D27" s="708" t="s">
        <v>960</v>
      </c>
      <c r="E27" s="703"/>
      <c r="F27" s="704"/>
      <c r="G27" s="2281"/>
      <c r="H27" s="685"/>
      <c r="I27" s="686"/>
      <c r="J27" s="687"/>
      <c r="K27" s="717" t="s">
        <v>961</v>
      </c>
      <c r="L27" s="683" t="s">
        <v>966</v>
      </c>
      <c r="M27" s="718" t="e">
        <f ca="1">INDIRECT("'数据-取费表'!ag"&amp;$G$1)</f>
        <v>#N/A</v>
      </c>
    </row>
    <row r="28" spans="1:37" s="705" customFormat="1" ht="18" customHeight="1">
      <c r="A28" s="2431" t="s">
        <v>2385</v>
      </c>
      <c r="B28" s="683" t="s">
        <v>374</v>
      </c>
      <c r="C28" s="313">
        <f>ROUND(F28/(1+'数据-取费表'!C42),4)</f>
        <v>5.33E-2</v>
      </c>
      <c r="D28" s="708" t="s">
        <v>967</v>
      </c>
      <c r="E28" s="683" t="s">
        <v>926</v>
      </c>
      <c r="F28" s="706">
        <f>'数据-取费表'!B41</f>
        <v>5.6000000000000001E-2</v>
      </c>
      <c r="G28" s="2282"/>
      <c r="H28" s="689"/>
      <c r="I28" s="690"/>
      <c r="J28" s="691"/>
      <c r="K28" s="712"/>
      <c r="L28" s="683" t="s">
        <v>380</v>
      </c>
      <c r="M28" s="693"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1" t="s">
        <v>2386</v>
      </c>
      <c r="B29" s="2672" t="s">
        <v>969</v>
      </c>
      <c r="C29" s="2673" t="e">
        <f ca="1">ROUND((C19+C20+C23+C26)/(1-F21-C24-C27-C28),0)</f>
        <v>#N/A</v>
      </c>
      <c r="D29" s="2674"/>
      <c r="E29" s="2672"/>
      <c r="F29" s="2675"/>
      <c r="G29" s="2282"/>
      <c r="H29" s="719" t="s">
        <v>2370</v>
      </c>
      <c r="I29" s="720" t="s">
        <v>962</v>
      </c>
      <c r="J29" s="721" t="e">
        <f ca="1">ROUND(J26/(1+F40)^F41,0)</f>
        <v>#N/A</v>
      </c>
      <c r="K29" s="722" t="s">
        <v>963</v>
      </c>
      <c r="L29" s="723"/>
      <c r="M29" s="724"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59" t="s">
        <v>2345</v>
      </c>
      <c r="B30" s="2660" t="s">
        <v>927</v>
      </c>
      <c r="C30" s="691" t="e">
        <f ca="1">ROUND(C31+C36+C37+C38,0)</f>
        <v>#N/A</v>
      </c>
      <c r="D30" s="2669" t="s">
        <v>928</v>
      </c>
      <c r="E30" s="2670"/>
      <c r="F30" s="2621"/>
      <c r="G30" s="2281"/>
      <c r="H30" s="1277"/>
      <c r="I30" s="1278"/>
      <c r="J30" s="1279"/>
      <c r="K30" s="1280"/>
      <c r="L30" s="1281"/>
      <c r="M30" s="1282"/>
    </row>
    <row r="31" spans="1:37" ht="18" customHeight="1">
      <c r="A31" s="2431" t="s">
        <v>2380</v>
      </c>
      <c r="B31" s="683" t="s">
        <v>361</v>
      </c>
      <c r="C31" s="313" t="e">
        <f ca="1">ROUND(IF(项目基本情况!B11="自然人",C5*F31,C32+C33+C34),1)</f>
        <v>#N/A</v>
      </c>
      <c r="D31" s="3382" t="s">
        <v>931</v>
      </c>
      <c r="E31" s="3381" t="s">
        <v>970</v>
      </c>
      <c r="F31" s="707" t="e">
        <f ca="1">IF(项目基本情况!B11="企业","",IF(INDIRECT("'数据-取费表'!c"&amp;$G$1)="住宅",5%,IF(F6*F7*F8/12/(1+'数据-取费表'!C42)&gt;20000,12%,7%)))</f>
        <v>#N/A</v>
      </c>
      <c r="G31" s="2281"/>
      <c r="H31" s="1277"/>
      <c r="I31" s="1278"/>
      <c r="J31" s="1279"/>
      <c r="K31" s="1280"/>
      <c r="L31" s="1281"/>
      <c r="M31" s="1282"/>
    </row>
    <row r="32" spans="1:37" ht="18" customHeight="1">
      <c r="A32" s="2431" t="s">
        <v>2377</v>
      </c>
      <c r="B32" s="683" t="s">
        <v>933</v>
      </c>
      <c r="C32" s="313" t="e">
        <f ca="1">IF(项目基本情况!B11="自然人","——",ROUND(C5*F32/(1+'数据-取费表'!C42),2))</f>
        <v>#N/A</v>
      </c>
      <c r="D32" s="3381" t="s">
        <v>934</v>
      </c>
      <c r="E32" s="683" t="s">
        <v>926</v>
      </c>
      <c r="F32" s="716">
        <f>'数据-取费表'!B41</f>
        <v>5.6000000000000001E-2</v>
      </c>
      <c r="G32" s="2281"/>
      <c r="H32" s="1283"/>
      <c r="I32" s="1284"/>
      <c r="J32" s="1285"/>
      <c r="K32" s="1286"/>
      <c r="L32" s="1287"/>
      <c r="M32" s="1288"/>
    </row>
    <row r="33" spans="1:18" ht="18" customHeight="1">
      <c r="A33" s="2431" t="s">
        <v>2613</v>
      </c>
      <c r="B33" s="683" t="s">
        <v>936</v>
      </c>
      <c r="C33" s="313" t="e">
        <f ca="1">IF(项目基本情况!B11="自然人","——",IF(D33="按租金收入计税",ROUND(C5*F33,2),IF(D33="按房产原值计税",ROUND(C29*F33*0.7,2),INDIRECT("'数据-取费表'!Aj"&amp;$G$1))))</f>
        <v>#N/A</v>
      </c>
      <c r="D33" s="1300" t="s">
        <v>2420</v>
      </c>
      <c r="E33" s="683" t="s">
        <v>363</v>
      </c>
      <c r="F33" s="706">
        <f>IF(D33="按票据","——",IF(D33="按租金收入计税",'数据-取费表'!B51,'数据-取费表'!B50))</f>
        <v>1.2E-2</v>
      </c>
      <c r="G33" s="2281"/>
      <c r="H33" s="1289"/>
      <c r="I33" s="2877"/>
      <c r="J33" s="2878"/>
      <c r="K33" s="1290"/>
      <c r="L33" s="1289"/>
      <c r="M33" s="1289"/>
    </row>
    <row r="34" spans="1:18" ht="18" customHeight="1">
      <c r="A34" s="2615" t="s">
        <v>2614</v>
      </c>
      <c r="B34" s="495" t="s">
        <v>971</v>
      </c>
      <c r="C34" s="314" t="e">
        <f ca="1">IF(项目基本情况!B11="自然人","——",ROUND(F34*F35/10000,2))</f>
        <v>#N/A</v>
      </c>
      <c r="D34" s="709" t="s">
        <v>939</v>
      </c>
      <c r="E34" s="683" t="s">
        <v>973</v>
      </c>
      <c r="F34" s="710">
        <f>'数据-取费表'!B52</f>
        <v>7</v>
      </c>
      <c r="G34" s="2281"/>
      <c r="H34" s="1277"/>
      <c r="I34" s="2877"/>
      <c r="J34" s="2878"/>
      <c r="K34" s="1291"/>
      <c r="L34" s="1292"/>
      <c r="M34" s="1292"/>
    </row>
    <row r="35" spans="1:18" ht="18" customHeight="1">
      <c r="A35" s="2689"/>
      <c r="B35" s="2687"/>
      <c r="C35" s="318"/>
      <c r="D35" s="712"/>
      <c r="E35" s="683" t="s">
        <v>944</v>
      </c>
      <c r="F35" s="684" t="e">
        <f ca="1">INDIRECT("'数据-取费表'!r"&amp;$G$1)</f>
        <v>#N/A</v>
      </c>
      <c r="G35" s="2281"/>
      <c r="H35" s="1277"/>
      <c r="I35" s="2877"/>
      <c r="J35" s="2878"/>
      <c r="K35" s="1290"/>
      <c r="L35" s="1289"/>
      <c r="M35" s="1289"/>
    </row>
    <row r="36" spans="1:18" ht="18" customHeight="1">
      <c r="A36" s="2688" t="s">
        <v>2387</v>
      </c>
      <c r="B36" s="683" t="s">
        <v>946</v>
      </c>
      <c r="C36" s="313" t="e">
        <f ca="1">ROUND(C29*F36,1)</f>
        <v>#N/A</v>
      </c>
      <c r="D36" s="3381" t="s">
        <v>976</v>
      </c>
      <c r="E36" s="683" t="s">
        <v>363</v>
      </c>
      <c r="F36" s="713" t="e">
        <f ca="1">INDIRECT("'数据-取费表'!Ak"&amp;$G$1)</f>
        <v>#N/A</v>
      </c>
      <c r="G36" s="2281"/>
      <c r="H36" s="1289"/>
      <c r="I36" s="2877"/>
      <c r="J36" s="2878"/>
      <c r="K36" s="1293"/>
      <c r="L36" s="1289"/>
      <c r="M36" s="1289"/>
    </row>
    <row r="37" spans="1:18" ht="18" customHeight="1">
      <c r="A37" s="2431" t="s">
        <v>2618</v>
      </c>
      <c r="B37" s="683" t="s">
        <v>366</v>
      </c>
      <c r="C37" s="313" t="e">
        <f ca="1">ROUND(C13*F37,1)</f>
        <v>#N/A</v>
      </c>
      <c r="D37" s="3381" t="s">
        <v>367</v>
      </c>
      <c r="E37" s="683" t="s">
        <v>363</v>
      </c>
      <c r="F37" s="715" t="e">
        <f ca="1">INDIRECT("'数据-取费表'!Al"&amp;$G$1)</f>
        <v>#N/A</v>
      </c>
      <c r="G37" s="2281"/>
      <c r="H37" s="1289"/>
      <c r="I37" s="2877"/>
      <c r="J37" s="2878"/>
      <c r="K37" s="1293"/>
      <c r="L37" s="1289"/>
      <c r="M37" s="1289"/>
    </row>
    <row r="38" spans="1:18" ht="18" customHeight="1" thickBot="1">
      <c r="A38" s="2671" t="s">
        <v>2619</v>
      </c>
      <c r="B38" s="2672" t="s">
        <v>365</v>
      </c>
      <c r="C38" s="2673" t="e">
        <f ca="1">ROUND(C5*F38,1)</f>
        <v>#N/A</v>
      </c>
      <c r="D38" s="2674" t="s">
        <v>369</v>
      </c>
      <c r="E38" s="2672" t="s">
        <v>363</v>
      </c>
      <c r="F38" s="2668" t="e">
        <f ca="1">INDIRECT("'数据-取费表'!Am"&amp;$G$1)</f>
        <v>#N/A</v>
      </c>
      <c r="G38" s="2281"/>
      <c r="H38" s="1289"/>
      <c r="I38" s="2877"/>
      <c r="J38" s="2878"/>
      <c r="K38" s="1294"/>
      <c r="L38" s="1289"/>
      <c r="M38" s="1289"/>
    </row>
    <row r="39" spans="1:18" ht="24.6" customHeight="1" thickTop="1">
      <c r="A39" s="2659" t="s">
        <v>2360</v>
      </c>
      <c r="B39" s="2676" t="s">
        <v>375</v>
      </c>
      <c r="C39" s="691" t="e">
        <f ca="1">C5-C30</f>
        <v>#N/A</v>
      </c>
      <c r="D39" s="2677" t="s">
        <v>376</v>
      </c>
      <c r="E39" s="2678"/>
      <c r="F39" s="2679"/>
      <c r="G39" s="2281"/>
      <c r="H39" s="1289"/>
      <c r="I39" s="2877"/>
      <c r="J39" s="2878"/>
      <c r="K39" s="1294"/>
      <c r="L39" s="1289"/>
      <c r="M39" s="1289"/>
    </row>
    <row r="40" spans="1:18" ht="18" customHeight="1">
      <c r="A40" s="680" t="s">
        <v>2363</v>
      </c>
      <c r="B40" s="681" t="s">
        <v>377</v>
      </c>
      <c r="C40" s="682" t="e">
        <f ca="1">ROUND(C39*(1-((1+F42)/(1+F40))^F41)/(F40-F42),0)</f>
        <v>#N/A</v>
      </c>
      <c r="D40" s="709" t="s">
        <v>371</v>
      </c>
      <c r="E40" s="683" t="s">
        <v>372</v>
      </c>
      <c r="F40" s="693" t="e">
        <f ca="1">INDIRECT("'数据-取费表'!I"&amp;$G$1)</f>
        <v>#N/A</v>
      </c>
      <c r="G40" s="2281"/>
      <c r="H40" s="1295"/>
      <c r="I40" s="2877"/>
      <c r="J40" s="2878"/>
      <c r="K40" s="1294"/>
      <c r="L40" s="1295"/>
      <c r="M40" s="1295"/>
    </row>
    <row r="41" spans="1:18" ht="18" customHeight="1">
      <c r="A41" s="685"/>
      <c r="B41" s="686"/>
      <c r="C41" s="687"/>
      <c r="D41" s="717" t="s">
        <v>378</v>
      </c>
      <c r="E41" s="683" t="s">
        <v>379</v>
      </c>
      <c r="F41" s="718" t="e">
        <f ca="1">IF(INDIRECT("'数据-取费表'!af"&amp;$G$1)=0,INDIRECT("'数据-取费表'!ae"&amp;$G$1),INDIRECT("'数据-取费表'!af"&amp;$G$1))</f>
        <v>#N/A</v>
      </c>
      <c r="G41" s="2281"/>
      <c r="H41" s="1191"/>
      <c r="I41" s="2877"/>
      <c r="J41" s="2878"/>
      <c r="K41" s="1293"/>
      <c r="L41" s="1191"/>
      <c r="M41" s="1191"/>
    </row>
    <row r="42" spans="1:18" ht="18" customHeight="1">
      <c r="A42" s="689"/>
      <c r="B42" s="690"/>
      <c r="C42" s="691"/>
      <c r="D42" s="712"/>
      <c r="E42" s="683" t="s">
        <v>380</v>
      </c>
      <c r="F42" s="693" t="e">
        <f ca="1">INDIRECT("'数据-取费表'!v"&amp;$G$1)</f>
        <v>#N/A</v>
      </c>
      <c r="G42" s="2281"/>
      <c r="H42" s="1191"/>
      <c r="I42" s="2877"/>
      <c r="J42" s="2878"/>
      <c r="K42" s="1293"/>
      <c r="L42" s="1191"/>
      <c r="M42" s="1191"/>
    </row>
    <row r="43" spans="1:18" ht="18" customHeight="1" thickBot="1">
      <c r="A43" s="719" t="s">
        <v>2370</v>
      </c>
      <c r="B43" s="720" t="s">
        <v>381</v>
      </c>
      <c r="C43" s="721" t="e">
        <f ca="1">ROUND(C40*10000/F43,0)</f>
        <v>#N/A</v>
      </c>
      <c r="D43" s="722" t="s">
        <v>382</v>
      </c>
      <c r="E43" s="723" t="s">
        <v>383</v>
      </c>
      <c r="F43" s="724" t="e">
        <f ca="1">INDIRECT("'数据-取费表'!k"&amp;$G$1)</f>
        <v>#N/A</v>
      </c>
      <c r="G43" s="2281"/>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4" t="s">
        <v>2493</v>
      </c>
      <c r="P45" s="1295"/>
      <c r="Q45" s="1295"/>
      <c r="R45" s="1295"/>
    </row>
    <row r="46" spans="1:18" s="1454" customFormat="1" ht="21" thickBot="1">
      <c r="A46" s="2389" t="s">
        <v>2332</v>
      </c>
      <c r="B46" s="2390"/>
      <c r="C46" s="2718" t="e">
        <f ca="1">C68-C40</f>
        <v>#N/A</v>
      </c>
      <c r="D46" s="2719" t="str">
        <f>C2</f>
        <v>万元</v>
      </c>
      <c r="E46" s="1432"/>
      <c r="F46" s="1432"/>
      <c r="I46" s="2571" t="s">
        <v>2428</v>
      </c>
      <c r="J46" s="2572"/>
      <c r="K46" s="2573"/>
      <c r="L46" s="2575" t="e">
        <f ca="1">IF(M47="住宅",0,IF(L48&gt;J51,L60,J60))</f>
        <v>#N/A</v>
      </c>
      <c r="O46" s="2587" t="s">
        <v>2471</v>
      </c>
      <c r="P46" s="2588" t="s">
        <v>2472</v>
      </c>
      <c r="Q46" s="2589" t="s">
        <v>2470</v>
      </c>
      <c r="R46" s="2589" t="s">
        <v>2473</v>
      </c>
    </row>
    <row r="47" spans="1:18" s="1454" customFormat="1" ht="15.75" thickBot="1">
      <c r="A47" s="2391" t="s">
        <v>911</v>
      </c>
      <c r="B47" s="2427" t="s">
        <v>912</v>
      </c>
      <c r="C47" s="2723" t="s">
        <v>913</v>
      </c>
      <c r="D47" s="2427" t="s">
        <v>914</v>
      </c>
      <c r="E47" s="2530" t="s">
        <v>2338</v>
      </c>
      <c r="F47" s="2531"/>
      <c r="G47" s="1456"/>
      <c r="I47" s="2546" t="s">
        <v>2421</v>
      </c>
      <c r="J47" s="2547" t="s">
        <v>3225</v>
      </c>
      <c r="K47" s="2556" t="s">
        <v>2444</v>
      </c>
      <c r="L47" s="2557" t="e">
        <f ca="1">INDIRECT("'数据-取费表'!d"&amp;$G$1)</f>
        <v>#N/A</v>
      </c>
      <c r="M47" s="2577" t="str">
        <f>IF(ISNUMBER(FIND("住宅",C1)),"住宅","非住宅")</f>
        <v>非住宅</v>
      </c>
      <c r="O47" s="2580" t="s">
        <v>2456</v>
      </c>
      <c r="P47" s="2590" t="s">
        <v>2474</v>
      </c>
      <c r="Q47" s="2581" t="e">
        <f ca="1">C40+J29</f>
        <v>#N/A</v>
      </c>
      <c r="R47" s="2581" t="s">
        <v>2475</v>
      </c>
    </row>
    <row r="48" spans="1:18" s="1454" customFormat="1" ht="47.25" thickBot="1">
      <c r="A48" s="2704" t="s">
        <v>2624</v>
      </c>
      <c r="B48" s="681" t="s">
        <v>2339</v>
      </c>
      <c r="C48" s="3384" t="e">
        <f ca="1">C49+C53+C55</f>
        <v>#N/A</v>
      </c>
      <c r="D48" s="2708"/>
      <c r="E48" s="2709"/>
      <c r="F48" s="2411"/>
      <c r="G48" s="1456"/>
      <c r="H48" s="1457"/>
      <c r="I48" s="2537" t="s">
        <v>2422</v>
      </c>
      <c r="J48" s="2548" t="s">
        <v>2423</v>
      </c>
      <c r="K48" s="2558" t="s">
        <v>681</v>
      </c>
      <c r="L48" s="2161" t="e">
        <f ca="1">INDIRECT("'数据-取费表'!f"&amp;$G$1)</f>
        <v>#N/A</v>
      </c>
      <c r="O48" s="2580" t="s">
        <v>2457</v>
      </c>
      <c r="P48" s="2590" t="s">
        <v>2476</v>
      </c>
      <c r="Q48" s="2581" t="e">
        <f ca="1">J60</f>
        <v>#N/A</v>
      </c>
      <c r="R48" s="2581" t="s">
        <v>2484</v>
      </c>
    </row>
    <row r="49" spans="1:18" s="1454" customFormat="1" ht="16.5" thickBot="1">
      <c r="A49" s="2424" t="s">
        <v>2625</v>
      </c>
      <c r="B49" s="2707" t="s">
        <v>2627</v>
      </c>
      <c r="C49" s="2716" t="e">
        <f ca="1">ROUND(F49*F51*F50*(1-F52)/10000,0)</f>
        <v>#N/A</v>
      </c>
      <c r="D49" s="2526" t="s">
        <v>2340</v>
      </c>
      <c r="E49" s="2529" t="s">
        <v>2333</v>
      </c>
      <c r="F49" s="2532"/>
      <c r="G49" s="1458"/>
      <c r="H49" s="1457"/>
      <c r="I49" s="2537" t="s">
        <v>2442</v>
      </c>
      <c r="J49" s="3335">
        <v>2017</v>
      </c>
      <c r="K49" s="2559" t="s">
        <v>2447</v>
      </c>
      <c r="L49" s="2560"/>
      <c r="O49" s="2582" t="s">
        <v>2458</v>
      </c>
      <c r="P49" s="2590" t="s">
        <v>2477</v>
      </c>
      <c r="Q49" s="2581" t="e">
        <f ca="1">C29</f>
        <v>#N/A</v>
      </c>
      <c r="R49" s="2581" t="s">
        <v>2475</v>
      </c>
    </row>
    <row r="50" spans="1:18" s="1454" customFormat="1" ht="15.75" thickBot="1">
      <c r="A50" s="2425"/>
      <c r="B50" s="2428"/>
      <c r="C50" s="2724"/>
      <c r="D50" s="2398"/>
      <c r="E50" s="2527" t="s">
        <v>2341</v>
      </c>
      <c r="F50" s="2528" t="e">
        <f ca="1">F7</f>
        <v>#N/A</v>
      </c>
      <c r="H50" s="1457"/>
      <c r="I50" s="2537" t="s">
        <v>2424</v>
      </c>
      <c r="J50" s="2550">
        <f>SUMPRODUCT((I63:I65=J47)*(J62:L62=J48)*(J63:L65))</f>
        <v>80</v>
      </c>
      <c r="K50" s="2559" t="s">
        <v>2448</v>
      </c>
      <c r="L50" s="2560"/>
      <c r="M50" s="2554"/>
      <c r="O50" s="2582" t="s">
        <v>2459</v>
      </c>
      <c r="P50" s="2590" t="s">
        <v>2485</v>
      </c>
      <c r="Q50" s="2583" t="e">
        <f ca="1">J58</f>
        <v>#N/A</v>
      </c>
      <c r="R50" s="2581"/>
    </row>
    <row r="51" spans="1:18" s="1454" customFormat="1" ht="15.75" thickBot="1">
      <c r="A51" s="2426"/>
      <c r="B51" s="2428"/>
      <c r="C51" s="2429"/>
      <c r="D51" s="2398"/>
      <c r="E51" s="2430" t="s">
        <v>918</v>
      </c>
      <c r="F51" s="684" t="e">
        <f ca="1">F8</f>
        <v>#N/A</v>
      </c>
      <c r="I51" s="2551" t="s">
        <v>2429</v>
      </c>
      <c r="J51" s="2552">
        <f>IF(J49="",J50,J49+J50-YEAR('数据-取费表'!B2))</f>
        <v>80</v>
      </c>
      <c r="K51" s="2561" t="s">
        <v>2449</v>
      </c>
      <c r="L51" s="2574" t="e">
        <f ca="1">ROUND(-PV(INDIRECT("'数据-取费表'!h"&amp;$G$1),L48,(C39-C13*C76),0),0)</f>
        <v>#N/A</v>
      </c>
      <c r="M51" s="2555"/>
      <c r="O51" s="2582" t="s">
        <v>2460</v>
      </c>
      <c r="P51" s="2590" t="s">
        <v>2486</v>
      </c>
      <c r="Q51" s="2583">
        <f>J52</f>
        <v>7.4999999999999997E-2</v>
      </c>
      <c r="R51" s="2581"/>
    </row>
    <row r="52" spans="1:18" s="1454" customFormat="1" ht="15.75" thickBot="1">
      <c r="A52" s="2426"/>
      <c r="B52" s="2428"/>
      <c r="C52" s="2429"/>
      <c r="D52" s="2398"/>
      <c r="E52" s="2430" t="s">
        <v>2343</v>
      </c>
      <c r="F52" s="2525"/>
      <c r="I52" s="2553" t="s">
        <v>2452</v>
      </c>
      <c r="J52" s="2567">
        <v>7.4999999999999997E-2</v>
      </c>
      <c r="K52" s="2553" t="s">
        <v>2437</v>
      </c>
      <c r="L52" s="2567"/>
      <c r="M52" s="2390"/>
      <c r="O52" s="2582" t="s">
        <v>2461</v>
      </c>
      <c r="P52" s="2590" t="s">
        <v>2478</v>
      </c>
      <c r="Q52" s="2581" t="e">
        <f ca="1">J53</f>
        <v>#N/A</v>
      </c>
      <c r="R52" s="2581" t="s">
        <v>2479</v>
      </c>
    </row>
    <row r="53" spans="1:18" s="1454" customFormat="1" ht="43.5" thickBot="1">
      <c r="A53" s="2822" t="s">
        <v>2626</v>
      </c>
      <c r="B53" s="432" t="s">
        <v>2536</v>
      </c>
      <c r="C53" s="697">
        <f ca="1">ROUND(IF(F53="押一",F49*F51*F50/12*F11,IF(F53="押二",F49*F51*F50/12*2*F11,IF(F53="押三",F49*F51*F50/12*3*F11,C54*F11)))/10000,0)</f>
        <v>0</v>
      </c>
      <c r="D53" s="2627" t="s">
        <v>2544</v>
      </c>
      <c r="E53" s="2090" t="s">
        <v>2538</v>
      </c>
      <c r="F53" s="2824"/>
      <c r="I53" s="2563" t="s">
        <v>2454</v>
      </c>
      <c r="J53" s="2564" t="e">
        <f ca="1">IF(M47="住宅",J51,MIN(J51,L48))</f>
        <v>#N/A</v>
      </c>
      <c r="K53" s="36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52"/>
      <c r="O53" s="2580" t="s">
        <v>2462</v>
      </c>
      <c r="P53" s="2590" t="s">
        <v>2480</v>
      </c>
      <c r="Q53" s="2581" t="e">
        <f ca="1">Q47+Q48</f>
        <v>#N/A</v>
      </c>
      <c r="R53" s="2581" t="s">
        <v>2463</v>
      </c>
    </row>
    <row r="54" spans="1:18" s="1454" customFormat="1" ht="16.5" thickBot="1">
      <c r="A54" s="2823"/>
      <c r="B54" s="2617" t="s">
        <v>2703</v>
      </c>
      <c r="C54" s="2408"/>
      <c r="D54" s="2627"/>
      <c r="E54" s="3383"/>
      <c r="F54" s="2533"/>
      <c r="I54" s="2405"/>
      <c r="J54" s="2562"/>
      <c r="K54" s="2562"/>
      <c r="L54" s="2562"/>
      <c r="M54" s="1458"/>
      <c r="O54" s="2584" t="s">
        <v>2487</v>
      </c>
      <c r="P54" s="1295"/>
      <c r="Q54" s="1295"/>
      <c r="R54" s="1295"/>
    </row>
    <row r="55" spans="1:18" s="1454" customFormat="1" ht="15.75" thickBot="1">
      <c r="A55" s="2663" t="s">
        <v>2549</v>
      </c>
      <c r="B55" s="2664" t="s">
        <v>2537</v>
      </c>
      <c r="C55" s="2665"/>
      <c r="D55" s="2627"/>
      <c r="E55" s="3383"/>
      <c r="F55" s="2533"/>
      <c r="I55" s="3316" t="s">
        <v>2430</v>
      </c>
      <c r="J55" s="3315" t="e">
        <f ca="1">ROUND(IF(J47="钢混",J57/J50,1-(1-2%)*(J50-J57)/J50),3)</f>
        <v>#N/A</v>
      </c>
      <c r="K55" s="2544" t="s">
        <v>2431</v>
      </c>
      <c r="L55" s="2566" t="s">
        <v>3226</v>
      </c>
      <c r="O55" s="2587" t="s">
        <v>2471</v>
      </c>
      <c r="P55" s="2588" t="s">
        <v>2472</v>
      </c>
      <c r="Q55" s="2589" t="s">
        <v>2470</v>
      </c>
      <c r="R55" s="2589" t="s">
        <v>2473</v>
      </c>
    </row>
    <row r="56" spans="1:18" s="1454" customFormat="1" ht="44.25" thickTop="1" thickBot="1">
      <c r="A56" s="2402">
        <v>2</v>
      </c>
      <c r="B56" s="2403" t="s">
        <v>920</v>
      </c>
      <c r="C56" s="607" t="e">
        <f ca="1">C13</f>
        <v>#N/A</v>
      </c>
      <c r="D56" s="2691"/>
      <c r="E56" s="2404"/>
      <c r="F56" s="2533"/>
      <c r="I56" s="2536" t="s">
        <v>2432</v>
      </c>
      <c r="J56" s="2565" t="s">
        <v>41</v>
      </c>
      <c r="K56" s="2537" t="s">
        <v>2436</v>
      </c>
      <c r="L56" s="2161" t="e">
        <f ca="1">IF(L48&lt;J51,"——",L48-J51)</f>
        <v>#N/A</v>
      </c>
      <c r="O56" s="2580" t="s">
        <v>2456</v>
      </c>
      <c r="P56" s="2590" t="s">
        <v>2474</v>
      </c>
      <c r="Q56" s="2581" t="e">
        <f ca="1">C40+J29</f>
        <v>#N/A</v>
      </c>
      <c r="R56" s="2581" t="s">
        <v>2475</v>
      </c>
    </row>
    <row r="57" spans="1:18" s="1454" customFormat="1" ht="29.25" thickBot="1">
      <c r="A57" s="2534"/>
      <c r="B57" s="2395" t="s">
        <v>969</v>
      </c>
      <c r="C57" s="613" t="e">
        <f ca="1">C29</f>
        <v>#N/A</v>
      </c>
      <c r="D57" s="2406"/>
      <c r="E57" s="2407"/>
      <c r="F57" s="2535"/>
      <c r="I57" s="2538" t="s">
        <v>2453</v>
      </c>
      <c r="J57" s="2542" t="e">
        <f ca="1">IF(OR(M47="住宅",J51&lt;L48,J56="是"),"——",J51-L48)</f>
        <v>#N/A</v>
      </c>
      <c r="K57" s="2537" t="s">
        <v>2908</v>
      </c>
      <c r="L57" s="2161" t="e">
        <f ca="1">IF(L48&lt;J51,"——",IF(L55="比较法",L49,IF(L55="基准地价",L50,L51)))</f>
        <v>#N/A</v>
      </c>
      <c r="O57" s="2580" t="s">
        <v>2457</v>
      </c>
      <c r="P57" s="2590" t="s">
        <v>2481</v>
      </c>
      <c r="Q57" s="2581" t="e">
        <f ca="1">L60</f>
        <v>#N/A</v>
      </c>
      <c r="R57" s="2581" t="s">
        <v>2496</v>
      </c>
    </row>
    <row r="58" spans="1:18" s="1454" customFormat="1" ht="29.25" thickBot="1">
      <c r="A58" s="696" t="s">
        <v>2345</v>
      </c>
      <c r="B58" s="2403" t="s">
        <v>927</v>
      </c>
      <c r="C58" s="697" t="e">
        <f ca="1">ROUND(C59+C64+C65+C66,0)</f>
        <v>#N/A</v>
      </c>
      <c r="D58" s="2409" t="s">
        <v>928</v>
      </c>
      <c r="E58" s="2410"/>
      <c r="F58" s="2411"/>
      <c r="I58" s="2538" t="s">
        <v>2433</v>
      </c>
      <c r="J58" s="3317" t="e">
        <f ca="1">IF(J55&lt;0.4,0.4,J55)</f>
        <v>#N/A</v>
      </c>
      <c r="K58" s="2561" t="s">
        <v>2909</v>
      </c>
      <c r="L58" s="2161">
        <f ca="1">IF(ISERROR(POWER(1+L52,L47-L48)*(POWER(1+L52,L48)-1)/(POWER(1+L52,L47)-1)),0,POWER(1+L52,L47-L48)*(POWER(1+L52,L48)-1)/(POWER(1+L52,L47)-1))</f>
        <v>0</v>
      </c>
      <c r="O58" s="2582" t="s">
        <v>2458</v>
      </c>
      <c r="P58" s="2590" t="s">
        <v>2488</v>
      </c>
      <c r="Q58" s="2581">
        <f>IF(L55="比较法",L49,IF(L55="基准地价",L50,0))</f>
        <v>0</v>
      </c>
      <c r="R58" s="2581" t="s">
        <v>2475</v>
      </c>
    </row>
    <row r="59" spans="1:18" s="1454" customFormat="1" ht="29.25" thickBot="1">
      <c r="A59" s="2431" t="s">
        <v>2380</v>
      </c>
      <c r="B59" s="2395" t="s">
        <v>361</v>
      </c>
      <c r="C59" s="313" t="e">
        <f ca="1">ROUND(IF(项目基本情况!B11="自然人",C48*F59,C60+C61+C62),1)</f>
        <v>#N/A</v>
      </c>
      <c r="D59" s="2412" t="s">
        <v>931</v>
      </c>
      <c r="E59" s="2413" t="s">
        <v>2347</v>
      </c>
      <c r="F59" s="707" t="e">
        <f ca="1">IF(项目基本情况!B11="企业","",IF(INDIRECT("'数据-取费表'!c"&amp;$G$1)="住宅",5%,IF(F49*F50*F51/12/(1+'数据-取费表'!C42)&gt;20000,12%,7%)))</f>
        <v>#N/A</v>
      </c>
      <c r="I59" s="2538" t="s">
        <v>2434</v>
      </c>
      <c r="J59" s="2542" t="e">
        <f ca="1">IF(OR(M47="住宅",J51&lt;L48,J56="是"),"——",ROUND(C29*J58,0))</f>
        <v>#N/A</v>
      </c>
      <c r="K59" s="2561" t="s">
        <v>2910</v>
      </c>
      <c r="L59" s="2161">
        <f ca="1">IF(ISERROR(POWER(1+L52,L47-J51)*(POWER(1+L52,J51)-1)/(POWER(1+L52,L47)-1)),0,POWER(1+L52,L47-J51)*(POWER(1+L52,J51)-1)/(POWER(1+L52,L47)-1))</f>
        <v>0</v>
      </c>
      <c r="O59" s="2582" t="s">
        <v>2459</v>
      </c>
      <c r="P59" s="2590" t="s">
        <v>2489</v>
      </c>
      <c r="Q59" s="2583">
        <f>L52</f>
        <v>0</v>
      </c>
      <c r="R59" s="2581"/>
    </row>
    <row r="60" spans="1:18" s="1454" customFormat="1" ht="20.25" thickBot="1">
      <c r="A60" s="2431" t="s">
        <v>2377</v>
      </c>
      <c r="B60" s="2395" t="s">
        <v>933</v>
      </c>
      <c r="C60" s="313" t="e">
        <f ca="1">IF(项目基本情况!B11="自然人","——",ROUND(C48*F60/(1+'数据-取费表'!C42),2))</f>
        <v>#N/A</v>
      </c>
      <c r="D60" s="2413" t="s">
        <v>2349</v>
      </c>
      <c r="E60" s="2395" t="s">
        <v>363</v>
      </c>
      <c r="F60" s="716">
        <f t="shared" ref="F60:F66" si="0">F32</f>
        <v>5.6000000000000001E-2</v>
      </c>
      <c r="I60" s="2539" t="s">
        <v>2435</v>
      </c>
      <c r="J60" s="2543" t="e">
        <f ca="1">IF(OR(M47="住宅",J51&lt;L48,J56="是"),"0",ROUND(J59/(1+J52)^J53,0))</f>
        <v>#N/A</v>
      </c>
      <c r="K60" s="2545" t="s">
        <v>2438</v>
      </c>
      <c r="L60" s="2543" t="e">
        <f ca="1">IF(OR(M47="住宅",L48&lt;J51),0,ROUND(L57*(L58/L59-1),0))</f>
        <v>#N/A</v>
      </c>
      <c r="O60" s="2582" t="s">
        <v>2460</v>
      </c>
      <c r="P60" s="2590" t="s">
        <v>2490</v>
      </c>
      <c r="Q60" s="2581">
        <f ca="1">L58</f>
        <v>0</v>
      </c>
      <c r="R60" s="2581" t="s">
        <v>2465</v>
      </c>
    </row>
    <row r="61" spans="1:18" s="1454" customFormat="1" ht="20.25" thickBot="1">
      <c r="A61" s="2431" t="s">
        <v>2378</v>
      </c>
      <c r="B61" s="2395" t="s">
        <v>2351</v>
      </c>
      <c r="C61" s="313" t="e">
        <f ca="1">IF(项目基本情况!B11="自然人","——",IF(D61="按租金收入计税",ROUND(C48*F61,2),IF(D61="按房产原值计税",ROUND(C57*F61*0.7,2),INDIRECT("'数据-取费表'!Aj"&amp;$G$1))))</f>
        <v>#N/A</v>
      </c>
      <c r="D61" s="1300" t="s">
        <v>2420</v>
      </c>
      <c r="E61" s="2395" t="s">
        <v>363</v>
      </c>
      <c r="F61" s="706">
        <f t="shared" si="0"/>
        <v>1.2E-2</v>
      </c>
      <c r="I61" s="2405"/>
      <c r="J61" s="2405"/>
      <c r="K61" s="2405"/>
      <c r="L61" s="2405"/>
      <c r="O61" s="2582" t="s">
        <v>2461</v>
      </c>
      <c r="P61" s="2590" t="s">
        <v>2491</v>
      </c>
      <c r="Q61" s="2581">
        <f ca="1">L59</f>
        <v>0</v>
      </c>
      <c r="R61" s="2581" t="s">
        <v>2466</v>
      </c>
    </row>
    <row r="62" spans="1:18" s="1454" customFormat="1" ht="15.75" thickBot="1">
      <c r="A62" s="2431" t="s">
        <v>2379</v>
      </c>
      <c r="B62" s="2394" t="s">
        <v>938</v>
      </c>
      <c r="C62" s="314" t="e">
        <f ca="1">IF(项目基本情况!B11="自然人","——",ROUND(F62*F63/10000,2))</f>
        <v>#N/A</v>
      </c>
      <c r="D62" s="2414" t="s">
        <v>939</v>
      </c>
      <c r="E62" s="2395" t="s">
        <v>973</v>
      </c>
      <c r="F62" s="710">
        <f t="shared" si="0"/>
        <v>7</v>
      </c>
      <c r="I62" s="2540" t="s">
        <v>2425</v>
      </c>
      <c r="J62" s="2541" t="s">
        <v>2426</v>
      </c>
      <c r="K62" s="2541" t="s">
        <v>2427</v>
      </c>
      <c r="L62" s="2541" t="s">
        <v>2423</v>
      </c>
      <c r="M62" s="3318" t="s">
        <v>3046</v>
      </c>
      <c r="O62" s="2580" t="s">
        <v>2462</v>
      </c>
      <c r="P62" s="2590" t="s">
        <v>2480</v>
      </c>
      <c r="Q62" s="2581" t="e">
        <f ca="1">Q56+Q57</f>
        <v>#N/A</v>
      </c>
      <c r="R62" s="2581" t="s">
        <v>2463</v>
      </c>
    </row>
    <row r="63" spans="1:18" s="1454" customFormat="1" ht="16.5" thickBot="1">
      <c r="A63" s="711"/>
      <c r="B63" s="2401"/>
      <c r="C63" s="318"/>
      <c r="D63" s="2415"/>
      <c r="E63" s="2395" t="s">
        <v>2355</v>
      </c>
      <c r="F63" s="684" t="e">
        <f t="shared" ca="1" si="0"/>
        <v>#N/A</v>
      </c>
      <c r="I63" s="2540" t="s">
        <v>2439</v>
      </c>
      <c r="J63" s="3321">
        <v>70</v>
      </c>
      <c r="K63" s="3321">
        <v>50</v>
      </c>
      <c r="L63" s="3321">
        <v>80</v>
      </c>
      <c r="M63" s="3319">
        <v>0.02</v>
      </c>
      <c r="O63" s="2584" t="s">
        <v>2494</v>
      </c>
      <c r="P63" s="1295"/>
      <c r="Q63" s="1295"/>
      <c r="R63" s="1295"/>
    </row>
    <row r="64" spans="1:18" s="1454" customFormat="1" ht="15.75" thickBot="1">
      <c r="A64" s="2431" t="s">
        <v>2387</v>
      </c>
      <c r="B64" s="2395" t="s">
        <v>2356</v>
      </c>
      <c r="C64" s="313" t="e">
        <f ca="1">ROUND(C57*F64,1)</f>
        <v>#N/A</v>
      </c>
      <c r="D64" s="2413" t="s">
        <v>2357</v>
      </c>
      <c r="E64" s="2395" t="s">
        <v>363</v>
      </c>
      <c r="F64" s="713" t="e">
        <f t="shared" ca="1" si="0"/>
        <v>#N/A</v>
      </c>
      <c r="I64" s="2540" t="s">
        <v>107</v>
      </c>
      <c r="J64" s="3321">
        <v>50</v>
      </c>
      <c r="K64" s="3321">
        <v>35</v>
      </c>
      <c r="L64" s="3321">
        <v>60</v>
      </c>
      <c r="M64" s="3320">
        <v>0</v>
      </c>
      <c r="O64" s="2587" t="s">
        <v>2471</v>
      </c>
      <c r="P64" s="2588" t="s">
        <v>2472</v>
      </c>
      <c r="Q64" s="2589" t="s">
        <v>2470</v>
      </c>
      <c r="R64" s="2589" t="s">
        <v>2473</v>
      </c>
    </row>
    <row r="65" spans="1:18" s="1454" customFormat="1" ht="15.75" thickBot="1">
      <c r="A65" s="2431" t="s">
        <v>2381</v>
      </c>
      <c r="B65" s="2395" t="s">
        <v>366</v>
      </c>
      <c r="C65" s="313" t="e">
        <f ca="1">ROUND(C56*F65,1)</f>
        <v>#N/A</v>
      </c>
      <c r="D65" s="2413" t="s">
        <v>367</v>
      </c>
      <c r="E65" s="2395" t="s">
        <v>363</v>
      </c>
      <c r="F65" s="715" t="e">
        <f t="shared" ca="1" si="0"/>
        <v>#N/A</v>
      </c>
      <c r="I65" s="2540" t="s">
        <v>2441</v>
      </c>
      <c r="J65" s="3321">
        <v>40</v>
      </c>
      <c r="K65" s="3321">
        <v>30</v>
      </c>
      <c r="L65" s="3321">
        <v>50</v>
      </c>
      <c r="M65" s="3319">
        <v>0.02</v>
      </c>
      <c r="O65" s="2580" t="s">
        <v>2456</v>
      </c>
      <c r="P65" s="2590" t="s">
        <v>2474</v>
      </c>
      <c r="Q65" s="2581" t="e">
        <f ca="1">C40+J29</f>
        <v>#N/A</v>
      </c>
      <c r="R65" s="2581" t="s">
        <v>2475</v>
      </c>
    </row>
    <row r="66" spans="1:18" s="1454" customFormat="1" ht="20.25" thickBot="1">
      <c r="A66" s="2431" t="s">
        <v>2382</v>
      </c>
      <c r="B66" s="2395" t="s">
        <v>365</v>
      </c>
      <c r="C66" s="313" t="e">
        <f ca="1">ROUND(C48*F66,1)</f>
        <v>#N/A</v>
      </c>
      <c r="D66" s="2413" t="s">
        <v>369</v>
      </c>
      <c r="E66" s="2395" t="s">
        <v>363</v>
      </c>
      <c r="F66" s="693" t="e">
        <f t="shared" ca="1" si="0"/>
        <v>#N/A</v>
      </c>
      <c r="O66" s="2580" t="s">
        <v>2457</v>
      </c>
      <c r="P66" s="2590" t="s">
        <v>2481</v>
      </c>
      <c r="Q66" s="2581" t="e">
        <f ca="1">L60</f>
        <v>#N/A</v>
      </c>
      <c r="R66" s="2581" t="s">
        <v>2464</v>
      </c>
    </row>
    <row r="67" spans="1:18" s="1454" customFormat="1" ht="24.75" thickBot="1">
      <c r="A67" s="2402" t="s">
        <v>2360</v>
      </c>
      <c r="B67" s="2416" t="s">
        <v>375</v>
      </c>
      <c r="C67" s="697" t="e">
        <f ca="1">C48-C58</f>
        <v>#N/A</v>
      </c>
      <c r="D67" s="2412" t="s">
        <v>376</v>
      </c>
      <c r="E67" s="2417"/>
      <c r="F67" s="2418"/>
      <c r="O67" s="2582" t="s">
        <v>2458</v>
      </c>
      <c r="P67" s="2590" t="s">
        <v>2488</v>
      </c>
      <c r="Q67" s="2585" t="e">
        <f ca="1">L51</f>
        <v>#N/A</v>
      </c>
      <c r="R67" s="2586" t="s">
        <v>2498</v>
      </c>
    </row>
    <row r="68" spans="1:18" s="1454" customFormat="1" ht="20.25" thickBot="1">
      <c r="A68" s="2392" t="s">
        <v>2363</v>
      </c>
      <c r="B68" s="2393" t="s">
        <v>377</v>
      </c>
      <c r="C68" s="682" t="e">
        <f ca="1">ROUND(C67*(1-((1+F70)/(1+F68))^F69)/(F68-F70),0)</f>
        <v>#N/A</v>
      </c>
      <c r="D68" s="2414" t="s">
        <v>371</v>
      </c>
      <c r="E68" s="2395" t="s">
        <v>372</v>
      </c>
      <c r="F68" s="693" t="e">
        <f ca="1">F40</f>
        <v>#N/A</v>
      </c>
      <c r="O68" s="2582" t="s">
        <v>2459</v>
      </c>
      <c r="P68" s="2591" t="s">
        <v>2492</v>
      </c>
      <c r="Q68" s="2581" t="e">
        <f ca="1">ROUND(Q69-Q70*Q71,0)</f>
        <v>#N/A</v>
      </c>
      <c r="R68" s="2581" t="s">
        <v>2497</v>
      </c>
    </row>
    <row r="69" spans="1:18" s="1454" customFormat="1" ht="15.75" thickBot="1">
      <c r="A69" s="2396"/>
      <c r="B69" s="2397"/>
      <c r="C69" s="687"/>
      <c r="D69" s="2419" t="s">
        <v>2367</v>
      </c>
      <c r="E69" s="2395" t="s">
        <v>379</v>
      </c>
      <c r="F69" s="718" t="e">
        <f ca="1">F41</f>
        <v>#N/A</v>
      </c>
      <c r="O69" s="2582" t="s">
        <v>2467</v>
      </c>
      <c r="P69" s="2591" t="s">
        <v>2482</v>
      </c>
      <c r="Q69" s="2581" t="e">
        <f ca="1">C39</f>
        <v>#N/A</v>
      </c>
      <c r="R69" s="2581" t="s">
        <v>2475</v>
      </c>
    </row>
    <row r="70" spans="1:18" s="1454" customFormat="1" ht="15.75" thickBot="1">
      <c r="A70" s="2399"/>
      <c r="B70" s="2400"/>
      <c r="C70" s="691"/>
      <c r="D70" s="2415"/>
      <c r="E70" s="2395" t="s">
        <v>380</v>
      </c>
      <c r="F70" s="2525"/>
      <c r="O70" s="2582" t="s">
        <v>2468</v>
      </c>
      <c r="P70" s="2591" t="s">
        <v>2483</v>
      </c>
      <c r="Q70" s="2581" t="e">
        <f ca="1">C13</f>
        <v>#N/A</v>
      </c>
      <c r="R70" s="2581" t="s">
        <v>2475</v>
      </c>
    </row>
    <row r="71" spans="1:18" s="1454" customFormat="1" ht="15.75" thickBot="1">
      <c r="A71" s="2420" t="s">
        <v>2370</v>
      </c>
      <c r="B71" s="2421" t="s">
        <v>381</v>
      </c>
      <c r="C71" s="721" t="e">
        <f ca="1">ROUND(C68*10000/F71,0)</f>
        <v>#N/A</v>
      </c>
      <c r="D71" s="2422" t="s">
        <v>382</v>
      </c>
      <c r="E71" s="2423" t="s">
        <v>383</v>
      </c>
      <c r="F71" s="724" t="e">
        <f ca="1">F43</f>
        <v>#N/A</v>
      </c>
      <c r="I71" s="2390"/>
      <c r="K71" s="2390"/>
      <c r="O71" s="2582" t="s">
        <v>2469</v>
      </c>
      <c r="P71" s="2591" t="s">
        <v>2495</v>
      </c>
      <c r="Q71" s="2583" t="e">
        <f ca="1">C76</f>
        <v>#N/A</v>
      </c>
      <c r="R71" s="2581"/>
    </row>
    <row r="72" spans="1:18" s="1454" customFormat="1" ht="15.75" thickBot="1">
      <c r="B72" s="1459"/>
      <c r="C72" s="1459"/>
      <c r="I72" s="2390"/>
      <c r="O72" s="2582" t="s">
        <v>2460</v>
      </c>
      <c r="P72" s="2590" t="s">
        <v>2489</v>
      </c>
      <c r="Q72" s="2583">
        <f>L52</f>
        <v>0</v>
      </c>
      <c r="R72" s="2581"/>
    </row>
    <row r="73" spans="1:18" ht="20.25" thickBot="1">
      <c r="A73" s="1454"/>
      <c r="B73" s="1459"/>
      <c r="C73" s="1459"/>
      <c r="D73" s="1454"/>
      <c r="E73" s="1454"/>
      <c r="F73" s="1454"/>
      <c r="I73" s="2576"/>
      <c r="O73" s="2582" t="s">
        <v>2461</v>
      </c>
      <c r="P73" s="2590" t="s">
        <v>2490</v>
      </c>
      <c r="Q73" s="2581">
        <f ca="1">L58</f>
        <v>0</v>
      </c>
      <c r="R73" s="2581" t="s">
        <v>2465</v>
      </c>
    </row>
    <row r="74" spans="1:18" ht="20.25" thickBot="1">
      <c r="A74" s="1454"/>
      <c r="B74" s="726" t="s">
        <v>384</v>
      </c>
      <c r="C74" s="727"/>
      <c r="D74" s="1454"/>
      <c r="E74" s="1454"/>
      <c r="F74" s="1454"/>
      <c r="O74" s="2582" t="s">
        <v>2499</v>
      </c>
      <c r="P74" s="2590" t="s">
        <v>2491</v>
      </c>
      <c r="Q74" s="2581">
        <f ca="1">L59</f>
        <v>0</v>
      </c>
      <c r="R74" s="2581" t="s">
        <v>2466</v>
      </c>
    </row>
    <row r="75" spans="1:18" ht="15.75" thickBot="1">
      <c r="A75" s="1454"/>
      <c r="B75" s="728" t="s">
        <v>974</v>
      </c>
      <c r="C75" s="729" t="e">
        <f ca="1">ROUND(C13*C76,0)</f>
        <v>#N/A</v>
      </c>
      <c r="D75" s="1454"/>
      <c r="E75" s="1454"/>
      <c r="F75" s="1454"/>
      <c r="K75" s="1455"/>
      <c r="L75" s="1454"/>
      <c r="O75" s="2580" t="s">
        <v>2462</v>
      </c>
      <c r="P75" s="2590" t="s">
        <v>2480</v>
      </c>
      <c r="Q75" s="2581" t="e">
        <f ca="1">Q65+Q66</f>
        <v>#N/A</v>
      </c>
      <c r="R75" s="2581" t="s">
        <v>2463</v>
      </c>
    </row>
    <row r="76" spans="1:18">
      <c r="B76" s="730" t="s">
        <v>975</v>
      </c>
      <c r="C76" s="731" t="e">
        <f ca="1">INDIRECT("'数据-取费表'!j"&amp;$G$1)</f>
        <v>#N/A</v>
      </c>
      <c r="I76" s="1454"/>
      <c r="J76" s="1454"/>
      <c r="K76" s="1455"/>
      <c r="L76" s="1454"/>
    </row>
    <row r="77" spans="1:18">
      <c r="B77" s="732" t="s">
        <v>978</v>
      </c>
      <c r="C77" s="733"/>
      <c r="I77" s="1454"/>
      <c r="J77" s="1454"/>
      <c r="K77" s="1455"/>
      <c r="L77" s="1454"/>
    </row>
    <row r="78" spans="1:18">
      <c r="B78" s="645" t="s">
        <v>964</v>
      </c>
      <c r="C78" s="734"/>
    </row>
    <row r="79" spans="1:18">
      <c r="B79" s="2869" t="s">
        <v>2708</v>
      </c>
      <c r="C79" s="649" t="e">
        <f ca="1">1-C80</f>
        <v>#N/A</v>
      </c>
    </row>
    <row r="80" spans="1:18">
      <c r="B80" s="2869" t="s">
        <v>2707</v>
      </c>
      <c r="C80" s="649" t="e">
        <f ca="1">ROUND(C75/C39,3)</f>
        <v>#N/A</v>
      </c>
    </row>
    <row r="81" spans="2:3">
      <c r="B81" s="645" t="s">
        <v>385</v>
      </c>
      <c r="C81" s="646"/>
    </row>
    <row r="82" spans="2:3">
      <c r="B82" s="2868" t="s">
        <v>2706</v>
      </c>
      <c r="C82" s="650" t="e">
        <f ca="1">1-C83</f>
        <v>#N/A</v>
      </c>
    </row>
    <row r="83" spans="2:3">
      <c r="B83" s="2868" t="s">
        <v>2705</v>
      </c>
      <c r="C83" s="649"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dimension ref="A1:D11"/>
  <sheetViews>
    <sheetView workbookViewId="0">
      <selection activeCell="F15" sqref="F15"/>
    </sheetView>
  </sheetViews>
  <sheetFormatPr defaultRowHeight="13.5"/>
  <cols>
    <col min="1" max="1" width="24.875" customWidth="1"/>
    <col min="3" max="3" width="15.625" customWidth="1"/>
  </cols>
  <sheetData>
    <row r="1" spans="1:4">
      <c r="A1" s="3386" t="s">
        <v>3248</v>
      </c>
      <c r="B1" s="3386" t="s">
        <v>3249</v>
      </c>
    </row>
    <row r="2" spans="1:4">
      <c r="A2" s="3386" t="s">
        <v>3250</v>
      </c>
      <c r="B2" s="3386">
        <v>18853.16</v>
      </c>
      <c r="C2" s="3387">
        <v>60642</v>
      </c>
    </row>
    <row r="3" spans="1:4">
      <c r="A3" s="3386" t="s">
        <v>3251</v>
      </c>
      <c r="B3" s="3386">
        <v>4994.2700000000004</v>
      </c>
    </row>
    <row r="4" spans="1:4">
      <c r="A4" s="3386" t="s">
        <v>3252</v>
      </c>
      <c r="B4">
        <v>20877.11</v>
      </c>
    </row>
    <row r="5" spans="1:4">
      <c r="B5">
        <f>B4+B3+B2</f>
        <v>44724.54</v>
      </c>
    </row>
    <row r="7" spans="1:4">
      <c r="A7" s="3386" t="s">
        <v>3253</v>
      </c>
      <c r="B7">
        <v>30770.19</v>
      </c>
      <c r="C7" s="3387">
        <v>60868</v>
      </c>
      <c r="D7" s="3386" t="s">
        <v>3254</v>
      </c>
    </row>
    <row r="8" spans="1:4">
      <c r="A8" s="3386" t="s">
        <v>3255</v>
      </c>
      <c r="B8">
        <v>3700.35</v>
      </c>
      <c r="C8" s="3387">
        <v>60868</v>
      </c>
      <c r="D8" s="3386" t="s">
        <v>3256</v>
      </c>
    </row>
    <row r="9" spans="1:4">
      <c r="A9" s="3386" t="s">
        <v>3257</v>
      </c>
      <c r="B9">
        <v>46835.79</v>
      </c>
      <c r="C9" s="3387">
        <v>60642</v>
      </c>
      <c r="D9" s="3386" t="s">
        <v>3258</v>
      </c>
    </row>
    <row r="10" spans="1:4">
      <c r="B10">
        <v>22745.54</v>
      </c>
      <c r="C10" s="3387">
        <v>61121</v>
      </c>
      <c r="D10" s="3386" t="s">
        <v>3259</v>
      </c>
    </row>
    <row r="11" spans="1:4">
      <c r="B11">
        <f>B10+B9+B8+B7</f>
        <v>104051.87000000001</v>
      </c>
    </row>
  </sheetData>
  <phoneticPr fontId="20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24" t="s">
        <v>2044</v>
      </c>
      <c r="B1" s="3424"/>
      <c r="C1" s="3424"/>
      <c r="D1" s="3424"/>
      <c r="E1" s="3424"/>
      <c r="F1" s="3424"/>
      <c r="G1" s="3424"/>
      <c r="H1" s="3424"/>
      <c r="I1" s="3424"/>
    </row>
    <row r="2" spans="1:9" ht="30" customHeight="1" thickTop="1">
      <c r="A2" s="3425" t="s">
        <v>2883</v>
      </c>
      <c r="B2" s="3425" t="s">
        <v>2045</v>
      </c>
      <c r="C2" s="3425" t="s">
        <v>2046</v>
      </c>
      <c r="D2" s="3425" t="str">
        <f>结果表!D116</f>
        <v>出让国有建设用地使用权价值</v>
      </c>
      <c r="E2" s="3425"/>
      <c r="F2" s="3425" t="str">
        <f>结果表!F116</f>
        <v>在建建筑物价值</v>
      </c>
      <c r="G2" s="3425"/>
      <c r="H2" s="3425" t="s">
        <v>6</v>
      </c>
      <c r="I2" s="3425"/>
    </row>
    <row r="3" spans="1:9" ht="14.25">
      <c r="A3" s="3419"/>
      <c r="B3" s="3419"/>
      <c r="C3" s="3419"/>
      <c r="D3" s="1906" t="s">
        <v>7</v>
      </c>
      <c r="E3" s="1906" t="s">
        <v>2047</v>
      </c>
      <c r="F3" s="1906" t="s">
        <v>7</v>
      </c>
      <c r="G3" s="1906" t="s">
        <v>8</v>
      </c>
      <c r="H3" s="1906" t="s">
        <v>7</v>
      </c>
      <c r="I3" s="1906" t="s">
        <v>8</v>
      </c>
    </row>
    <row r="4" spans="1:9" ht="28.5">
      <c r="A4" s="1976" t="str">
        <f>项目基本情况!S2</f>
        <v>出让国有建设用地使用权及在建建筑物房地产</v>
      </c>
      <c r="B4" s="1970">
        <f>项目基本情况!C17</f>
        <v>88021.11</v>
      </c>
      <c r="C4" s="1970">
        <f>项目基本情况!C18</f>
        <v>104051.87</v>
      </c>
      <c r="D4" s="1970">
        <f ca="1">结果表!D118</f>
        <v>6269</v>
      </c>
      <c r="E4" s="1970">
        <f ca="1">结果表!E118</f>
        <v>713</v>
      </c>
      <c r="F4" s="1970">
        <f ca="1">结果表!F118</f>
        <v>10099</v>
      </c>
      <c r="G4" s="1970">
        <f ca="1">结果表!G118</f>
        <v>1147</v>
      </c>
      <c r="H4" s="1970">
        <f ca="1">结果表!H118</f>
        <v>16368</v>
      </c>
      <c r="I4" s="1970">
        <f ca="1">结果表!I118</f>
        <v>1860</v>
      </c>
    </row>
    <row r="5" spans="1:9" ht="30" customHeight="1">
      <c r="A5" s="3419" t="s">
        <v>9</v>
      </c>
      <c r="B5" s="3419"/>
      <c r="C5" s="3419"/>
      <c r="D5" s="3420" t="str">
        <f ca="1">结果表!D119</f>
        <v>陆仟贰佰陆拾玖万元整</v>
      </c>
      <c r="E5" s="3420"/>
      <c r="F5" s="3420" t="str">
        <f ca="1">结果表!F119</f>
        <v>壹亿零玖拾玖万元整</v>
      </c>
      <c r="G5" s="3420"/>
      <c r="H5" s="3420" t="str">
        <f ca="1">结果表!H119</f>
        <v>壹亿陆仟叁佰陆拾捌万元整</v>
      </c>
      <c r="I5" s="3420"/>
    </row>
    <row r="6" spans="1:9" ht="15.75">
      <c r="A6" s="3417" t="str">
        <f>结果表!A120</f>
        <v>估价师知悉的法定优先受偿款</v>
      </c>
      <c r="B6" s="3417"/>
      <c r="C6" s="3417"/>
      <c r="D6" s="3418">
        <f>结果表!D120</f>
        <v>0</v>
      </c>
      <c r="E6" s="3418"/>
      <c r="F6" s="3418"/>
      <c r="G6" s="3418"/>
      <c r="H6" s="3418"/>
      <c r="I6" s="3418"/>
    </row>
    <row r="7" spans="1:9" ht="14.25">
      <c r="A7" s="3419" t="s">
        <v>9</v>
      </c>
      <c r="B7" s="3419"/>
      <c r="C7" s="3419"/>
      <c r="D7" s="3421" t="str">
        <f>结果表!D121</f>
        <v>零元整</v>
      </c>
      <c r="E7" s="3422"/>
      <c r="F7" s="3422"/>
      <c r="G7" s="3422"/>
      <c r="H7" s="3422"/>
      <c r="I7" s="3423"/>
    </row>
    <row r="8" spans="1:9" ht="15.75">
      <c r="A8" s="3417" t="str">
        <f>结果表!A122</f>
        <v>房地产抵押价值</v>
      </c>
      <c r="B8" s="3417"/>
      <c r="C8" s="3417"/>
      <c r="D8" s="3418">
        <f ca="1">结果表!D122</f>
        <v>16368</v>
      </c>
      <c r="E8" s="3418"/>
      <c r="F8" s="3418"/>
      <c r="G8" s="3418"/>
      <c r="H8" s="3418"/>
      <c r="I8" s="3418"/>
    </row>
    <row r="9" spans="1:9" ht="14.25">
      <c r="A9" s="3419" t="s">
        <v>9</v>
      </c>
      <c r="B9" s="3419"/>
      <c r="C9" s="3419"/>
      <c r="D9" s="3420" t="str">
        <f ca="1">结果表!D123</f>
        <v>壹亿陆仟叁佰陆拾捌万元整</v>
      </c>
      <c r="E9" s="3420"/>
      <c r="F9" s="3420"/>
      <c r="G9" s="3420"/>
      <c r="H9" s="3420"/>
      <c r="I9" s="3420"/>
    </row>
    <row r="10" spans="1:9" ht="15.75">
      <c r="A10" s="3417" t="str">
        <f>结果表!A124</f>
        <v/>
      </c>
      <c r="B10" s="3417"/>
      <c r="C10" s="3417"/>
      <c r="D10" s="3418" t="str">
        <f>结果表!D124</f>
        <v>——</v>
      </c>
      <c r="E10" s="3418"/>
      <c r="F10" s="3418"/>
      <c r="G10" s="3418"/>
      <c r="H10" s="3418"/>
      <c r="I10" s="3418"/>
    </row>
    <row r="11" spans="1:9" ht="14.25">
      <c r="A11" s="3419" t="s">
        <v>9</v>
      </c>
      <c r="B11" s="3419"/>
      <c r="C11" s="3419"/>
      <c r="D11" s="3420" t="e">
        <f>结果表!D125</f>
        <v>#VALUE!</v>
      </c>
      <c r="E11" s="3420"/>
      <c r="F11" s="3420"/>
      <c r="G11" s="3420"/>
      <c r="H11" s="3420"/>
      <c r="I11" s="3420"/>
    </row>
    <row r="12" spans="1:9" ht="15.75">
      <c r="A12" s="3417" t="str">
        <f>结果表!A126</f>
        <v>抵押净值</v>
      </c>
      <c r="B12" s="3417"/>
      <c r="C12" s="3417"/>
      <c r="D12" s="3418">
        <f ca="1">结果表!D126</f>
        <v>15487</v>
      </c>
      <c r="E12" s="3418"/>
      <c r="F12" s="3418"/>
      <c r="G12" s="3418"/>
      <c r="H12" s="3418"/>
      <c r="I12" s="3418"/>
    </row>
    <row r="13" spans="1:9" ht="15" thickBot="1">
      <c r="A13" s="3414" t="s">
        <v>9</v>
      </c>
      <c r="B13" s="3414"/>
      <c r="C13" s="3414"/>
      <c r="D13" s="3415" t="str">
        <f ca="1">结果表!D127</f>
        <v>壹亿伍仟肆佰捌拾柒万元整</v>
      </c>
      <c r="E13" s="3415"/>
      <c r="F13" s="3415"/>
      <c r="G13" s="3415"/>
      <c r="H13" s="3415"/>
      <c r="I13" s="3415"/>
    </row>
    <row r="14" spans="1:9" ht="14.25" thickTop="1">
      <c r="A14" s="3416" t="s">
        <v>2048</v>
      </c>
      <c r="B14" s="3416"/>
      <c r="C14" s="3416"/>
      <c r="D14" s="3416"/>
      <c r="E14" s="3416"/>
      <c r="F14" s="3416"/>
      <c r="G14" s="3416"/>
      <c r="H14" s="3416"/>
      <c r="I14" s="3416"/>
    </row>
    <row r="16" spans="1:9" ht="18.75">
      <c r="A16" s="1985" t="s">
        <v>2049</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zoomScale="8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32" t="s">
        <v>2859</v>
      </c>
      <c r="B1" s="3432"/>
      <c r="C1" s="3432"/>
      <c r="D1" s="3432"/>
    </row>
    <row r="2" spans="1:4" ht="18.75">
      <c r="A2" s="3433" t="s">
        <v>2119</v>
      </c>
      <c r="B2" s="3433"/>
      <c r="C2" s="3433"/>
      <c r="D2" s="3433"/>
    </row>
    <row r="3" spans="1:4" ht="18.75">
      <c r="A3" s="2605" t="s">
        <v>2120</v>
      </c>
      <c r="B3" s="2605" t="s">
        <v>2121</v>
      </c>
      <c r="C3" s="2605" t="s">
        <v>2122</v>
      </c>
      <c r="D3" s="2605" t="s">
        <v>2123</v>
      </c>
    </row>
    <row r="4" spans="1:4" ht="56.25" customHeight="1">
      <c r="A4" s="2611">
        <f>项目基本情况!B4</f>
        <v>0</v>
      </c>
      <c r="B4" s="2606">
        <f>项目基本情况!C4</f>
        <v>0</v>
      </c>
      <c r="C4" s="2609"/>
      <c r="D4" s="2607" t="s">
        <v>2124</v>
      </c>
    </row>
    <row r="5" spans="1:4" ht="56.25" customHeight="1">
      <c r="A5" s="2611">
        <f>项目基本情况!D4</f>
        <v>0</v>
      </c>
      <c r="B5" s="2606">
        <f>项目基本情况!E4</f>
        <v>0</v>
      </c>
      <c r="C5" s="2610"/>
      <c r="D5" s="2607" t="s">
        <v>2124</v>
      </c>
    </row>
    <row r="6" spans="1:4" ht="18.75">
      <c r="A6" s="3433" t="s">
        <v>2620</v>
      </c>
      <c r="B6" s="3433"/>
      <c r="C6" s="3433"/>
      <c r="D6" s="3433"/>
    </row>
    <row r="7" spans="1:4" ht="18.75">
      <c r="A7" s="2605" t="s">
        <v>2120</v>
      </c>
      <c r="B7" s="2606" t="s">
        <v>2125</v>
      </c>
      <c r="C7" s="2605" t="s">
        <v>2122</v>
      </c>
      <c r="D7" s="2605" t="s">
        <v>2123</v>
      </c>
    </row>
    <row r="8" spans="1:4" ht="56.25" customHeight="1">
      <c r="A8" s="2608" t="s">
        <v>2126</v>
      </c>
      <c r="B8" s="2608" t="s">
        <v>23</v>
      </c>
      <c r="C8" s="2609"/>
      <c r="D8" s="2607" t="s">
        <v>2124</v>
      </c>
    </row>
    <row r="9" spans="1:4">
      <c r="A9" s="1488"/>
      <c r="B9" s="1488"/>
      <c r="C9" s="1488"/>
      <c r="D9" s="1488"/>
    </row>
    <row r="10" spans="1:4" ht="18.75">
      <c r="A10" s="2087" t="s">
        <v>2127</v>
      </c>
      <c r="B10" s="1488"/>
      <c r="C10" s="1488"/>
      <c r="D10" s="1488"/>
    </row>
    <row r="11" spans="1:4" ht="30" customHeight="1">
      <c r="A11" s="3434" t="s">
        <v>2713</v>
      </c>
      <c r="B11" s="3426"/>
      <c r="C11" s="3426"/>
      <c r="D11" s="3426"/>
    </row>
    <row r="12" spans="1:4" ht="14.25">
      <c r="A12" s="3426" t="str">
        <f>IF(项目基本情况!B8="抵押","2.本《评估意见函》仅供金融机构进行内部审核使用，不做其他目的之用。","")</f>
        <v/>
      </c>
      <c r="B12" s="3431"/>
      <c r="C12" s="3431"/>
      <c r="D12" s="3431"/>
    </row>
    <row r="13" spans="1:4" ht="30" customHeight="1">
      <c r="A13" s="3426" t="str">
        <f>IF(项目基本情况!B8="抵押","3.抵押双方在办理抵押登记手续时，应使用本公司出具的正式《房地产评估报告》，特提醒报告使用者注意。","")</f>
        <v/>
      </c>
      <c r="B13" s="3431"/>
      <c r="C13" s="3431"/>
      <c r="D13" s="3431"/>
    </row>
    <row r="14" spans="1:4" ht="15.75" customHeight="1">
      <c r="A14" s="3426" t="str">
        <f>IF(项目基本情况!B8="抵押","4.本次评估估价师所知悉的法定优先受偿款情况说明如下：","")</f>
        <v/>
      </c>
      <c r="B14" s="3431"/>
      <c r="C14" s="3431"/>
      <c r="D14" s="3431"/>
    </row>
    <row r="15" spans="1:4" ht="42" customHeight="1">
      <c r="A15" s="3426" t="str">
        <f>IF(项目基本情况!B8="抵押","（1）"&amp;CONCATENATE(项目基本情况!L20,项目基本情况!L21,项目基本情况!L22),"")</f>
        <v/>
      </c>
      <c r="B15" s="3426"/>
      <c r="C15" s="3426"/>
      <c r="D15" s="3426"/>
    </row>
    <row r="16" spans="1:4" ht="30" customHeight="1">
      <c r="A16" s="3428" t="s">
        <v>2131</v>
      </c>
      <c r="B16" s="3428"/>
      <c r="C16" s="3428"/>
      <c r="D16" s="3428"/>
    </row>
    <row r="17" spans="1:4" ht="144" customHeight="1">
      <c r="A17" s="3428" t="s">
        <v>2132</v>
      </c>
      <c r="B17" s="3428"/>
      <c r="C17" s="3428"/>
      <c r="D17" s="3428"/>
    </row>
    <row r="18" spans="1:4" ht="15.75" customHeight="1">
      <c r="A18" s="3426" t="str">
        <f>IF(项目基本情况!B8="抵押",结果表!K120,"")</f>
        <v/>
      </c>
      <c r="B18" s="3426"/>
      <c r="C18" s="3426"/>
      <c r="D18" s="3426"/>
    </row>
    <row r="19" spans="1:4" ht="46.5" customHeight="1">
      <c r="A19" s="3426"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26"/>
      <c r="C19" s="3426"/>
      <c r="D19" s="3426"/>
    </row>
    <row r="20" spans="1:4" ht="57.75" customHeight="1">
      <c r="A20" s="3426"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6"/>
      <c r="C20" s="3426"/>
      <c r="D20" s="3426"/>
    </row>
    <row r="21" spans="1:4" ht="57.75" customHeight="1">
      <c r="A21" s="342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9"/>
      <c r="C21" s="3429"/>
      <c r="D21" s="3429"/>
    </row>
    <row r="22" spans="1:4" ht="18.75" customHeight="1">
      <c r="A22" s="3430" t="s">
        <v>2881</v>
      </c>
      <c r="B22" s="3430"/>
      <c r="C22" s="3430"/>
      <c r="D22" s="3430"/>
    </row>
    <row r="23" spans="1:4">
      <c r="A23" s="1977"/>
      <c r="B23" s="1986"/>
      <c r="C23" s="1986"/>
      <c r="D23" s="1986"/>
    </row>
    <row r="24" spans="1:4">
      <c r="A24" s="1977"/>
      <c r="B24" s="1986"/>
      <c r="C24" s="1986"/>
      <c r="D24" s="1986"/>
    </row>
    <row r="25" spans="1:4" ht="18.75">
      <c r="A25" s="1975" t="s">
        <v>2128</v>
      </c>
    </row>
    <row r="26" spans="1:4" ht="18.75">
      <c r="A26" s="1947"/>
    </row>
    <row r="27" spans="1:4" ht="18.75">
      <c r="A27" s="1947" t="s">
        <v>2129</v>
      </c>
    </row>
    <row r="30" spans="1:4" ht="18.75">
      <c r="D30" s="1975" t="s">
        <v>2130</v>
      </c>
    </row>
    <row r="31" spans="1:4" ht="13.5" customHeight="1">
      <c r="C31" s="3427">
        <v>42551</v>
      </c>
      <c r="D31" s="342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7" t="s">
        <v>2135</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2" customWidth="1"/>
    <col min="2" max="16384" width="14.5" style="1140"/>
  </cols>
  <sheetData>
    <row r="1" spans="1:7" s="1138" customFormat="1" ht="18.75">
      <c r="A1" s="1137" t="s">
        <v>576</v>
      </c>
    </row>
    <row r="3" spans="1:7">
      <c r="A3" s="1139" t="s">
        <v>549</v>
      </c>
      <c r="B3" s="1140" t="s">
        <v>550</v>
      </c>
      <c r="G3" s="1141"/>
    </row>
    <row r="4" spans="1:7">
      <c r="G4" s="1141"/>
    </row>
    <row r="5" spans="1:7">
      <c r="A5" s="1143" t="s">
        <v>540</v>
      </c>
      <c r="B5" s="1140" t="s">
        <v>551</v>
      </c>
      <c r="G5" s="1141"/>
    </row>
    <row r="6" spans="1:7">
      <c r="G6" s="1141"/>
    </row>
    <row r="7" spans="1:7">
      <c r="A7" s="1144" t="s">
        <v>1136</v>
      </c>
      <c r="B7" s="1140" t="s">
        <v>552</v>
      </c>
      <c r="G7" s="1141"/>
    </row>
    <row r="8" spans="1:7">
      <c r="G8" s="1141"/>
    </row>
    <row r="9" spans="1:7">
      <c r="A9" s="1145" t="s">
        <v>541</v>
      </c>
      <c r="B9" s="1140" t="s">
        <v>553</v>
      </c>
    </row>
    <row r="11" spans="1:7">
      <c r="A11" s="1146" t="s">
        <v>542</v>
      </c>
      <c r="B11" s="1147" t="s">
        <v>539</v>
      </c>
    </row>
    <row r="13" spans="1:7">
      <c r="A13" s="1148" t="s">
        <v>554</v>
      </c>
    </row>
    <row r="15" spans="1:7" ht="13.5">
      <c r="A15" s="3440" t="s">
        <v>555</v>
      </c>
      <c r="B15" s="3435" t="s">
        <v>1137</v>
      </c>
      <c r="C15" s="3436"/>
    </row>
    <row r="16" spans="1:7" ht="13.5">
      <c r="A16" s="3441"/>
      <c r="B16" s="3435" t="s">
        <v>528</v>
      </c>
      <c r="C16" s="3436"/>
    </row>
    <row r="17" spans="1:3" ht="13.5">
      <c r="A17" s="3441"/>
      <c r="B17" s="3438" t="s">
        <v>556</v>
      </c>
      <c r="C17" s="1149" t="s">
        <v>555</v>
      </c>
    </row>
    <row r="18" spans="1:3" ht="13.5">
      <c r="A18" s="3441"/>
      <c r="B18" s="3438"/>
      <c r="C18" s="1149" t="s">
        <v>557</v>
      </c>
    </row>
    <row r="19" spans="1:3" ht="13.5">
      <c r="A19" s="3441"/>
      <c r="B19" s="3438"/>
      <c r="C19" s="1149" t="s">
        <v>558</v>
      </c>
    </row>
    <row r="20" spans="1:3" ht="13.5">
      <c r="A20" s="3442"/>
      <c r="B20" s="3437" t="s">
        <v>559</v>
      </c>
      <c r="C20" s="3436"/>
    </row>
    <row r="21" spans="1:3" ht="13.5">
      <c r="A21" s="1150" t="s">
        <v>560</v>
      </c>
      <c r="B21" s="1151"/>
      <c r="C21" s="1152"/>
    </row>
    <row r="22" spans="1:3" ht="13.5">
      <c r="A22" s="3439" t="s">
        <v>561</v>
      </c>
      <c r="B22" s="3437" t="s">
        <v>562</v>
      </c>
      <c r="C22" s="3436"/>
    </row>
    <row r="23" spans="1:3" ht="13.5">
      <c r="A23" s="3439"/>
      <c r="B23" s="3437" t="s">
        <v>563</v>
      </c>
      <c r="C23" s="3436"/>
    </row>
    <row r="24" spans="1:3" ht="13.5">
      <c r="A24" s="3439"/>
      <c r="B24" s="3437" t="s">
        <v>564</v>
      </c>
      <c r="C24" s="3436"/>
    </row>
    <row r="25" spans="1:3" ht="13.5">
      <c r="A25" s="3439"/>
      <c r="B25" s="3438" t="s">
        <v>565</v>
      </c>
      <c r="C25" s="1149" t="s">
        <v>566</v>
      </c>
    </row>
    <row r="26" spans="1:3" ht="13.5">
      <c r="A26" s="3439"/>
      <c r="B26" s="3438"/>
      <c r="C26" s="1149" t="s">
        <v>567</v>
      </c>
    </row>
    <row r="27" spans="1:3" ht="13.5">
      <c r="A27" s="3439"/>
      <c r="B27" s="3438"/>
      <c r="C27" s="1149" t="s">
        <v>568</v>
      </c>
    </row>
    <row r="28" spans="1:3" ht="13.5">
      <c r="A28" s="3439"/>
      <c r="B28" s="3438"/>
      <c r="C28" s="1149" t="s">
        <v>569</v>
      </c>
    </row>
    <row r="29" spans="1:3" ht="13.5">
      <c r="A29" s="3439"/>
      <c r="B29" s="3438"/>
      <c r="C29" s="1149" t="s">
        <v>570</v>
      </c>
    </row>
    <row r="30" spans="1:3" ht="13.5">
      <c r="A30" s="3439"/>
      <c r="B30" s="3438"/>
      <c r="C30" s="1149" t="s">
        <v>571</v>
      </c>
    </row>
    <row r="31" spans="1:3" ht="13.5">
      <c r="A31" s="3439"/>
      <c r="B31" s="3438"/>
      <c r="C31" s="1149" t="s">
        <v>572</v>
      </c>
    </row>
    <row r="32" spans="1:3" ht="13.5">
      <c r="A32" s="3439"/>
      <c r="B32" s="3438"/>
      <c r="C32" s="1149" t="s">
        <v>573</v>
      </c>
    </row>
    <row r="33" spans="1:3" ht="13.5">
      <c r="A33" s="3439"/>
      <c r="B33" s="3438"/>
      <c r="C33" s="1149" t="s">
        <v>574</v>
      </c>
    </row>
    <row r="34" spans="1:3">
      <c r="A34" s="1153" t="s">
        <v>543</v>
      </c>
    </row>
    <row r="37" spans="1:3">
      <c r="A37" s="1153" t="s">
        <v>575</v>
      </c>
    </row>
    <row r="38" spans="1:3" ht="13.5">
      <c r="A38" s="1154" t="s">
        <v>544</v>
      </c>
    </row>
    <row r="39" spans="1:3" ht="13.5">
      <c r="A39" s="1154" t="s">
        <v>545</v>
      </c>
    </row>
    <row r="40" spans="1:3" ht="13.5">
      <c r="A40" s="1154" t="s">
        <v>546</v>
      </c>
    </row>
    <row r="41" spans="1:3" ht="13.5">
      <c r="A41" s="1155" t="s">
        <v>547</v>
      </c>
    </row>
    <row r="42" spans="1:3" ht="13.5">
      <c r="A42" s="1154"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93" zoomScaleSheetLayoutView="93" workbookViewId="0">
      <selection activeCell="B12" sqref="B12"/>
    </sheetView>
  </sheetViews>
  <sheetFormatPr defaultColWidth="22.625" defaultRowHeight="24" customHeight="1"/>
  <cols>
    <col min="1" max="2" width="22.625" style="1881"/>
    <col min="3" max="3" width="23.625" style="1881" bestFit="1" customWidth="1"/>
    <col min="4" max="5" width="22.625" style="1881"/>
    <col min="6" max="6" width="25.625" style="1881" customWidth="1"/>
    <col min="7" max="16384" width="22.625" style="1881"/>
  </cols>
  <sheetData>
    <row r="2" spans="1:6" ht="24" customHeight="1">
      <c r="A2" s="1883" t="s">
        <v>1971</v>
      </c>
      <c r="B2" s="1884">
        <f ca="1">TODAY()</f>
        <v>42951</v>
      </c>
      <c r="C2" s="1885" t="s">
        <v>1972</v>
      </c>
      <c r="D2" s="1885"/>
    </row>
    <row r="3" spans="1:6" ht="24" customHeight="1">
      <c r="A3" s="1886" t="s">
        <v>1973</v>
      </c>
      <c r="B3" s="1887" t="s">
        <v>1974</v>
      </c>
      <c r="C3" s="1887" t="s">
        <v>1975</v>
      </c>
      <c r="D3" s="1888" t="s">
        <v>1976</v>
      </c>
      <c r="E3" s="1889" t="s">
        <v>1977</v>
      </c>
      <c r="F3" s="1887" t="s">
        <v>1975</v>
      </c>
    </row>
    <row r="4" spans="1:6" ht="24" customHeight="1">
      <c r="A4" s="3202" t="s">
        <v>1978</v>
      </c>
      <c r="B4" s="1889">
        <f ca="1">IF(C4&lt;B2,"已过期",1119970066)</f>
        <v>1119970066</v>
      </c>
      <c r="C4" s="3203">
        <v>43849</v>
      </c>
      <c r="D4" s="3202" t="s">
        <v>1978</v>
      </c>
      <c r="E4" s="1889">
        <f ca="1">IF(F4&lt;B2,"已过期",96010014)</f>
        <v>96010014</v>
      </c>
      <c r="F4" s="1898">
        <v>47118</v>
      </c>
    </row>
    <row r="5" spans="1:6" ht="24" customHeight="1">
      <c r="A5" s="3202" t="s">
        <v>1979</v>
      </c>
      <c r="B5" s="1889">
        <f ca="1">IF(C5&lt;B2,"已过期",1119970074)</f>
        <v>1119970074</v>
      </c>
      <c r="C5" s="3203">
        <v>43849</v>
      </c>
      <c r="D5" s="3202" t="s">
        <v>1979</v>
      </c>
      <c r="E5" s="1889">
        <f ca="1">IF(F5&lt;B2,"已过期",2002110027)</f>
        <v>2002110027</v>
      </c>
      <c r="F5" s="1898">
        <v>46752</v>
      </c>
    </row>
    <row r="6" spans="1:6" ht="24" customHeight="1">
      <c r="A6" s="3202" t="s">
        <v>1980</v>
      </c>
      <c r="B6" s="1889">
        <f ca="1">IF(C6&lt;B2,"已过期",1119970111)</f>
        <v>1119970111</v>
      </c>
      <c r="C6" s="3203">
        <v>43849</v>
      </c>
      <c r="D6" s="3202" t="s">
        <v>1980</v>
      </c>
      <c r="E6" s="1889">
        <f ca="1">IF(F6&lt;B2,"已过期",94010078)</f>
        <v>94010078</v>
      </c>
      <c r="F6" s="1898">
        <v>46387</v>
      </c>
    </row>
    <row r="7" spans="1:6" ht="24" customHeight="1">
      <c r="A7" s="3202" t="s">
        <v>1981</v>
      </c>
      <c r="B7" s="1889">
        <f ca="1">IF(C7&lt;B2,"已过期",1120050019)</f>
        <v>1120050019</v>
      </c>
      <c r="C7" s="3203">
        <v>43359</v>
      </c>
      <c r="D7" s="3202" t="s">
        <v>1981</v>
      </c>
      <c r="E7" s="1889">
        <f ca="1">IF(F7&lt;B2,"已过期",2002110030)</f>
        <v>2002110030</v>
      </c>
      <c r="F7" s="1898">
        <v>46387</v>
      </c>
    </row>
    <row r="8" spans="1:6" ht="24" customHeight="1">
      <c r="A8" s="3202" t="s">
        <v>1982</v>
      </c>
      <c r="B8" s="1889">
        <f ca="1">IF(C8&lt;B2,"已过期",1120000080)</f>
        <v>1120000080</v>
      </c>
      <c r="C8" s="3203">
        <v>43849</v>
      </c>
      <c r="D8" s="3202" t="s">
        <v>1982</v>
      </c>
      <c r="E8" s="1889">
        <f ca="1">IF(F8&lt;B2,"已过期",2000110082)</f>
        <v>2000110082</v>
      </c>
      <c r="F8" s="1898">
        <v>46387</v>
      </c>
    </row>
    <row r="9" spans="1:6" ht="24" customHeight="1">
      <c r="A9" s="3202" t="s">
        <v>1983</v>
      </c>
      <c r="B9" s="1889">
        <f ca="1">IF(C9&lt;B2,"已过期",1419970001)</f>
        <v>1419970001</v>
      </c>
      <c r="C9" s="3203">
        <v>43867</v>
      </c>
      <c r="D9" s="3202" t="s">
        <v>1983</v>
      </c>
      <c r="E9" s="1889">
        <f ca="1">IF(F9&lt;B2,"已过期",2002110125)</f>
        <v>2002110125</v>
      </c>
      <c r="F9" s="1898">
        <v>47118</v>
      </c>
    </row>
    <row r="10" spans="1:6" ht="24" customHeight="1">
      <c r="A10" s="3202" t="s">
        <v>1984</v>
      </c>
      <c r="B10" s="1889">
        <f ca="1">IF(C10&lt;B2,"已过期",1120060040)</f>
        <v>1120060040</v>
      </c>
      <c r="C10" s="3203">
        <v>43483</v>
      </c>
      <c r="D10" s="3202" t="s">
        <v>1984</v>
      </c>
      <c r="E10" s="1889">
        <f ca="1">IF(F10&lt;B2,"已过期",2004110096)</f>
        <v>2004110096</v>
      </c>
      <c r="F10" s="1898">
        <v>47118</v>
      </c>
    </row>
    <row r="11" spans="1:6" ht="24" customHeight="1">
      <c r="A11" s="3202" t="s">
        <v>1985</v>
      </c>
      <c r="B11" s="1889">
        <f ca="1">IF(C11&lt;B2,"已过期",1120100036)</f>
        <v>1120100036</v>
      </c>
      <c r="C11" s="3203">
        <v>43622</v>
      </c>
      <c r="D11" s="3202" t="s">
        <v>1985</v>
      </c>
      <c r="E11" s="1889">
        <f ca="1">IF(F11&lt;B2,"已过期",2010110070)</f>
        <v>2010110070</v>
      </c>
      <c r="F11" s="1898">
        <v>47907</v>
      </c>
    </row>
    <row r="12" spans="1:6" ht="24" customHeight="1">
      <c r="A12" s="3202"/>
      <c r="B12" s="1889"/>
      <c r="C12" s="3203"/>
      <c r="D12" s="3202"/>
      <c r="E12" s="1889"/>
      <c r="F12" s="1889"/>
    </row>
    <row r="13" spans="1:6" ht="24" customHeight="1">
      <c r="A13" s="3202" t="s">
        <v>1986</v>
      </c>
      <c r="B13" s="1889">
        <f ca="1">IF(C13&lt;B2,"已过期",1120070131)</f>
        <v>1120070131</v>
      </c>
      <c r="C13" s="3203">
        <v>43814</v>
      </c>
      <c r="D13" s="3202" t="s">
        <v>1986</v>
      </c>
      <c r="E13" s="1889">
        <v>2014110011</v>
      </c>
      <c r="F13" s="1898">
        <v>49302</v>
      </c>
    </row>
    <row r="14" spans="1:6" ht="24" customHeight="1">
      <c r="A14" s="3202" t="s">
        <v>1987</v>
      </c>
      <c r="B14" s="1889">
        <f ca="1">IF(C14&lt;B2,"已过期",1120130020)</f>
        <v>1120130020</v>
      </c>
      <c r="C14" s="3203">
        <v>43622</v>
      </c>
      <c r="D14" s="3202"/>
      <c r="E14" s="1889"/>
      <c r="F14" s="1889"/>
    </row>
    <row r="15" spans="1:6" ht="24" customHeight="1">
      <c r="A15" s="3204" t="s">
        <v>2711</v>
      </c>
      <c r="B15" s="1889">
        <v>1120070085</v>
      </c>
      <c r="C15" s="3203">
        <v>43814</v>
      </c>
      <c r="D15" s="3204" t="s">
        <v>2711</v>
      </c>
      <c r="E15" s="1889">
        <v>2004110128</v>
      </c>
      <c r="F15" s="1890">
        <v>47118</v>
      </c>
    </row>
    <row r="16" spans="1:6" ht="24" customHeight="1">
      <c r="A16" s="3202" t="s">
        <v>1988</v>
      </c>
      <c r="B16" s="1889">
        <f ca="1">IF(C16&lt;B2,"已过期",1120140022)</f>
        <v>1120140022</v>
      </c>
      <c r="C16" s="3203">
        <v>42987</v>
      </c>
      <c r="D16" s="3202" t="s">
        <v>1988</v>
      </c>
      <c r="E16" s="1889">
        <f ca="1">IF(F16&lt;B2,"已过期",2008110059)</f>
        <v>2008110059</v>
      </c>
      <c r="F16" s="1898">
        <v>47177</v>
      </c>
    </row>
    <row r="17" spans="1:7" ht="24" customHeight="1">
      <c r="A17" s="3202" t="s">
        <v>1989</v>
      </c>
      <c r="B17" s="1889">
        <f ca="1">IF(C17&lt;B2,"已过期",1120140020)</f>
        <v>1120140020</v>
      </c>
      <c r="C17" s="3203">
        <v>42987</v>
      </c>
      <c r="D17" s="3202"/>
      <c r="E17" s="1889"/>
      <c r="F17" s="1898"/>
    </row>
    <row r="18" spans="1:7" ht="24" customHeight="1">
      <c r="A18" s="3202" t="s">
        <v>1990</v>
      </c>
      <c r="B18" s="1889">
        <f ca="1">IF(C18&lt;B2,"已过期",1120140024)</f>
        <v>1120140024</v>
      </c>
      <c r="C18" s="3203">
        <v>42987</v>
      </c>
      <c r="D18" s="3202" t="s">
        <v>1990</v>
      </c>
      <c r="E18" s="1889">
        <f ca="1">IF(F18&lt;B2,"已过期",2011110048)</f>
        <v>2011110048</v>
      </c>
      <c r="F18" s="1898">
        <v>48302</v>
      </c>
    </row>
    <row r="19" spans="1:7" ht="24" customHeight="1">
      <c r="A19" s="3202" t="s">
        <v>1991</v>
      </c>
      <c r="B19" s="1889">
        <f ca="1">IF(C19&lt;B2,"已过期",1120140019)</f>
        <v>1120140019</v>
      </c>
      <c r="C19" s="3203">
        <v>42987</v>
      </c>
      <c r="D19" s="3202"/>
      <c r="E19" s="1889"/>
      <c r="F19" s="1889"/>
    </row>
    <row r="20" spans="1:7" ht="24" customHeight="1">
      <c r="A20" s="3202" t="s">
        <v>1992</v>
      </c>
      <c r="B20" s="1889">
        <f ca="1">IF(C20&lt;B2,"已过期",1120140023)</f>
        <v>1120140023</v>
      </c>
      <c r="C20" s="3203">
        <v>42987</v>
      </c>
      <c r="D20" s="3202"/>
      <c r="E20" s="1889"/>
      <c r="F20" s="1889"/>
    </row>
    <row r="21" spans="1:7" ht="24" customHeight="1">
      <c r="A21" s="3202"/>
      <c r="B21" s="1889"/>
      <c r="C21" s="3203"/>
      <c r="D21" s="3202" t="s">
        <v>1993</v>
      </c>
      <c r="E21" s="1889">
        <f ca="1">IF(F21&lt;B2,"已过期",2011110090)</f>
        <v>2011110090</v>
      </c>
      <c r="F21" s="1898">
        <v>48302</v>
      </c>
    </row>
    <row r="22" spans="1:7" ht="24" customHeight="1">
      <c r="A22" s="3202" t="s">
        <v>1994</v>
      </c>
      <c r="B22" s="1889">
        <f ca="1">IF(C22&lt;B2,"已过期",1120020033)</f>
        <v>1120020033</v>
      </c>
      <c r="C22" s="3203">
        <v>43304</v>
      </c>
      <c r="D22" s="3202" t="s">
        <v>1994</v>
      </c>
      <c r="E22" s="1889">
        <f ca="1">IF(F22&lt;B2,"已过期",2000110137)</f>
        <v>2000110137</v>
      </c>
      <c r="F22" s="1898">
        <v>46387</v>
      </c>
    </row>
    <row r="23" spans="1:7" ht="24" customHeight="1">
      <c r="A23" s="3202" t="s">
        <v>1995</v>
      </c>
      <c r="B23" s="1889">
        <f ca="1">IF(C23&lt;B2,"已过期",1120130048)</f>
        <v>1120130048</v>
      </c>
      <c r="C23" s="3203">
        <v>43686</v>
      </c>
      <c r="D23" s="3202"/>
      <c r="E23" s="1889"/>
      <c r="F23" s="1889"/>
    </row>
    <row r="24" spans="1:7" s="1891" customFormat="1" ht="24" customHeight="1">
      <c r="A24" s="3204" t="s">
        <v>2947</v>
      </c>
      <c r="B24" s="3204" t="s">
        <v>2947</v>
      </c>
      <c r="C24" s="3204" t="s">
        <v>2947</v>
      </c>
      <c r="D24" s="3204" t="s">
        <v>2947</v>
      </c>
      <c r="E24" s="3204" t="s">
        <v>2947</v>
      </c>
      <c r="F24" s="3204" t="s">
        <v>2947</v>
      </c>
    </row>
    <row r="25" spans="1:7" ht="24" customHeight="1">
      <c r="A25" s="3443" t="s">
        <v>1996</v>
      </c>
      <c r="B25" s="3443"/>
      <c r="C25" s="3443"/>
      <c r="D25" s="3443"/>
      <c r="E25" s="3443"/>
      <c r="F25" s="3443"/>
      <c r="G25" s="3443"/>
    </row>
    <row r="26" spans="1:7" s="1893" customFormat="1" ht="24" customHeight="1">
      <c r="A26" s="3444" t="s">
        <v>1997</v>
      </c>
      <c r="B26" s="3444"/>
      <c r="C26" s="3444"/>
      <c r="D26" s="1892"/>
      <c r="E26" s="3444" t="s">
        <v>1998</v>
      </c>
      <c r="F26" s="3444"/>
      <c r="G26" s="3444"/>
    </row>
    <row r="27" spans="1:7" s="1895" customFormat="1" ht="24" customHeight="1">
      <c r="A27" s="1894" t="s">
        <v>1999</v>
      </c>
      <c r="B27" s="1887" t="s">
        <v>2000</v>
      </c>
      <c r="C27" s="1887" t="s">
        <v>2001</v>
      </c>
      <c r="D27" s="1887"/>
      <c r="E27" s="1889" t="s">
        <v>1999</v>
      </c>
      <c r="F27" s="1887" t="s">
        <v>2000</v>
      </c>
      <c r="G27" s="1887" t="s">
        <v>2001</v>
      </c>
    </row>
    <row r="28" spans="1:7" s="1895" customFormat="1" ht="24" customHeight="1">
      <c r="A28" s="1896" t="s">
        <v>2002</v>
      </c>
      <c r="B28" s="1897" t="s">
        <v>2003</v>
      </c>
      <c r="C28" s="1898">
        <v>43725</v>
      </c>
      <c r="D28" s="1898"/>
      <c r="E28" s="1896" t="s">
        <v>2004</v>
      </c>
      <c r="F28" s="1896" t="s">
        <v>2005</v>
      </c>
      <c r="G28" s="2106">
        <v>44377</v>
      </c>
    </row>
    <row r="29" spans="1:7" s="1895" customFormat="1" ht="24" customHeight="1">
      <c r="A29" s="1896"/>
      <c r="B29" s="1896"/>
      <c r="C29" s="1899"/>
      <c r="D29" s="1899"/>
      <c r="E29" s="1896" t="s">
        <v>2006</v>
      </c>
      <c r="F29" s="2432" t="s">
        <v>2389</v>
      </c>
      <c r="G29" s="2433">
        <v>42916</v>
      </c>
    </row>
    <row r="30" spans="1:7" ht="24" customHeight="1">
      <c r="C30" s="1900"/>
      <c r="D30" s="1900"/>
    </row>
  </sheetData>
  <sheetProtection sheet="1" objects="1" scenarios="1"/>
  <mergeCells count="3">
    <mergeCell ref="A25:G25"/>
    <mergeCell ref="A26:C26"/>
    <mergeCell ref="E26:G26"/>
  </mergeCells>
  <phoneticPr fontId="117"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140</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土地比较法-住宅、综合</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收益法</vt:lpstr>
      <vt:lpstr>收益法 (2)</vt:lpstr>
      <vt:lpstr>收益法 (3)</vt:lpstr>
      <vt:lpstr>收益法 (4)</vt:lpstr>
      <vt:lpstr>Sheet2</vt:lpstr>
      <vt:lpstr>Sheet3</vt:lpstr>
      <vt:lpstr>成本法!Print_Area</vt:lpstr>
      <vt:lpstr>估价师及机构信息!Print_Area</vt:lpstr>
      <vt:lpstr>结果表!Print_Area</vt:lpstr>
      <vt:lpstr>收益法!Print_Area</vt:lpstr>
      <vt:lpstr>'收益法 (2)'!Print_Area</vt:lpstr>
      <vt:lpstr>'收益法 (3)'!Print_Area</vt:lpstr>
      <vt:lpstr>'收益法 (4)'!Print_Area</vt:lpstr>
      <vt:lpstr>'收益法 (元)'!Print_Area</vt:lpstr>
      <vt:lpstr>'数据-汇总表'!Print_Area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2017-07-17T07:29:23Z</cp:lastPrinted>
  <dcterms:created xsi:type="dcterms:W3CDTF">2015-07-13T07:17:23Z</dcterms:created>
  <dcterms:modified xsi:type="dcterms:W3CDTF">2017-08-04T08:25:52Z</dcterms:modified>
</cp:coreProperties>
</file>