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恒远恒信\"/>
    </mc:Choice>
  </mc:AlternateContent>
  <bookViews>
    <workbookView xWindow="-105" yWindow="-105" windowWidth="23250" windowHeight="12570" tabRatio="885" firstSheet="14"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2"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R47" i="21"/>
  <c r="R48" i="21"/>
  <c r="G47" i="21"/>
  <c r="T47" i="21"/>
  <c r="T48" i="21"/>
  <c r="I47" i="21"/>
  <c r="V47" i="21"/>
  <c r="V48" i="21"/>
  <c r="R49" i="21"/>
  <c r="C49" i="21"/>
  <c r="B3" i="21"/>
  <c r="C20" i="9"/>
  <c r="F4" i="61"/>
  <c r="I1" i="61"/>
  <c r="B30" i="1"/>
  <c r="F11" i="15"/>
  <c r="C10" i="15"/>
  <c r="C5" i="15"/>
  <c r="D5" i="61"/>
  <c r="K1" i="61"/>
  <c r="D4" i="61"/>
  <c r="G1" i="61"/>
  <c r="E27" i="1"/>
  <c r="F24" i="15"/>
  <c r="C23" i="15"/>
  <c r="C24" i="15"/>
  <c r="C29" i="15"/>
  <c r="C36" i="15"/>
  <c r="C13" i="15"/>
  <c r="C37" i="15"/>
  <c r="C38" i="15"/>
  <c r="C30" i="15"/>
  <c r="C39" i="15"/>
  <c r="C40" i="15"/>
  <c r="B3" i="15"/>
  <c r="D20" i="9"/>
  <c r="C17" i="9"/>
  <c r="D17" i="9"/>
  <c r="C18" i="9"/>
  <c r="D18" i="9"/>
  <c r="G20" i="9"/>
  <c r="C2" i="21"/>
  <c r="B2" i="21"/>
  <c r="C19" i="9"/>
  <c r="C2" i="15"/>
  <c r="B2" i="15"/>
  <c r="D19" i="9"/>
  <c r="G19" i="9"/>
  <c r="I5" i="21"/>
  <c r="G5" i="21"/>
  <c r="E5" i="21"/>
  <c r="I37" i="21"/>
  <c r="G37" i="21"/>
  <c r="E37" i="21"/>
  <c r="C37" i="21"/>
  <c r="E20" i="1"/>
  <c r="H19" i="1"/>
  <c r="E91" i="21"/>
  <c r="F91" i="21"/>
  <c r="G91" i="21"/>
  <c r="D91" i="21"/>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C32" i="9"/>
  <c r="I121" i="9"/>
  <c r="H121" i="9"/>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8"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C24" i="43"/>
  <c r="E14" i="62"/>
  <c r="D109" i="57"/>
  <c r="I111" i="57"/>
  <c r="D128" i="57"/>
  <c r="G14" i="62"/>
  <c r="B6" i="62"/>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C6" i="62"/>
  <c r="D6" i="62"/>
  <c r="D130" i="57"/>
  <c r="I102" i="9"/>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C31" i="15"/>
  <c r="L47" i="15"/>
  <c r="F6" i="61"/>
  <c r="E2" i="36"/>
  <c r="F5" i="61"/>
  <c r="H23" i="31"/>
  <c r="D7"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B2" i="36"/>
  <c r="B3" i="36"/>
  <c r="D101" i="9"/>
  <c r="D102" i="9"/>
  <c r="B2" i="34"/>
  <c r="B3" i="34"/>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33" i="15"/>
  <c r="C58" i="15"/>
  <c r="J14" i="15"/>
  <c r="J60" i="15"/>
  <c r="J61" i="15"/>
  <c r="Q47" i="15"/>
  <c r="C56" i="11"/>
  <c r="C57" i="11"/>
  <c r="B2" i="11"/>
  <c r="B3" i="11"/>
  <c r="B3" i="12"/>
  <c r="C57" i="15"/>
  <c r="C66" i="15"/>
  <c r="J34" i="15"/>
  <c r="Q68" i="15"/>
  <c r="C65" i="15"/>
  <c r="C62" i="15"/>
  <c r="C60"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D39" i="50"/>
  <c r="D40" i="50"/>
  <c r="D106" i="9"/>
  <c r="D114" i="9"/>
  <c r="D107" i="9"/>
  <c r="D115" i="9"/>
  <c r="D41" i="50"/>
  <c r="B63" i="60"/>
  <c r="I113" i="9"/>
  <c r="D20" i="50"/>
  <c r="D128" i="9"/>
  <c r="D11" i="52"/>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<sst xmlns="http://schemas.openxmlformats.org/spreadsheetml/2006/main" count="6888" uniqueCount="2905">
  <si>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</si>
  <si>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</si>
  <si>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</si>
  <si>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</si>
  <si>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</si>
  <si>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</si>
  <si>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</si>
  <si>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</si>
  <si>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</si>
  <si>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</si>
  <si>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</si>
  <si>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</si>
  <si>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</si>
  <si>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</si>
  <si>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</si>
  <si>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</si>
  <si>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</si>
  <si>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</si>
  <si>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</si>
  <si>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</si>
  <si>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</si>
  <si>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</si>
  <si>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</si>
  <si>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</si>
  <si>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</si>
  <si>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</si>
  <si>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</si>
  <si>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</si>
  <si>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</si>
  <si>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</si>
  <si>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</si>
  <si>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</si>
  <si>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</si>
  <si>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</si>
  <si>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</si>
  <si>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</si>
  <si>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</si>
  <si>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</si>
  <si>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</si>
  <si>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</si>
  <si>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</si>
  <si>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</si>
  <si>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</si>
  <si>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</si>
  <si>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</si>
  <si>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</si>
  <si>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</si>
  <si>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</si>
  <si>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</si>
  <si>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</si>
  <si>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</si>
  <si>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</si>
  <si>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</si>
  <si>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</si>
  <si>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</si>
  <si>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</si>
  <si>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</si>
  <si>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</si>
  <si>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</si>
  <si>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</si>
  <si>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</si>
  <si>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</si>
  <si>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</si>
  <si>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</si>
  <si>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</si>
  <si>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</si>
  <si>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</si>
  <si>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</si>
  <si>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</si>
  <si>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</si>
  <si>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</si>
  <si>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</si>
  <si>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</si>
  <si>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</si>
  <si>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</si>
  <si>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</si>
  <si>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</si>
  <si>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</si>
  <si>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</si>
  <si>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</si>
  <si>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</si>
  <si>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</si>
  <si>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</si>
  <si>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</si>
  <si>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</si>
  <si>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</si>
  <si>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</si>
  <si>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</si>
  <si>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</si>
  <si>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</si>
  <si>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</si>
  <si>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</si>
  <si>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</si>
  <si>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</si>
  <si>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</si>
  <si>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</si>
  <si>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</si>
  <si>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</si>
  <si>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</si>
  <si>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</si>
  <si>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</si>
  <si>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</si>
  <si>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</si>
  <si>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</si>
  <si>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</si>
  <si>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</si>
  <si>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</si>
  <si>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</si>
  <si>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</si>
  <si>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</si>
  <si>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</si>
  <si>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</si>
  <si>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</si>
  <si>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</si>
  <si>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</si>
  <si>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</si>
  <si>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</si>
  <si>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</si>
  <si>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</si>
  <si>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</si>
  <si>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</si>
  <si>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</si>
  <si>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</si>
  <si>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</si>
  <si>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</si>
  <si>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</si>
  <si>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</si>
  <si>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</si>
  <si>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</si>
  <si>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</si>
  <si>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</si>
  <si>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</si>
  <si>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</si>
  <si>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</si>
  <si>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</si>
  <si>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</si>
  <si>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</si>
  <si>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</si>
  <si>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</si>
  <si>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</si>
  <si>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</si>
  <si>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</si>
  <si>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</si>
  <si>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</si>
  <si>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</si>
  <si>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</si>
  <si>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</si>
  <si>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</si>
  <si>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</si>
  <si>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</si>
  <si>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</si>
  <si>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</si>
  <si>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</si>
  <si>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</si>
  <si>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</si>
  <si>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</si>
  <si>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</si>
  <si>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</si>
  <si>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</si>
  <si>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</si>
  <si>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</si>
  <si>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</si>
  <si>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</si>
  <si>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</si>
  <si>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</si>
  <si>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</si>
  <si>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</si>
  <si>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</si>
  <si>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</si>
  <si>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</si>
  <si>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</si>
  <si>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</si>
  <si>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</si>
  <si>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</si>
  <si>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</si>
  <si>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</si>
  <si>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</si>
  <si>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</si>
  <si>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</si>
  <si>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</si>
  <si>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</si>
  <si>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</si>
  <si>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</si>
  <si>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</si>
  <si>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</si>
  <si>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</si>
  <si>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</si>
  <si>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</si>
  <si>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</si>
  <si>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</si>
  <si>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</si>
  <si>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</si>
  <si>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</si>
  <si>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</si>
  <si>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</si>
  <si>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</si>
  <si>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</si>
  <si>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</si>
  <si>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</si>
  <si>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</si>
  <si>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</si>
  <si>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</si>
  <si>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</si>
  <si>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</si>
  <si>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</si>
  <si>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</si>
  <si>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</si>
  <si>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</si>
  <si>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</si>
  <si>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</si>
  <si>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</si>
  <si>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</si>
  <si>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</si>
  <si>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</si>
  <si>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</si>
  <si>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</si>
  <si>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</si>
  <si>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</si>
  <si>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</si>
  <si>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</si>
  <si>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</si>
  <si>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</si>
  <si>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</si>
  <si>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</si>
  <si>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</si>
  <si>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</si>
  <si>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</si>
  <si>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</si>
  <si>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</si>
  <si>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</si>
  <si>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</si>
  <si>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</si>
  <si>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</si>
  <si>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</si>
  <si>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</si>
  <si>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</si>
  <si>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</si>
  <si>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</si>
  <si>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</si>
  <si>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</si>
  <si>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</si>
  <si>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</si>
  <si>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</si>
  <si>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</si>
  <si>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</si>
  <si>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</si>
  <si>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</si>
  <si>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</si>
  <si>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</si>
  <si>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</si>
  <si>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</si>
  <si>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</si>
  <si>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</si>
  <si>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</si>
  <si>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</si>
  <si>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</si>
  <si>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</si>
  <si>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</si>
  <si>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</si>
  <si>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</si>
  <si>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</si>
  <si>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</si>
  <si>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</si>
  <si>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</si>
  <si>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</si>
  <si>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</si>
  <si>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</si>
  <si>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</si>
  <si>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</si>
  <si>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</si>
  <si>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</si>
  <si>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</si>
  <si>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</si>
  <si>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</si>
  <si>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</si>
  <si>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</si>
  <si>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</si>
  <si>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</si>
  <si>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</si>
  <si>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</si>
  <si>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</si>
  <si>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</si>
  <si>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</si>
  <si>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</si>
  <si>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</si>
  <si>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</si>
  <si>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</si>
  <si>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</si>
  <si>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</si>
  <si>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</si>
  <si>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</si>
  <si>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</si>
  <si>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</si>
  <si>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</si>
  <si>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</si>
  <si>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</si>
  <si>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</si>
  <si>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</si>
  <si>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</si>
  <si>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</si>
  <si>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</si>
  <si>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</si>
  <si>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</si>
  <si>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</si>
  <si>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</si>
  <si>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</si>
  <si>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</si>
  <si>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</si>
  <si>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</si>
  <si>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</si>
  <si>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</si>
  <si>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</si>
  <si>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</si>
  <si>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</si>
  <si>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</si>
  <si>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</si>
  <si>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</si>
  <si>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</si>
  <si>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</si>
  <si>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</si>
  <si>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</si>
  <si>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</si>
  <si>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</si>
  <si>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</si>
  <si>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</si>
  <si>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</si>
  <si>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</si>
  <si>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</si>
  <si>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</si>
  <si>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</si>
  <si>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</si>
  <si>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</si>
  <si>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</si>
  <si>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</si>
  <si>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</si>
  <si>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</si>
  <si>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</si>
  <si>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</si>
  <si>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</si>
  <si>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</si>
  <si>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</si>
  <si>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</si>
  <si>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</si>
  <si>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</si>
  <si>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</si>
  <si>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</si>
  <si>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</si>
  <si>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</si>
  <si>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</si>
  <si>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</si>
  <si>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</si>
  <si>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</si>
  <si>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</si>
  <si>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</si>
  <si>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</si>
  <si>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</si>
  <si>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</si>
  <si>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</si>
  <si>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</si>
  <si>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</si>
  <si>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</si>
  <si>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</si>
  <si>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</si>
  <si>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</si>
  <si>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</si>
  <si>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</si>
  <si>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</si>
  <si>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</si>
  <si>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</si>
  <si>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</si>
  <si>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</si>
  <si>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</si>
  <si>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</si>
  <si>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</si>
  <si>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</si>
  <si>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</si>
  <si>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</si>
  <si>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</si>
  <si>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</si>
  <si>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</si>
  <si>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</si>
  <si>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</si>
  <si>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</si>
  <si>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</si>
  <si>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</si>
  <si>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</si>
  <si>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</si>
  <si>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</si>
  <si>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</si>
  <si>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</si>
  <si>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</si>
  <si>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</si>
  <si>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</si>
  <si>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</si>
  <si>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</si>
  <si>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</si>
  <si>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</si>
  <si>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</si>
  <si>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</si>
  <si>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</si>
  <si>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</si>
  <si>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</si>
  <si>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</si>
  <si>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</si>
  <si>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</si>
  <si>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</si>
  <si>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</si>
  <si>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</si>
  <si>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</si>
  <si>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</si>
  <si>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</si>
  <si>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</si>
  <si>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</si>
  <si>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</si>
  <si>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</si>
  <si>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</si>
  <si>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</si>
  <si>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</si>
  <si>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</si>
  <si>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</si>
  <si>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</si>
  <si>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</si>
  <si>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</si>
  <si>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</si>
  <si>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</si>
  <si>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</si>
  <si>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</si>
  <si>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</si>
  <si>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</si>
  <si>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</si>
  <si>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</si>
  <si>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</si>
  <si>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</si>
  <si>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</si>
  <si>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</si>
  <si>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</si>
  <si>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</si>
  <si>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</si>
  <si>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</si>
  <si>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</si>
  <si>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</si>
  <si>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</si>
  <si>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</si>
  <si>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</si>
  <si>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</si>
  <si>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</si>
  <si>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</si>
  <si>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</si>
  <si>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</si>
  <si>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</si>
  <si>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</si>
  <si>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</si>
  <si>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</si>
  <si>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</si>
  <si>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</si>
  <si>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</si>
  <si>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</si>
  <si>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</si>
  <si>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</si>
  <si>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</si>
  <si>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</si>
  <si>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</si>
  <si>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</si>
  <si>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</si>
  <si>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</si>
  <si>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</si>
  <si>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</si>
  <si>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</si>
  <si>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</si>
  <si>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</si>
  <si>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</si>
  <si>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</si>
  <si>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</si>
  <si>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</si>
  <si>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</si>
  <si>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</si>
  <si>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</si>
  <si>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</si>
  <si>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</si>
  <si>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</si>
  <si>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</si>
  <si>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</si>
  <si>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</si>
  <si>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</si>
  <si>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</si>
  <si>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</si>
  <si>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</si>
  <si>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</si>
  <si>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</si>
  <si>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</si>
  <si>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</si>
  <si>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</si>
  <si>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</si>
  <si>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</si>
  <si>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</si>
  <si>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</si>
  <si>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</si>
  <si>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</si>
  <si>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</si>
  <si>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</si>
  <si>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</si>
  <si>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</si>
  <si>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</si>
  <si>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</si>
  <si>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</si>
  <si>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</si>
  <si>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</si>
  <si>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</si>
  <si>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</si>
  <si>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</si>
  <si>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</si>
  <si>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</si>
  <si>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</si>
  <si>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</si>
  <si>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</si>
  <si>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</si>
  <si>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</si>
  <si>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</si>
  <si>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</si>
  <si>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</si>
  <si>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</si>
  <si>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</si>
  <si>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</si>
  <si>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</si>
  <si>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</si>
  <si>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</si>
  <si>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</si>
  <si>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</si>
  <si>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</si>
  <si>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</si>
  <si>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</si>
  <si>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</si>
  <si>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</si>
  <si>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</si>
  <si>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</si>
  <si>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</si>
  <si>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</si>
  <si>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</si>
  <si>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</si>
  <si>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</si>
  <si>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</si>
  <si>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</si>
  <si>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</si>
  <si>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</si>
  <si>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</si>
  <si>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</si>
  <si>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</si>
  <si>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</si>
  <si>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</si>
  <si>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</si>
  <si>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</si>
  <si>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</si>
  <si>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</si>
  <si>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</si>
  <si>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</si>
  <si>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</si>
  <si>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</si>
  <si>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</si>
  <si>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</si>
  <si>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</si>
  <si>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</si>
  <si>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</si>
  <si>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</si>
  <si>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</si>
  <si>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</si>
  <si>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</si>
  <si>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</si>
  <si>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</si>
  <si>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</si>
  <si>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</si>
  <si>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</si>
  <si>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</si>
  <si>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</si>
  <si>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</si>
  <si>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</si>
  <si>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</si>
  <si>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</si>
  <si>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</si>
  <si>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</si>
  <si>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</si>
  <si>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</si>
  <si>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</si>
  <si>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</si>
  <si>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</si>
  <si>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</si>
  <si>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</si>
  <si>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</si>
  <si>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</si>
  <si>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</si>
  <si>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</si>
  <si>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</si>
  <si>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</si>
  <si>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</si>
  <si>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</si>
  <si>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</si>
  <si>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</si>
  <si>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</si>
  <si>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</si>
  <si>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</si>
  <si>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</si>
  <si>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</si>
  <si>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</si>
  <si>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</si>
  <si>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</si>
  <si>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</si>
  <si>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</si>
  <si>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</si>
  <si>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</si>
  <si>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</si>
  <si>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</si>
  <si>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</si>
  <si>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</si>
  <si>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</si>
  <si>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</si>
  <si>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</si>
  <si>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</si>
  <si>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</si>
  <si>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</si>
  <si>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</si>
  <si>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</si>
  <si>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</si>
  <si>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</si>
  <si>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</si>
  <si>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</si>
  <si>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</si>
  <si>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</si>
  <si>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</si>
  <si>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</si>
  <si>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</si>
  <si>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</si>
  <si>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</si>
  <si>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</si>
  <si>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</si>
  <si>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</si>
  <si>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</si>
  <si>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</si>
  <si>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</si>
  <si>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</si>
  <si>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</si>
  <si>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</si>
  <si>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</si>
  <si>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</si>
  <si>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</si>
  <si>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</si>
  <si>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</si>
  <si>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</si>
  <si>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</si>
  <si>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</si>
  <si>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</si>
  <si>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</si>
  <si>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</si>
  <si>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</si>
  <si>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</si>
  <si>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</si>
  <si>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</si>
  <si>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</si>
  <si>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</si>
  <si>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</si>
  <si>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</si>
  <si>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</si>
  <si>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</si>
  <si>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</si>
  <si>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</si>
  <si>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</si>
  <si>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</si>
  <si>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</si>
  <si>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</si>
  <si>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</si>
  <si>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</si>
  <si>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</si>
  <si>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</si>
  <si>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</si>
  <si>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</si>
  <si>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</si>
  <si>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</si>
  <si>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</si>
  <si>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</si>
  <si>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</si>
  <si>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</si>
  <si>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</si>
  <si>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</si>
  <si>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</si>
  <si>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</si>
  <si>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</si>
  <si>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</si>
  <si>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</si>
  <si>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</si>
  <si>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</si>
  <si>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</si>
  <si>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</si>
  <si>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</si>
  <si>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</si>
  <si>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</si>
  <si>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</si>
  <si>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</si>
  <si>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</si>
  <si>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</si>
  <si>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</si>
  <si>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</si>
  <si>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</si>
  <si>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</si>
  <si>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</si>
  <si>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</si>
  <si>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</si>
  <si>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</si>
  <si>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</si>
  <si>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</si>
  <si>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</si>
  <si>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</si>
  <si>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</si>
  <si>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</si>
  <si>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</si>
  <si>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</si>
  <si>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</si>
  <si>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</si>
  <si>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</si>
  <si>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</si>
  <si>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</si>
  <si>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</si>
  <si>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</si>
  <si>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</si>
  <si>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</si>
  <si>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</si>
  <si>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</si>
  <si>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</si>
  <si>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</si>
  <si>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</si>
  <si>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</si>
  <si>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</si>
  <si>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</si>
  <si>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</si>
  <si>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</si>
  <si>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</si>
  <si>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</si>
  <si>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</si>
  <si>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</si>
  <si>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</si>
  <si>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</si>
  <si>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</si>
  <si>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</si>
  <si>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</si>
  <si>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</si>
  <si>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</si>
  <si>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</si>
  <si>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</si>
  <si>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</si>
  <si>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</si>
  <si>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</si>
  <si>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</si>
  <si>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</si>
  <si>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</si>
  <si>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</si>
  <si>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</si>
  <si>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</si>
  <si>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</si>
  <si>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</si>
  <si>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</si>
  <si>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</si>
  <si>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</si>
  <si>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</si>
  <si>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</si>
  <si>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</si>
  <si>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</si>
  <si>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</si>
  <si>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</si>
  <si>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</si>
  <si>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</si>
  <si>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</si>
  <si>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</si>
  <si>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</si>
  <si>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</si>
  <si>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</si>
  <si>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</si>
  <si>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</si>
  <si>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</si>
  <si>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</si>
  <si>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</si>
  <si>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</si>
  <si>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</si>
  <si>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</si>
  <si>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</si>
  <si>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</si>
  <si>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</si>
  <si>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</si>
  <si>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</si>
  <si>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</si>
  <si>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</si>
  <si>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</si>
  <si>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</si>
  <si>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</si>
  <si>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</si>
  <si>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</si>
  <si>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</si>
  <si>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</si>
  <si>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</si>
  <si>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</si>
  <si>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</si>
  <si>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</si>
  <si>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</si>
  <si>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</si>
  <si>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</si>
  <si>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</si>
  <si>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</si>
  <si>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</si>
  <si>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</si>
  <si>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</si>
  <si>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</si>
  <si>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</si>
  <si>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</si>
  <si>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</si>
  <si>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</si>
  <si>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</si>
  <si>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</si>
  <si>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</si>
  <si>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</si>
  <si>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</si>
  <si>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</si>
  <si>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</si>
  <si>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</si>
  <si>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</si>
  <si>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</si>
  <si>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</si>
  <si>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</si>
  <si>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</si>
  <si>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</si>
  <si>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</si>
  <si>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</si>
  <si>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</si>
  <si>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</si>
  <si>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</si>
  <si>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</si>
  <si>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</si>
  <si>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</si>
  <si>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</si>
  <si>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</si>
  <si>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</si>
  <si>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</si>
  <si>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</si>
  <si>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</si>
  <si>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</si>
  <si>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</si>
  <si>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</si>
  <si>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</si>
  <si>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</si>
  <si>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</si>
  <si>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</si>
  <si>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</si>
  <si>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</si>
  <si>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</si>
  <si>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</si>
  <si>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</si>
  <si>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</si>
  <si>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</si>
  <si>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</si>
  <si>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</si>
  <si>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</si>
  <si>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</si>
  <si>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</si>
  <si>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</si>
  <si>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</si>
  <si>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</si>
  <si>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</si>
  <si>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</si>
  <si>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</si>
  <si>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</si>
  <si>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</si>
  <si>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</si>
  <si>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</si>
  <si>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</si>
  <si>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</si>
  <si>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</si>
  <si>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</si>
  <si>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</si>
  <si>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</si>
  <si>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</si>
  <si>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</si>
  <si>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</si>
  <si>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</si>
  <si>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</si>
  <si>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</si>
  <si>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</si>
  <si>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</si>
  <si>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</si>
  <si>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</si>
  <si>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</si>
  <si>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</si>
  <si>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</si>
  <si>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</si>
  <si>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</si>
  <si>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</si>
  <si>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</si>
  <si>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</si>
  <si>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</si>
  <si>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</si>
  <si>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</si>
  <si>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</si>
  <si>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</si>
  <si>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</si>
  <si>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</si>
  <si>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</si>
  <si>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</si>
  <si>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</si>
  <si>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</si>
  <si>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</si>
  <si>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</si>
  <si>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</si>
  <si>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</si>
  <si>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</si>
  <si>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</si>
  <si>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</si>
  <si>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</si>
  <si>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</si>
  <si>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</si>
  <si>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</si>
  <si>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</si>
  <si>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</si>
  <si>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</si>
  <si>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</si>
  <si>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</si>
  <si>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</si>
  <si>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</si>
  <si>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</si>
  <si>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</si>
  <si>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</si>
  <si>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</si>
  <si>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</si>
  <si>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</si>
  <si>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</si>
  <si>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</si>
  <si>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</si>
  <si>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</si>
  <si>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</si>
  <si>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</si>
  <si>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</si>
  <si>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</si>
  <si>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</si>
  <si>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</si>
  <si>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</si>
  <si>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</si>
  <si>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</si>
  <si>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</si>
  <si>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</si>
  <si>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</si>
  <si>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</si>
  <si>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</si>
  <si>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</si>
  <si>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</si>
  <si>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</si>
  <si>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</si>
  <si>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</si>
  <si>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</si>
  <si>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</si>
  <si>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</si>
  <si>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</si>
  <si>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</si>
  <si>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</si>
  <si>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</si>
  <si>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</si>
  <si>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</si>
  <si>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</si>
  <si>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</si>
  <si>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</si>
  <si>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</si>
  <si>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</si>
  <si>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</si>
  <si>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</si>
  <si>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</si>
  <si>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</si>
  <si>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</si>
  <si>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</si>
  <si>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</si>
  <si>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</si>
  <si>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</si>
  <si>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</si>
  <si>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</si>
  <si>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</si>
  <si>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</si>
  <si>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</si>
  <si>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</si>
  <si>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</si>
  <si>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</si>
  <si>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</si>
  <si>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</si>
  <si>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</si>
  <si>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</si>
  <si>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</si>
  <si>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</si>
  <si>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</si>
  <si>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</si>
  <si>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</si>
  <si>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</si>
  <si>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</si>
  <si>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</si>
  <si>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</si>
  <si>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</si>
  <si>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</si>
  <si>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</si>
  <si>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</si>
  <si>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</si>
  <si>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</si>
  <si>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</si>
  <si>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</si>
  <si>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</si>
  <si>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</si>
  <si>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</si>
  <si>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</si>
  <si>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</si>
  <si>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</si>
  <si>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</si>
  <si>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</si>
  <si>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</si>
  <si>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</si>
  <si>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</si>
  <si>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</si>
  <si>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</si>
  <si>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</si>
  <si>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</si>
  <si>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</si>
  <si>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</si>
  <si>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</si>
  <si>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</si>
  <si>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</si>
  <si>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</si>
  <si>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</si>
  <si>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</si>
  <si>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</si>
  <si>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</si>
  <si>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</si>
  <si>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</si>
  <si>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</si>
  <si>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</si>
  <si>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</si>
  <si>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</si>
  <si>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</si>
  <si>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</si>
  <si>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</si>
  <si>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</si>
  <si>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</si>
  <si>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</si>
  <si>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</si>
  <si>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</si>
  <si>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</si>
  <si>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</si>
  <si>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</si>
  <si>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</si>
  <si>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</si>
  <si>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</si>
  <si>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</si>
  <si>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</si>
  <si>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</si>
  <si>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</si>
  <si>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</si>
  <si>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</si>
  <si>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</si>
  <si>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</si>
  <si>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</si>
  <si>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</si>
  <si>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</si>
  <si>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</si>
  <si>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</si>
  <si>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</si>
  <si>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</si>
  <si>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</si>
  <si>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</si>
  <si>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</si>
  <si>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</si>
  <si>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</si>
  <si>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</si>
  <si>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</si>
  <si>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</si>
  <si>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</si>
  <si>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</si>
  <si>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</si>
  <si>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</si>
  <si>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</si>
  <si>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</si>
  <si>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</si>
  <si>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</si>
  <si>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</si>
  <si>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</si>
  <si>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</si>
  <si>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</si>
  <si>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</si>
  <si>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</si>
  <si>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</si>
  <si>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</si>
  <si>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</si>
  <si>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</si>
  <si>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</si>
  <si>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</si>
  <si>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</si>
  <si>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</si>
  <si>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</si>
  <si>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</si>
  <si>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</si>
  <si>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</si>
  <si>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</si>
  <si>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</si>
  <si>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</si>
  <si>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</si>
  <si>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</si>
  <si>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</si>
  <si>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</si>
  <si>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</si>
  <si>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</si>
  <si>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</si>
  <si>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</si>
  <si>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</si>
  <si>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</si>
  <si>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</si>
  <si>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</si>
  <si>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</si>
  <si>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</si>
  <si>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</si>
  <si>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</si>
  <si>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</si>
  <si>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</si>
  <si>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</si>
  <si>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</si>
  <si>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</si>
  <si>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</si>
  <si>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</si>
  <si>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</si>
  <si>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</si>
  <si>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</si>
  <si>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</si>
  <si>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</si>
  <si>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</si>
  <si>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</si>
  <si>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</si>
  <si>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</si>
  <si>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</si>
  <si>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</si>
  <si>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</si>
  <si>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</si>
  <si>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</si>
  <si>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</si>
  <si>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</si>
  <si>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</si>
  <si>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</si>
  <si>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</si>
  <si>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</si>
  <si>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</si>
  <si>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</si>
  <si>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</si>
  <si>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</si>
  <si>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</si>
  <si>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</si>
  <si>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</si>
  <si>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</si>
  <si>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</si>
  <si>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</si>
  <si>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</si>
  <si>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</si>
  <si>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</si>
  <si>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</si>
  <si>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</si>
  <si>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</si>
  <si>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</si>
  <si>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</si>
  <si>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</si>
  <si>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</si>
  <si>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</si>
  <si>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</si>
  <si>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</si>
  <si>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</si>
  <si>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</si>
  <si>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</si>
  <si>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</si>
  <si>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</si>
  <si>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</si>
  <si>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</si>
  <si>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</si>
  <si>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</si>
  <si>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</si>
  <si>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</si>
  <si>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</si>
  <si>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</si>
  <si>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</si>
  <si>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</si>
  <si>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</si>
  <si>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</si>
  <si>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</si>
  <si>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</si>
  <si>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</si>
  <si>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</si>
  <si>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</si>
  <si>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</si>
  <si>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</si>
  <si>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</si>
  <si>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</si>
  <si>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</si>
  <si>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</si>
  <si>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</si>
  <si>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</si>
  <si>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</si>
  <si>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</si>
  <si>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</si>
  <si>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</si>
  <si>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</si>
  <si>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</si>
  <si>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</si>
  <si>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</si>
  <si>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</si>
  <si>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</si>
  <si>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</si>
  <si>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</si>
  <si>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</si>
  <si>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</si>
  <si>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</si>
  <si>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</si>
  <si>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</si>
  <si>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</si>
  <si>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</si>
  <si>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</si>
  <si>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</si>
  <si>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</si>
  <si>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</si>
  <si>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</si>
  <si>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</si>
  <si>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</si>
  <si>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</si>
  <si>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</si>
  <si>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</si>
  <si>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</si>
  <si>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</si>
  <si>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</si>
  <si>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</si>
  <si>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</si>
  <si>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</si>
  <si>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</si>
  <si>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</si>
  <si>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</si>
  <si>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</si>
  <si>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</si>
  <si>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</si>
  <si>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</si>
  <si>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</si>
  <si>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</si>
  <si>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</si>
  <si>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</si>
  <si>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</si>
  <si>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</si>
  <si>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</si>
  <si>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</si>
  <si>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</si>
  <si>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</si>
  <si>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</si>
  <si>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</si>
  <si>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</si>
  <si>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</si>
  <si>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</si>
  <si>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</si>
  <si>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</si>
  <si>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</si>
  <si>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</si>
  <si>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</si>
  <si>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</si>
  <si>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</si>
  <si>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</si>
  <si>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</si>
  <si>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</si>
  <si>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</si>
  <si>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</si>
  <si>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</si>
  <si>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</si>
  <si>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</si>
  <si>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</si>
  <si>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</si>
  <si>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</si>
  <si>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</si>
  <si>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</si>
  <si>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</si>
  <si>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</si>
  <si>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</si>
  <si>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</si>
  <si>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</si>
  <si>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</si>
  <si>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</si>
  <si>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</si>
  <si>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</si>
  <si>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</si>
  <si>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</si>
  <si>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</si>
  <si>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</si>
  <si>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</si>
  <si>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</si>
  <si>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</si>
  <si>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</si>
  <si>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</si>
  <si>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</si>
  <si>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</si>
  <si>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</si>
  <si>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</si>
  <si>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</si>
  <si>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</si>
  <si>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</si>
  <si>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</si>
  <si>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</si>
  <si>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</si>
  <si>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</si>
  <si>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</si>
  <si>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</si>
  <si>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</si>
  <si>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</si>
  <si>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</si>
  <si>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</si>
  <si>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</si>
  <si>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</si>
  <si>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</si>
  <si>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</si>
  <si>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</si>
  <si>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</si>
  <si>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</si>
  <si>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</si>
  <si>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</si>
  <si>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</si>
  <si>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</si>
  <si>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</si>
  <si>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</si>
  <si>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</si>
  <si>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</si>
  <si>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</si>
  <si>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</si>
  <si>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</si>
  <si>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</si>
  <si>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</si>
  <si>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</si>
  <si>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</si>
  <si>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</si>
  <si>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</si>
  <si>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</si>
  <si>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</si>
  <si>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</si>
  <si>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</si>
  <si>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</si>
  <si>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</si>
  <si>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</si>
  <si>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</si>
  <si>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</si>
  <si>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</si>
  <si>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</si>
  <si>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</si>
  <si>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</si>
  <si>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</si>
  <si>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</si>
  <si>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</si>
  <si>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</si>
  <si>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</si>
  <si>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</si>
  <si>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</si>
  <si>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</si>
  <si>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</si>
  <si>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</si>
  <si>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</si>
  <si>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</si>
  <si>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</si>
  <si>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</si>
  <si>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</si>
  <si>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</si>
  <si>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</si>
  <si>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</si>
  <si>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</si>
  <si>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</si>
  <si>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</si>
  <si>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</si>
  <si>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</si>
  <si>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</si>
  <si>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</si>
  <si>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</si>
  <si>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</si>
  <si>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</si>
  <si>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</si>
  <si>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</si>
  <si>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</si>
  <si>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</si>
  <si>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</si>
  <si>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</si>
  <si>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</si>
  <si>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</si>
  <si>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</si>
  <si>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</si>
  <si>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</si>
  <si>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</si>
  <si>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</si>
  <si>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</si>
  <si>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</si>
  <si>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</si>
  <si>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</si>
  <si>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</si>
  <si>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</si>
  <si>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</si>
  <si>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</si>
  <si>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</si>
  <si>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</si>
  <si>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</si>
  <si>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</si>
  <si>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</si>
  <si>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</si>
  <si>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</si>
  <si>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</si>
  <si>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</si>
  <si>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</si>
  <si>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</si>
  <si>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</si>
  <si>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</si>
  <si>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</si>
  <si>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</si>
  <si>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</si>
  <si>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</si>
  <si>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</si>
  <si>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</si>
  <si>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</si>
  <si>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</si>
  <si>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</si>
  <si>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</si>
  <si>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</si>
  <si>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</si>
  <si>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</si>
  <si>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</si>
  <si>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</si>
  <si>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</si>
  <si>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</si>
  <si>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</si>
  <si>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</si>
  <si>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</si>
  <si>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</si>
  <si>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</si>
  <si>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</si>
  <si>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</si>
  <si>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</si>
  <si>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</si>
  <si>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</si>
  <si>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</si>
  <si>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</si>
  <si>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</si>
  <si>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</si>
  <si>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</si>
  <si>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</si>
  <si>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</si>
  <si>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</si>
  <si>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</si>
  <si>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</si>
  <si>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</si>
  <si>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</si>
  <si>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</si>
  <si>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</si>
  <si>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</si>
  <si>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</si>
  <si>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</si>
  <si>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</si>
  <si>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</si>
  <si>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</si>
  <si>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</si>
  <si>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</si>
  <si>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</si>
  <si>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</si>
  <si>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</si>
  <si>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</si>
  <si>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</si>
  <si>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</si>
  <si>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</si>
  <si>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</si>
  <si>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</si>
  <si>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</si>
  <si>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</si>
  <si>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</si>
  <si>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</si>
  <si>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</si>
  <si>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</si>
  <si>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</si>
  <si>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</si>
  <si>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</si>
  <si>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</si>
  <si>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</si>
  <si>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</si>
  <si>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</si>
  <si>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</si>
  <si>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</si>
  <si>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</si>
  <si>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</si>
  <si>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</si>
  <si>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</si>
  <si>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</si>
  <si>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</si>
  <si>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</si>
  <si>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</si>
  <si>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</si>
  <si>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</si>
  <si>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</si>
  <si>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</si>
  <si>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</si>
  <si>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</si>
  <si>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</si>
  <si>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</si>
  <si>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</si>
  <si>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</si>
  <si>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</si>
  <si>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</si>
  <si>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</si>
  <si>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</si>
  <si>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</si>
  <si>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</si>
  <si>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</si>
  <si>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</si>
  <si>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</si>
  <si>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</si>
  <si>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</si>
  <si>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</si>
  <si>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</si>
  <si>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</si>
  <si>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</si>
  <si>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</si>
  <si>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</si>
  <si>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</si>
  <si>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</si>
  <si>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</si>
  <si>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</si>
  <si>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</si>
  <si>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</si>
  <si>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</si>
  <si>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</si>
  <si>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</si>
  <si>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</si>
  <si>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</si>
  <si>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</si>
  <si>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</si>
  <si>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</si>
  <si>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</si>
  <si>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</si>
  <si>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</si>
  <si>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</si>
  <si>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</si>
  <si>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</si>
  <si>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</si>
  <si>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</si>
  <si>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</si>
  <si>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</si>
  <si>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</si>
  <si>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</si>
  <si>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</si>
  <si>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</si>
  <si>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</si>
  <si>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</si>
  <si>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</si>
  <si>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</si>
  <si>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</si>
  <si>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</si>
  <si>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</si>
  <si>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</si>
  <si>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</si>
  <si>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</si>
  <si>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</si>
  <si>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</si>
  <si>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</si>
  <si>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</si>
  <si>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</si>
  <si>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</si>
  <si>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</si>
  <si>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</si>
  <si>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</si>
  <si>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</si>
  <si>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</si>
  <si>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</si>
  <si>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</si>
  <si>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</si>
  <si>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</si>
  <si>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</si>
  <si>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</si>
  <si>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</si>
  <si>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</si>
  <si>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</si>
  <si>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</si>
  <si>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</si>
  <si>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</si>
  <si>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</si>
  <si>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</si>
  <si>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</si>
  <si>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</si>
  <si>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</si>
  <si>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</si>
  <si>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</si>
  <si>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</si>
  <si>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</si>
  <si>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</si>
  <si>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</si>
  <si>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</si>
  <si>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</si>
  <si>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</si>
  <si>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</si>
  <si>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</si>
  <si>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</si>
  <si>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</si>
  <si>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</si>
  <si>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</si>
  <si>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</si>
  <si>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</si>
  <si>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</si>
  <si>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</si>
  <si>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</si>
  <si>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</si>
  <si>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</si>
  <si>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</si>
  <si>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</si>
  <si>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</si>
  <si>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</si>
  <si>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</si>
  <si>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</si>
  <si>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</si>
  <si>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</si>
  <si>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</si>
  <si>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</si>
  <si>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</si>
  <si>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</si>
  <si>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</si>
  <si>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</si>
  <si>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</si>
  <si>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</si>
  <si>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</si>
  <si>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</si>
  <si>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</si>
  <si>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</si>
  <si>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</si>
  <si>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</si>
  <si>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</si>
  <si>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</si>
  <si>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</si>
  <si>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</si>
  <si>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</si>
  <si>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</si>
  <si>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</si>
  <si>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</si>
  <si>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</si>
  <si>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</si>
  <si>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</si>
  <si>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</si>
  <si>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</si>
  <si>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</si>
  <si>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</si>
  <si>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</si>
  <si>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</si>
  <si>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</si>
  <si>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</si>
  <si>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</si>
  <si>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</si>
  <si>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</si>
  <si>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</si>
  <si>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</si>
  <si>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</si>
  <si>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</si>
  <si>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</si>
  <si>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</si>
  <si>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</si>
  <si>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</si>
  <si>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</si>
  <si>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</si>
  <si>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</si>
  <si>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</si>
  <si>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</si>
  <si>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</si>
  <si>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</si>
  <si>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</si>
  <si>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</si>
  <si>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</si>
  <si>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</si>
  <si>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</si>
  <si>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</si>
  <si>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</si>
  <si>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</si>
  <si>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</si>
  <si>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</si>
  <si>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</si>
  <si>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</si>
  <si>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</si>
  <si>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</si>
  <si>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</si>
  <si>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</si>
  <si>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</si>
  <si>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</si>
  <si>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</si>
  <si>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</si>
  <si>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</si>
  <si>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</si>
  <si>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</si>
  <si>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</si>
  <si>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</si>
  <si>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</si>
  <si>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</si>
  <si>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</si>
  <si>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</si>
  <si>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</si>
  <si>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</si>
  <si>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</si>
  <si>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</si>
  <si>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</si>
  <si>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</si>
  <si>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</si>
  <si>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</si>
  <si>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</si>
  <si>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</si>
  <si>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</si>
  <si>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</si>
  <si>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</si>
  <si>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</si>
  <si>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</si>
  <si>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</si>
  <si>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</si>
  <si>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</si>
  <si>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</si>
  <si>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</si>
  <si>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</si>
  <si>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</si>
  <si>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</si>
  <si>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</si>
  <si>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</si>
  <si>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</si>
  <si>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</si>
  <si>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</si>
  <si>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</si>
  <si>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</si>
  <si>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</si>
  <si>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</si>
  <si>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</si>
  <si>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</si>
  <si>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</si>
  <si>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</si>
  <si>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</si>
  <si>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</si>
  <si>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</si>
  <si>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</si>
  <si>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</si>
  <si>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</si>
  <si>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</si>
  <si>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</si>
  <si>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</si>
  <si>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</si>
  <si>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</si>
  <si>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</si>
  <si>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</si>
  <si>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</si>
  <si>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</si>
  <si>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</si>
  <si>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</si>
  <si>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</si>
  <si>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</si>
  <si>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</si>
  <si>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</si>
  <si>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</si>
  <si>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</si>
  <si>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</si>
  <si>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</si>
  <si>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</si>
  <si>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</si>
  <si>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</si>
  <si>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</si>
  <si>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</si>
  <si>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</si>
  <si>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</si>
  <si>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</si>
  <si>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</si>
  <si>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</si>
  <si>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</si>
  <si>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</si>
  <si>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</si>
  <si>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</si>
  <si>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</si>
  <si>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</si>
  <si>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</si>
  <si>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</si>
  <si>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</si>
  <si>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</si>
  <si>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</si>
  <si>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</si>
  <si>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</si>
  <si>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</si>
  <si>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</si>
  <si>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</si>
  <si>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</si>
  <si>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</si>
  <si>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</si>
  <si>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</si>
  <si>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</si>
  <si>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</si>
  <si>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</si>
  <si>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</si>
  <si>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</si>
  <si>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</si>
  <si>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</si>
  <si>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</si>
  <si>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</si>
  <si>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</si>
  <si>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</si>
  <si>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</si>
  <si>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</si>
  <si>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</si>
  <si>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</si>
  <si>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</si>
  <si>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</si>
  <si>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</si>
  <si>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</si>
  <si>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</si>
  <si>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</si>
  <si>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</si>
  <si>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</si>
  <si>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</si>
  <si>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</si>
  <si>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</si>
  <si>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</si>
  <si>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</si>
  <si>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</si>
  <si>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</si>
  <si>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</si>
  <si>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</si>
  <si>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</si>
  <si>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</si>
  <si>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</si>
  <si>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</si>
  <si>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</si>
  <si>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</si>
  <si>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</si>
  <si>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</si>
  <si>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</si>
  <si>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</si>
  <si>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</si>
  <si>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</si>
  <si>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</si>
  <si>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</si>
  <si>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</si>
  <si>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</si>
  <si>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</si>
  <si>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</si>
  <si>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</si>
  <si>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</si>
  <si>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</si>
  <si>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</si>
  <si>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</si>
  <si>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</si>
  <si>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</si>
  <si>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</si>
  <si>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</si>
  <si>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</si>
  <si>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</si>
  <si>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</si>
  <si>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</si>
  <si>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</si>
  <si>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</si>
  <si>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</si>
  <si>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</si>
  <si>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</si>
  <si>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</si>
  <si>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</si>
  <si>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</si>
  <si>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</si>
  <si>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</si>
  <si>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</si>
  <si>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</si>
  <si>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</si>
  <si>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</si>
  <si>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</si>
  <si>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</si>
  <si>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</si>
  <si>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</si>
  <si>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</si>
  <si>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</si>
  <si>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</si>
  <si>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</si>
  <si>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</si>
  <si>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</si>
  <si>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</si>
  <si>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</si>
  <si>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</si>
  <si>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</si>
  <si>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</si>
  <si>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</si>
  <si>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</si>
  <si>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</si>
  <si>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</si>
  <si>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</si>
  <si>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</si>
  <si>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</si>
  <si>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</si>
  <si>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</si>
  <si>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</si>
  <si>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</si>
  <si>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</si>
  <si>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</si>
  <si>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</si>
  <si>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</si>
  <si>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</si>
  <si>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</si>
  <si>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</si>
  <si>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</si>
  <si>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</si>
  <si>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</si>
  <si>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</si>
  <si>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</si>
  <si>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</si>
  <si>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</si>
  <si>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</si>
  <si>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</si>
  <si>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</si>
  <si>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</si>
  <si>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</si>
  <si>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</si>
  <si>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</si>
  <si>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</si>
  <si>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</si>
  <si>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</si>
  <si>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</si>
  <si>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</si>
  <si>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</si>
  <si>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</si>
  <si>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</si>
  <si>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</si>
  <si>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</si>
  <si>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</si>
  <si>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</si>
  <si>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</si>
  <si>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</si>
  <si>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</si>
  <si>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</si>
  <si>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</si>
  <si>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</si>
  <si>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</si>
  <si>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</si>
  <si>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</si>
  <si>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</si>
  <si>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</si>
  <si>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</si>
  <si>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</si>
  <si>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</si>
  <si>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</si>
  <si>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</si>
  <si>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</si>
  <si>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</si>
  <si>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</si>
  <si>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</si>
  <si>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</si>
  <si>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</si>
  <si>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</si>
  <si>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</si>
  <si>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</si>
  <si>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</si>
  <si>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</si>
  <si>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</si>
  <si>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</si>
  <si>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</si>
  <si>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</si>
  <si>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</si>
  <si>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</si>
  <si>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</si>
  <si>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</si>
  <si>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</si>
  <si>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</si>
  <si>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</si>
  <si>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</si>
  <si>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</si>
  <si>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</si>
  <si>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</si>
  <si>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</si>
  <si>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</si>
  <si>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</si>
  <si>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</si>
  <si>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</si>
  <si>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</si>
  <si>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</si>
  <si>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</si>
  <si>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</si>
  <si>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</si>
  <si>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</si>
  <si>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</si>
  <si>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</si>
  <si>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</si>
  <si>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</si>
  <si>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</si>
  <si>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</si>
  <si>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</si>
  <si>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</si>
  <si>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</si>
  <si>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</si>
  <si>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</si>
  <si>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</si>
  <si>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</si>
  <si>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</si>
  <si>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</si>
  <si>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</si>
  <si>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</si>
  <si>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</si>
  <si>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</si>
  <si>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</si>
  <si>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</si>
  <si>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</si>
  <si>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</si>
  <si>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</si>
  <si>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</si>
  <si>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</si>
  <si>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</si>
  <si>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</si>
  <si>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</si>
  <si>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</si>
  <si>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</si>
  <si>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</si>
  <si>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</si>
  <si>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</si>
  <si>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</si>
  <si>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</si>
  <si>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</si>
  <si>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</si>
  <si>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</si>
  <si>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</si>
  <si>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</si>
  <si>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</si>
  <si>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</si>
  <si>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</si>
  <si>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</si>
  <si>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</si>
  <si>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</si>
  <si>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</si>
  <si>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</si>
  <si>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</si>
  <si>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</si>
  <si>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</si>
  <si>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</si>
  <si>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</si>
  <si>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</si>
  <si>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</si>
  <si>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</si>
  <si>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</si>
  <si>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</si>
  <si>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</si>
  <si>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</si>
  <si>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</si>
  <si>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</si>
  <si>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</si>
  <si>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</si>
  <si>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</si>
  <si>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</si>
  <si>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</si>
  <si>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</si>
  <si>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</si>
  <si>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</si>
  <si>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</si>
  <si>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</si>
  <si>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</si>
  <si>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</si>
  <si>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</si>
  <si>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</si>
  <si>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</si>
  <si>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</si>
  <si>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</si>
  <si>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</si>
  <si>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</si>
  <si>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</si>
  <si>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</si>
  <si>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</si>
  <si>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</si>
  <si>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</si>
  <si>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</si>
  <si>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</si>
  <si>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</si>
  <si>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</si>
  <si>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</si>
  <si>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</si>
  <si>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</si>
  <si>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</si>
  <si>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</si>
  <si>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</si>
  <si>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</si>
  <si>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</si>
  <si>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</si>
  <si>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</si>
  <si>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</si>
  <si>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</si>
  <si>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</si>
  <si>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</si>
  <si>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</si>
  <si>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</si>
  <si>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</si>
  <si>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</si>
  <si>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</si>
  <si>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</si>
  <si>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</si>
  <si>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</si>
  <si>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</si>
  <si>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</si>
  <si>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</si>
  <si>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</si>
  <si>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</si>
  <si>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</si>
  <si>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</si>
  <si>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</si>
  <si>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</si>
  <si>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</si>
  <si>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</si>
  <si>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</si>
  <si>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</si>
  <si>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</si>
  <si>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</si>
  <si>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</si>
  <si>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</si>
  <si>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</si>
  <si>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</si>
  <si>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</si>
  <si>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</si>
  <si>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</si>
  <si>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</si>
  <si>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</si>
  <si>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</si>
  <si>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</si>
  <si>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</si>
  <si>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</si>
  <si>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</si>
  <si>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</si>
  <si>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</si>
  <si>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</si>
  <si>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</si>
  <si>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</si>
  <si>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</si>
  <si>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</si>
  <si>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</si>
  <si>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</si>
  <si>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</si>
  <si>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</si>
  <si>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</si>
  <si>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</si>
  <si>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</si>
  <si>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</si>
  <si>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</si>
  <si>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</si>
  <si>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</si>
  <si>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</si>
  <si>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</si>
  <si>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</si>
  <si>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</si>
  <si>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</si>
  <si>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</si>
  <si>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</si>
  <si>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</si>
  <si>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</si>
  <si>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</si>
  <si>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</si>
  <si>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</si>
  <si>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</si>
  <si>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</si>
  <si>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</si>
  <si>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</si>
  <si>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</si>
  <si>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</si>
  <si>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</si>
  <si>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</si>
  <si>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</si>
  <si>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</si>
  <si>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</si>
  <si>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</si>
  <si>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</si>
  <si>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</si>
  <si>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</si>
  <si>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</si>
  <si>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</si>
  <si>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</si>
  <si>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</si>
  <si>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</si>
  <si>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</si>
  <si>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</si>
  <si>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</si>
  <si>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</si>
  <si>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</si>
  <si>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</si>
  <si>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</si>
  <si>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</si>
  <si>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</si>
  <si>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</si>
  <si>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</si>
  <si>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</si>
  <si>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</si>
  <si>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</si>
  <si>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</si>
  <si>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</si>
  <si>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</si>
  <si>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</si>
  <si>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</si>
  <si>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</si>
  <si>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</si>
  <si>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</si>
  <si>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</si>
  <si>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</si>
  <si>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</si>
  <si>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</si>
  <si>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</si>
  <si>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</si>
  <si>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</si>
  <si>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</si>
  <si>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</si>
  <si>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</si>
  <si>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</si>
  <si>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</si>
  <si>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</si>
  <si>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</si>
  <si>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</si>
  <si>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</si>
  <si>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</si>
  <si>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</si>
  <si>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</si>
  <si>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</si>
  <si>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</si>
  <si>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</si>
  <si>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</si>
  <si>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</si>
  <si>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</si>
  <si>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</si>
  <si>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</si>
  <si>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</si>
  <si>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</si>
  <si>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</si>
  <si>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</si>
  <si>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</si>
  <si>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</si>
  <si>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</si>
  <si>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</si>
  <si>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</si>
  <si>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</si>
  <si>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</si>
  <si>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</si>
  <si>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</si>
  <si>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</si>
  <si>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</si>
  <si>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</si>
  <si>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</si>
  <si>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</si>
  <si>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</si>
  <si>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</si>
  <si>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</si>
  <si>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</si>
  <si>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</si>
  <si>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</si>
  <si>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</si>
  <si>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</si>
  <si>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</si>
  <si>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</si>
  <si>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</si>
  <si>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</si>
  <si>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</si>
  <si>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</si>
  <si>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</si>
  <si>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</si>
  <si>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</si>
  <si>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</si>
  <si>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</si>
  <si>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</si>
  <si>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</si>
  <si>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</si>
  <si>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</si>
  <si>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</si>
  <si>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</si>
  <si>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</si>
  <si>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</si>
  <si>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</si>
  <si>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</si>
  <si>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</si>
  <si>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</si>
  <si>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</si>
  <si>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</si>
  <si>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</si>
  <si>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</si>
  <si>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</si>
  <si>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</si>
  <si>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</si>
  <si>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</si>
  <si>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</si>
  <si>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</si>
  <si>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</si>
  <si>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</si>
  <si>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</si>
  <si>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</si>
  <si>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</si>
  <si>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</si>
  <si>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</si>
  <si>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</si>
  <si>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</si>
  <si>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</si>
  <si>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</si>
  <si>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</si>
  <si>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</si>
  <si>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</si>
  <si>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</si>
  <si>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</si>
  <si>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</si>
  <si>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</si>
  <si>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</si>
  <si>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</si>
  <si>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</si>
  <si>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</si>
  <si>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</si>
  <si>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</si>
  <si>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</si>
  <si>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</si>
  <si>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</si>
  <si>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</si>
  <si>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</si>
  <si>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</si>
  <si>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</si>
  <si>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</si>
  <si>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</si>
  <si>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</si>
  <si>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</si>
  <si>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</si>
  <si>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</si>
  <si>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</si>
  <si>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</si>
  <si>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</si>
  <si>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</si>
  <si>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</si>
  <si>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</si>
  <si>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</si>
  <si>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</si>
  <si>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</si>
  <si>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</si>
  <si>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</si>
  <si>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</si>
  <si>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</si>
  <si>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</si>
  <si>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</si>
  <si>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</si>
  <si>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</si>
  <si>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</si>
  <si>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</si>
  <si>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</si>
  <si>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</si>
  <si>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</si>
  <si>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</si>
  <si>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</si>
  <si>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</si>
  <si>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</si>
  <si>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</si>
  <si>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</si>
  <si>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</si>
  <si>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</si>
  <si>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</si>
  <si>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</si>
  <si>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</si>
  <si>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</si>
  <si>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</si>
  <si>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</si>
  <si>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</si>
  <si>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</si>
  <si>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</si>
  <si>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</si>
  <si>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</si>
  <si>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</si>
  <si>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</si>
  <si>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</si>
  <si>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</si>
  <si>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</si>
  <si>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</si>
  <si>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</si>
  <si>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</si>
  <si>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</si>
  <si>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</si>
  <si>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</si>
  <si>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</si>
  <si>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</si>
  <si>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</si>
  <si>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</si>
  <si>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</si>
  <si>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</si>
  <si>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</si>
  <si>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</si>
  <si>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</si>
  <si>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</si>
  <si>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</si>
  <si>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</si>
  <si>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</si>
  <si>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</si>
  <si>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</si>
  <si>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</si>
  <si>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</si>
  <si>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</si>
  <si>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</si>
  <si>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</si>
  <si>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</si>
  <si>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</si>
  <si>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</si>
  <si>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</si>
  <si>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</si>
  <si>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</si>
  <si>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</si>
  <si>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</si>
  <si>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</si>
  <si>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</si>
  <si>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</si>
  <si>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</si>
  <si>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</si>
  <si>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</si>
  <si>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</si>
  <si>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</si>
  <si>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</si>
  <si>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</si>
  <si>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</si>
  <si>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</si>
  <si>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</si>
  <si>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</si>
  <si>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</si>
  <si>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</si>
  <si>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</si>
  <si>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</si>
  <si>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</si>
  <si>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</si>
  <si>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</si>
  <si>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</si>
  <si>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</si>
  <si>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</si>
  <si>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</si>
  <si>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</si>
  <si>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</si>
  <si>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</si>
  <si>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</si>
  <si>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</si>
  <si>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</si>
  <si>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</si>
  <si>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</si>
  <si>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</si>
  <si>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</si>
  <si>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</si>
  <si>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</si>
  <si>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</si>
  <si>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</si>
  <si>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</si>
  <si>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</si>
  <si>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</si>
  <si>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</si>
  <si>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</si>
  <si>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</si>
  <si>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</si>
  <si>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</si>
  <si>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</si>
  <si>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</si>
  <si>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</si>
  <si>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</si>
  <si>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</si>
  <si>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</si>
  <si>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</si>
  <si>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</si>
  <si>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</si>
  <si>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</si>
  <si>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</si>
  <si>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</si>
  <si>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</si>
  <si>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</si>
  <si>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</si>
  <si>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</si>
  <si>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</si>
  <si>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</si>
  <si>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</si>
  <si>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</si>
  <si>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</si>
  <si>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</si>
  <si>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</si>
  <si>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</si>
  <si>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</si>
  <si>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</si>
  <si>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</si>
  <si>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</si>
  <si>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</si>
  <si>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</si>
  <si>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</si>
  <si>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</si>
  <si>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</si>
  <si>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</si>
  <si>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</si>
  <si>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</si>
  <si>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</si>
  <si>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</si>
  <si>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</si>
  <si>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</si>
  <si>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</si>
  <si>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</si>
  <si>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</si>
  <si>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</si>
  <si>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</si>
  <si>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</si>
  <si>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</si>
  <si>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</si>
  <si>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</si>
  <si>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</si>
  <si>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</si>
  <si>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</si>
  <si>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</si>
  <si>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</si>
  <si>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</si>
  <si>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</si>
  <si>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</si>
  <si>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</si>
  <si>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</si>
  <si>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</si>
  <si>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</si>
  <si>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</si>
  <si>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</si>
  <si>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</si>
  <si>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</si>
  <si>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</si>
  <si>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</si>
  <si>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</si>
  <si>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</si>
  <si>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</si>
  <si>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</si>
  <si>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</si>
  <si>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</si>
  <si>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</si>
  <si>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</si>
  <si>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</si>
  <si>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</si>
  <si>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</si>
  <si>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</si>
  <si>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</si>
  <si>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</si>
  <si>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</si>
  <si>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</si>
  <si>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</si>
  <si>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</si>
  <si>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</si>
  <si>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</si>
  <si>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</si>
  <si>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</si>
  <si>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</si>
  <si>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</si>
  <si>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</si>
  <si>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</si>
  <si>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</si>
  <si>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</si>
  <si>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</si>
  <si>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</si>
  <si>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</si>
  <si>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</si>
  <si>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</si>
  <si>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</si>
  <si>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</si>
  <si>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</si>
  <si>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</si>
  <si>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</si>
  <si>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</si>
  <si>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</si>
  <si>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</si>
  <si>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</si>
  <si>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</si>
  <si>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</si>
  <si>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</si>
  <si>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</si>
  <si>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</si>
  <si>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</si>
  <si>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</si>
  <si>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</si>
  <si>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</si>
  <si>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</si>
  <si>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</si>
  <si>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</si>
  <si>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</si>
  <si>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</si>
  <si>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</si>
  <si>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</si>
  <si>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</si>
  <si>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</si>
  <si>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</si>
  <si>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</si>
  <si>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</si>
  <si>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</si>
  <si>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</si>
  <si>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</si>
  <si>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</si>
  <si>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</si>
  <si>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</si>
  <si>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</si>
  <si>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</si>
  <si>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</si>
  <si>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</si>
  <si>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</si>
  <si>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</si>
  <si>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</si>
  <si>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</si>
  <si>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</si>
  <si>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</si>
  <si>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</si>
  <si>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</si>
  <si>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</si>
  <si>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</si>
  <si>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</si>
  <si>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</si>
  <si>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</si>
  <si>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</si>
  <si>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</si>
  <si>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</si>
  <si>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</si>
  <si>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</si>
  <si>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</si>
  <si>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</si>
  <si>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</si>
  <si>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</si>
  <si>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</si>
  <si>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</si>
  <si>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</si>
  <si>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</si>
  <si>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</si>
  <si>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</si>
  <si>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</si>
  <si>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</si>
  <si>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</si>
  <si>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</si>
  <si>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</si>
  <si>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</si>
  <si>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</si>
  <si>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</si>
  <si>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</si>
  <si>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</si>
  <si>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</si>
  <si>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</si>
  <si>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</si>
  <si>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</si>
  <si>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</si>
  <si>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</si>
  <si>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</si>
  <si>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</si>
  <si>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</si>
  <si>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</si>
  <si>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</si>
  <si>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</si>
  <si>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</si>
  <si>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</si>
  <si>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</si>
  <si>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</si>
  <si>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</si>
  <si>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</si>
  <si>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</si>
  <si>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</si>
  <si>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</si>
  <si>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</si>
  <si>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</si>
  <si>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</si>
  <si>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</si>
  <si>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</si>
  <si>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</si>
  <si>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</si>
  <si>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</si>
  <si>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</si>
  <si>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</si>
  <si>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</si>
  <si>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</si>
  <si>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</si>
  <si>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</si>
  <si>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</si>
  <si>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</si>
  <si>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</si>
  <si>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</si>
  <si>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</si>
  <si>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</si>
  <si>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</si>
  <si>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</si>
  <si>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</si>
  <si>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</si>
  <si>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</si>
  <si>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</si>
  <si>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</si>
  <si>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</si>
  <si>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</si>
  <si>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</si>
  <si>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</si>
  <si>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</si>
  <si>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</si>
  <si>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</si>
  <si>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</si>
  <si>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</si>
  <si>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</si>
  <si>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</si>
  <si>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</si>
  <si>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</si>
  <si>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</si>
  <si>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</si>
  <si>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</si>
  <si>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</si>
  <si>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</si>
  <si>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</si>
  <si>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</si>
  <si>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</si>
  <si>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</si>
  <si>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</si>
  <si>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</si>
  <si>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</si>
  <si>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</si>
  <si>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</si>
  <si>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</si>
  <si>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</si>
  <si>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</si>
  <si>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</si>
  <si>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</si>
  <si>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</si>
  <si>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</si>
  <si>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</si>
  <si>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</si>
  <si>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</si>
  <si>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</si>
  <si>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</si>
  <si>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</si>
  <si>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</si>
  <si>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</si>
  <si>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</si>
  <si>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</si>
  <si>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</si>
  <si>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</si>
  <si>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</si>
  <si>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</si>
  <si>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</si>
  <si>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</si>
  <si>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</si>
  <si>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</si>
  <si>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</si>
  <si>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</si>
  <si>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</si>
  <si>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</si>
  <si>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</si>
  <si>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</si>
  <si>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</si>
  <si>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</si>
  <si>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</si>
  <si>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</si>
  <si>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</si>
  <si>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</si>
  <si>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</si>
  <si>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</si>
  <si>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</si>
  <si>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</si>
  <si>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</si>
  <si>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</si>
  <si>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</si>
  <si>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</si>
  <si>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</si>
  <si>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</si>
  <si>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</si>
  <si>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</si>
  <si>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</si>
  <si>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</si>
  <si>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</si>
  <si>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</si>
  <si>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</si>
  <si>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</si>
  <si>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</si>
  <si>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</si>
  <si>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</si>
  <si>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</si>
  <si>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</si>
  <si>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</si>
  <si>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</si>
  <si>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</si>
  <si>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</si>
  <si>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</si>
  <si>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</si>
  <si>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</si>
  <si>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</si>
  <si>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</si>
  <si>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</si>
  <si>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</si>
  <si>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</si>
  <si>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</si>
  <si>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</si>
  <si>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</si>
  <si>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</si>
  <si>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</si>
  <si>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</si>
  <si>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</si>
  <si>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</si>
  <si>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</si>
  <si>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</si>
  <si>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</si>
  <si>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</si>
  <si>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</si>
  <si>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</si>
  <si>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</si>
  <si>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</si>
  <si>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</si>
  <si>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</si>
  <si>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</si>
  <si>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</si>
  <si>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</si>
  <si>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</si>
  <si>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</si>
  <si>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</si>
  <si>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</si>
  <si>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</si>
  <si>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</si>
  <si>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</si>
  <si>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</si>
  <si>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</si>
  <si>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</si>
  <si>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</si>
  <si>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</si>
  <si>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</si>
  <si>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</si>
  <si>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</si>
  <si>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</si>
  <si>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</si>
  <si>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</si>
  <si>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</si>
  <si>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</si>
  <si>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</si>
  <si>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</si>
  <si>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</si>
  <si>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</si>
  <si>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</si>
  <si>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</si>
  <si>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</si>
  <si>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</si>
  <si>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</si>
  <si>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</si>
  <si>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</si>
  <si>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</si>
  <si>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</si>
  <si>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</si>
  <si>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</si>
  <si>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</si>
  <si>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</si>
  <si>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</si>
  <si>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</si>
  <si>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</si>
  <si>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</si>
  <si>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</si>
  <si>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</si>
  <si>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</si>
  <si>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</si>
  <si>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</si>
  <si>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</si>
  <si>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</si>
  <si>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</si>
  <si>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</si>
  <si>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抵押</t>
  </si>
  <si>
    <t>房地产抵押价值</t>
  </si>
  <si>
    <t>已注销</t>
  </si>
  <si>
    <t>北京市</t>
  </si>
  <si>
    <t>自然人</t>
  </si>
  <si>
    <t>与房产证证载一致</t>
  </si>
  <si>
    <t>房屋所有权证</t>
  </si>
  <si>
    <t>无</t>
  </si>
  <si>
    <t>否</t>
  </si>
  <si>
    <t>复印件</t>
  </si>
  <si>
    <t>未核对原件</t>
  </si>
  <si>
    <t>X京房权证昌私字第353781号</t>
  </si>
  <si>
    <t>北京市昌平区小汤山镇橘郡花园水印长滩9-13号</t>
  </si>
  <si>
    <t>私有房产</t>
    <phoneticPr fontId="4" type="noConversion"/>
  </si>
  <si>
    <t>商品房</t>
    <phoneticPr fontId="4"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</si>
  <si>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4" type="noConversion"/>
  </si>
  <si>
    <t>1-2</t>
    <phoneticPr fontId="4" type="noConversion"/>
  </si>
  <si>
    <t>有</t>
  </si>
  <si>
    <t>住宅</t>
  </si>
  <si>
    <t>住宅</t>
    <phoneticPr fontId="7" type="noConversion"/>
  </si>
  <si>
    <t>正常</t>
  </si>
  <si>
    <t>正常</t>
    <phoneticPr fontId="7" type="noConversion"/>
  </si>
  <si>
    <t>元</t>
  </si>
  <si>
    <t>楼面单价</t>
  </si>
  <si>
    <t>无租约</t>
  </si>
  <si>
    <t>南北西</t>
  </si>
  <si>
    <t>南北东</t>
  </si>
  <si>
    <t>南北</t>
  </si>
  <si>
    <t>南</t>
  </si>
  <si>
    <t>东南</t>
  </si>
  <si>
    <t>东</t>
  </si>
  <si>
    <t>西南</t>
  </si>
  <si>
    <t>东北</t>
  </si>
  <si>
    <t>西北</t>
  </si>
  <si>
    <t>西</t>
  </si>
  <si>
    <t>北</t>
  </si>
  <si>
    <t>高速</t>
  </si>
  <si>
    <t>快速</t>
  </si>
  <si>
    <t>主</t>
  </si>
  <si>
    <t>次</t>
  </si>
  <si>
    <t>支路</t>
  </si>
  <si>
    <t>独栋</t>
    <phoneticPr fontId="4" type="noConversion"/>
  </si>
  <si>
    <t>联排</t>
    <phoneticPr fontId="4" type="noConversion"/>
  </si>
  <si>
    <t>钢混</t>
  </si>
  <si>
    <t>钢混</t>
    <phoneticPr fontId="20" type="noConversion"/>
  </si>
  <si>
    <t>砖混</t>
    <phoneticPr fontId="20" type="noConversion"/>
  </si>
  <si>
    <t>精装修</t>
    <phoneticPr fontId="4" type="noConversion"/>
  </si>
  <si>
    <t>简单装修</t>
    <phoneticPr fontId="4" type="noConversion"/>
  </si>
  <si>
    <t>毛坯</t>
    <phoneticPr fontId="4" type="noConversion"/>
  </si>
  <si>
    <t>七通</t>
  </si>
  <si>
    <t>六通</t>
  </si>
  <si>
    <t>五通</t>
  </si>
  <si>
    <t>四通</t>
  </si>
  <si>
    <t>三通</t>
  </si>
  <si>
    <t>专业</t>
  </si>
  <si>
    <t>专业</t>
    <phoneticPr fontId="20" type="noConversion"/>
  </si>
  <si>
    <t>居委会</t>
    <phoneticPr fontId="20" type="noConversion"/>
  </si>
  <si>
    <t>估价对象</t>
  </si>
  <si>
    <t>售价</t>
  </si>
  <si>
    <t>住宅</t>
    <phoneticPr fontId="20" type="noConversion"/>
  </si>
  <si>
    <t>50-60（含）</t>
  </si>
  <si>
    <t>独栋</t>
  </si>
  <si>
    <t>精装修</t>
  </si>
  <si>
    <t>橘郡花园</t>
    <phoneticPr fontId="4" type="noConversion"/>
  </si>
  <si>
    <t>联排</t>
  </si>
  <si>
    <t>主干道</t>
    <phoneticPr fontId="20" type="noConversion"/>
  </si>
  <si>
    <t>比较法-住宅</t>
  </si>
  <si>
    <t>收益法</t>
  </si>
  <si>
    <t>按租金收入计税</t>
  </si>
  <si>
    <t>非生产用房</t>
  </si>
  <si>
    <t>收益还原</t>
  </si>
  <si>
    <t>总价</t>
  </si>
  <si>
    <t>万元</t>
  </si>
  <si>
    <t>元/平方米</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</si>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</sst>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color rgb="FF000000"/>
      <name val="宋体"/>
      <family val="2"/>
      <charset val="134"/>
    </font>
    <font>
      <sz val="11"/>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6" fontId="42" fillId="0" borderId="6" xfId="0" applyNumberFormat="1"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86" fontId="42" fillId="0" borderId="43"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6" fontId="48" fillId="0" borderId="6" xfId="1" applyNumberFormat="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39" fillId="0" borderId="32" xfId="0" applyFont="1" applyBorder="1" applyAlignment="1" applyProtection="1">
      <alignment horizontal="center" vertical="center" wrapText="1"/>
      <protection locked="0"/>
    </xf>
    <xf numFmtId="0" fontId="39" fillId="0" borderId="83" xfId="0" applyFont="1" applyBorder="1" applyAlignment="1" applyProtection="1">
      <alignment horizontal="center" vertical="center"/>
      <protection locked="0"/>
    </xf>
    <xf numFmtId="0" fontId="39" fillId="0" borderId="33" xfId="0" applyFont="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245" fillId="0" borderId="32"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44" fillId="0" borderId="46" xfId="0" applyNumberFormat="1"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0" fontId="39" fillId="0" borderId="19" xfId="0" applyNumberFormat="1" applyFont="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protection locked="0"/>
    </xf>
    <xf numFmtId="0" fontId="244"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49" fontId="99" fillId="6" borderId="3"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105843</xdr:colOff>
      <xdr:row>14</xdr:row>
      <xdr:rowOff>160020</xdr:rowOff>
    </xdr:to>
    <xdr:pic>
      <xdr:nvPicPr>
        <xdr:cNvPr id="2" name="图片 1">
          <a:extLst>
            <a:ext uri="{FF2B5EF4-FFF2-40B4-BE49-F238E27FC236}">
              <a16:creationId xmlns:a16="http://schemas.microsoft.com/office/drawing/2014/main" xmlns="" id="{107E78E1-01FF-4BA9-90AC-02C050620E21}"/>
            </a:ext>
          </a:extLst>
        </xdr:cNvPr>
        <xdr:cNvPicPr>
          <a:picLocks noChangeAspect="1"/>
        </xdr:cNvPicPr>
      </xdr:nvPicPr>
      <xdr:blipFill>
        <a:blip xmlns:r="http://schemas.openxmlformats.org/officeDocument/2006/relationships" r:embed="rId1"/>
        <a:stretch>
          <a:fillRect/>
        </a:stretch>
      </xdr:blipFill>
      <xdr:spPr>
        <a:xfrm>
          <a:off x="0" y="0"/>
          <a:ext cx="4982643" cy="2720340"/>
        </a:xfrm>
        <a:prstGeom prst="rect">
          <a:avLst/>
        </a:prstGeom>
      </xdr:spPr>
    </xdr:pic>
    <xdr:clientData/>
  </xdr:twoCellAnchor>
  <xdr:twoCellAnchor editAs="oneCell">
    <xdr:from>
      <xdr:col>0</xdr:col>
      <xdr:colOff>1</xdr:colOff>
      <xdr:row>15</xdr:row>
      <xdr:rowOff>1</xdr:rowOff>
    </xdr:from>
    <xdr:to>
      <xdr:col>8</xdr:col>
      <xdr:colOff>157611</xdr:colOff>
      <xdr:row>28</xdr:row>
      <xdr:rowOff>114300</xdr:rowOff>
    </xdr:to>
    <xdr:pic>
      <xdr:nvPicPr>
        <xdr:cNvPr id="3" name="图片 2">
          <a:extLst>
            <a:ext uri="{FF2B5EF4-FFF2-40B4-BE49-F238E27FC236}">
              <a16:creationId xmlns:a16="http://schemas.microsoft.com/office/drawing/2014/main" xmlns="" id="{45465C8F-74A0-4922-BBB7-C8DAB2A044FD}"/>
            </a:ext>
          </a:extLst>
        </xdr:cNvPr>
        <xdr:cNvPicPr>
          <a:picLocks noChangeAspect="1"/>
        </xdr:cNvPicPr>
      </xdr:nvPicPr>
      <xdr:blipFill>
        <a:blip xmlns:r="http://schemas.openxmlformats.org/officeDocument/2006/relationships" r:embed="rId2"/>
        <a:stretch>
          <a:fillRect/>
        </a:stretch>
      </xdr:blipFill>
      <xdr:spPr>
        <a:xfrm>
          <a:off x="1" y="2743201"/>
          <a:ext cx="5034410" cy="2491739"/>
        </a:xfrm>
        <a:prstGeom prst="rect">
          <a:avLst/>
        </a:prstGeom>
      </xdr:spPr>
    </xdr:pic>
    <xdr:clientData/>
  </xdr:twoCellAnchor>
  <xdr:twoCellAnchor editAs="oneCell">
    <xdr:from>
      <xdr:col>0</xdr:col>
      <xdr:colOff>1</xdr:colOff>
      <xdr:row>29</xdr:row>
      <xdr:rowOff>0</xdr:rowOff>
    </xdr:from>
    <xdr:to>
      <xdr:col>8</xdr:col>
      <xdr:colOff>171433</xdr:colOff>
      <xdr:row>42</xdr:row>
      <xdr:rowOff>167640</xdr:rowOff>
    </xdr:to>
    <xdr:pic>
      <xdr:nvPicPr>
        <xdr:cNvPr id="4" name="图片 3">
          <a:extLst>
            <a:ext uri="{FF2B5EF4-FFF2-40B4-BE49-F238E27FC236}">
              <a16:creationId xmlns:a16="http://schemas.microsoft.com/office/drawing/2014/main" xmlns="" id="{F68F90EE-9455-4A0E-A027-9CDA2B228F92}"/>
            </a:ext>
          </a:extLst>
        </xdr:cNvPr>
        <xdr:cNvPicPr>
          <a:picLocks noChangeAspect="1"/>
        </xdr:cNvPicPr>
      </xdr:nvPicPr>
      <xdr:blipFill>
        <a:blip xmlns:r="http://schemas.openxmlformats.org/officeDocument/2006/relationships" r:embed="rId3"/>
        <a:stretch>
          <a:fillRect/>
        </a:stretch>
      </xdr:blipFill>
      <xdr:spPr>
        <a:xfrm>
          <a:off x="1" y="5303520"/>
          <a:ext cx="5048232" cy="2545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北京市北京市昌平区小汤山镇橘郡花园水印长滩9-13号房地产抵押价值预评估</v>
      </c>
    </row>
    <row r="3" spans="1:2" s="1695" customFormat="1">
      <c r="A3" s="1696" t="s">
        <v>1103</v>
      </c>
      <c r="B3" s="1681" t="str">
        <f>'预评函-封皮'!B12</f>
        <v>xx</v>
      </c>
    </row>
    <row r="4" spans="1:2" s="1695" customFormat="1">
      <c r="A4" s="1696" t="s">
        <v>1104</v>
      </c>
      <c r="B4" s="1681" t="str">
        <f ca="1">'预评函-封皮'!B18</f>
        <v>郑燚（注册号:1120070131）、崔锴（注册号:1120100036)</v>
      </c>
    </row>
    <row r="5" spans="1:2" s="1693" customFormat="1" ht="15.75" thickBot="1">
      <c r="A5" s="1697" t="s">
        <v>1105</v>
      </c>
      <c r="B5" s="1682" t="str">
        <f>'预评函-封皮'!B21</f>
        <v>康正预评字号</v>
      </c>
    </row>
    <row r="6" spans="1:2" s="1695" customFormat="1" ht="15.75" thickTop="1">
      <c r="A6" s="1696" t="s">
        <v>1106</v>
      </c>
      <c r="B6" s="1680" t="str">
        <f>'预评函-1'!A4</f>
        <v>受您的委托，我公司对北京市北京市昌平区小汤山镇橘郡花园水印长滩9-13号房地产进行了预评估。</v>
      </c>
    </row>
    <row r="7" spans="1:2">
      <c r="A7" s="1696" t="s">
        <v>1107</v>
      </c>
      <c r="B7" s="1683" t="str">
        <f>'预评函-1'!A6</f>
        <v>估价对象为北京市北京市昌平区小汤山镇橘郡花园水印长滩9-13号房地产，为XX所有。根据《房屋所有权证》[X京房权证昌私字第353781号]，估价对象建筑面积为353.61平方米。估价对象用途为住宅。</v>
      </c>
    </row>
    <row r="8" spans="1:2">
      <c r="A8" s="1696" t="s">
        <v>1108</v>
      </c>
      <c r="B8" s="1683" t="str">
        <f>'预评函-1'!A8</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本次估价的“房地产价值”是指在正常市场情况下，在价值时点2020年2月27日，估价对象规划用途为住宅，假定未设立法定优先受偿款下的房地产市场价值。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本次评估采用的主估价方法为比较法和收益法。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北京市北京市昌平区小汤山镇橘郡花园水印长滩9-13号房地产</v>
      </c>
    </row>
    <row r="18" spans="1:2">
      <c r="A18" s="1696" t="s">
        <v>1118</v>
      </c>
      <c r="B18" s="1683">
        <f>'预评函-2（1）'!C6</f>
        <v>353.61</v>
      </c>
    </row>
    <row r="19" spans="1:2">
      <c r="A19" s="1696" t="s">
        <v>1119</v>
      </c>
      <c r="B19" s="1683">
        <f ca="1">'预评函-2（1）'!D7</f>
        <v>16392299</v>
      </c>
    </row>
    <row r="20" spans="1:2">
      <c r="A20" s="1696" t="s">
        <v>1157</v>
      </c>
      <c r="B20" s="1683" t="str">
        <f>'预评函-2（1）'!C7</f>
        <v>总价（元）</v>
      </c>
    </row>
    <row r="21" spans="1:2">
      <c r="A21" s="1696" t="s">
        <v>1120</v>
      </c>
      <c r="B21" s="1683">
        <f ca="1">'预评函-2（1）'!D9</f>
        <v>46357</v>
      </c>
    </row>
    <row r="22" spans="1:2">
      <c r="A22" s="1696" t="s">
        <v>1121</v>
      </c>
      <c r="B22" s="1683" t="str">
        <f ca="1">'预评函-2（1）'!D8</f>
        <v>壹仟陆佰叁拾玖万贰仟贰佰玖拾玖元整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16392299</v>
      </c>
    </row>
    <row r="32" spans="1:2">
      <c r="A32" s="1696" t="s">
        <v>1129</v>
      </c>
      <c r="B32" s="1683" t="str">
        <f ca="1">'预评函-2（1）'!D19</f>
        <v>壹仟陆佰叁拾玖万贰仟贰佰玖拾玖元整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12245161</v>
      </c>
    </row>
    <row r="38" spans="1:2">
      <c r="A38" s="1696" t="s">
        <v>1135</v>
      </c>
      <c r="B38" s="1683">
        <f ca="1">'预评函-2（2）'!E4</f>
        <v>34629</v>
      </c>
    </row>
    <row r="39" spans="1:2">
      <c r="A39" s="1696" t="s">
        <v>1136</v>
      </c>
      <c r="B39" s="1683" t="str">
        <f ca="1">'预评函-2（2）'!D5</f>
        <v>壹仟贰佰贰拾肆万伍仟壹佰陆拾壹元整</v>
      </c>
    </row>
    <row r="40" spans="1:2">
      <c r="A40" s="1696" t="s">
        <v>1137</v>
      </c>
      <c r="B40" s="1683">
        <f ca="1">'预评函-2（2）'!F4</f>
        <v>4147138</v>
      </c>
    </row>
    <row r="41" spans="1:2">
      <c r="A41" s="1696" t="s">
        <v>1138</v>
      </c>
      <c r="B41" s="1683">
        <f ca="1">'预评函-2（2）'!G4</f>
        <v>11728</v>
      </c>
    </row>
    <row r="42" spans="1:2" s="1693" customFormat="1" ht="15.75" thickBot="1">
      <c r="A42" s="1697" t="s">
        <v>1139</v>
      </c>
      <c r="B42" s="1685" t="str">
        <f ca="1">'预评函-2（2）'!F5</f>
        <v>肆佰壹拾肆万柒仟壹佰叁拾捌元整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5.75" thickBot="1">
      <c r="A55" s="1697" t="s">
        <v>1151</v>
      </c>
      <c r="B55" s="1685">
        <f ca="1">'预评函-3'!B5</f>
        <v>1120100036</v>
      </c>
    </row>
    <row r="56" spans="1:2" ht="15.75" thickTop="1">
      <c r="A56" s="1699" t="s">
        <v>1160</v>
      </c>
      <c r="B56" s="1683" t="str">
        <f>'预评函-2（1）'!B15</f>
        <v>——</v>
      </c>
    </row>
    <row r="57" spans="1:2">
      <c r="A57" s="1699" t="s">
        <v>1161</v>
      </c>
      <c r="B57" s="1683" t="str">
        <f>'预评函-2（1）'!B18</f>
        <v>3.抵押担保权已注销时的房地产抵押价值</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t="e">
        <f ca="1">'预评函-2（1）'!D38</f>
        <v>#VALUE!</v>
      </c>
    </row>
    <row r="63" spans="1:2" s="1695" customFormat="1" ht="28.5">
      <c r="A63" s="1699" t="s">
        <v>1251</v>
      </c>
      <c r="B63" s="1683">
        <f ca="1">'预评函-2（1）'!D41</f>
        <v>46357</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1536</v>
      </c>
      <c r="B1" s="1987" t="str">
        <f>IF(B6="北京市","北京市",C6)&amp;IF(E12="房屋所有权证",B28,E28)&amp;D5&amp;"预评估"</f>
        <v>北京市北京市昌平区小汤山镇橘郡花园水印长滩9-13号房地产抵押价值预评估</v>
      </c>
      <c r="C1" s="1057"/>
      <c r="D1" s="1988"/>
      <c r="E1" s="1057"/>
      <c r="F1" s="1989" t="s">
        <v>1537</v>
      </c>
      <c r="G1" s="1676"/>
      <c r="I1" s="1014" t="str">
        <f>IF(B6="北京市","北京市",C6)&amp;IF(E12="房屋所有权证",B28,E28)&amp;"房地产"</f>
        <v>北京市北京市昌平区小汤山镇橘郡花园水印长滩9-13号房地产</v>
      </c>
    </row>
    <row r="2" spans="1:10" ht="13.5" thickTop="1">
      <c r="A2" s="1990" t="s">
        <v>1538</v>
      </c>
      <c r="B2" s="1082"/>
      <c r="C2" s="1991" t="s">
        <v>1539</v>
      </c>
      <c r="D2" s="1082">
        <v>43888</v>
      </c>
      <c r="E2" s="1058"/>
      <c r="F2" s="1058"/>
      <c r="G2" s="1677"/>
      <c r="H2" s="1014"/>
    </row>
    <row r="3" spans="1:10" ht="13.5" thickBot="1">
      <c r="A3" s="1992" t="s">
        <v>1540</v>
      </c>
      <c r="B3" s="1993" t="s">
        <v>2828</v>
      </c>
      <c r="C3" s="1059">
        <f ca="1">SUMIF(注册房地产估价师,B3,估价师及机构信息!B3:B24)</f>
        <v>1120070131</v>
      </c>
      <c r="D3" s="1993" t="s">
        <v>2829</v>
      </c>
      <c r="E3" s="1060">
        <f ca="1">SUMIF(注册房地产估价师,D3,估价师及机构信息!B3:B24)</f>
        <v>1120100036</v>
      </c>
      <c r="F3" s="1061"/>
      <c r="G3" s="1678"/>
      <c r="H3" s="1014"/>
    </row>
    <row r="4" spans="1:10" ht="13.5" customHeight="1" thickTop="1">
      <c r="A4" s="1994" t="s">
        <v>1541</v>
      </c>
      <c r="B4" s="1995" t="s">
        <v>2813</v>
      </c>
      <c r="C4" s="1996" t="s">
        <v>1542</v>
      </c>
      <c r="D4" s="1997" t="s">
        <v>2830</v>
      </c>
      <c r="E4" s="1058"/>
      <c r="F4" s="1058"/>
      <c r="G4" s="1677"/>
    </row>
    <row r="5" spans="1:10">
      <c r="A5" s="1998" t="s">
        <v>1543</v>
      </c>
      <c r="B5" s="1999" t="s">
        <v>2814</v>
      </c>
      <c r="C5" s="2000" t="s">
        <v>1544</v>
      </c>
      <c r="D5" s="2001" t="s">
        <v>2831</v>
      </c>
      <c r="E5" s="2002" t="s">
        <v>1545</v>
      </c>
      <c r="F5" s="2003" t="s">
        <v>2832</v>
      </c>
      <c r="G5" s="2004"/>
      <c r="I5" s="1014" t="str">
        <f>IF(C16="否","截至估价时点，估价对象抵押权未见登记。","截至价值时点，估价对象已设定抵押。")</f>
        <v>截至价值时点，估价对象已设定抵押。</v>
      </c>
    </row>
    <row r="6" spans="1:10">
      <c r="A6" s="2005" t="s">
        <v>1546</v>
      </c>
      <c r="B6" s="2006" t="s">
        <v>2833</v>
      </c>
      <c r="C6" s="2007" t="s">
        <v>2815</v>
      </c>
      <c r="D6" s="2008" t="s">
        <v>1547</v>
      </c>
      <c r="E6" s="1016"/>
      <c r="F6" s="1015"/>
      <c r="G6" s="1068"/>
      <c r="I6" s="1064" t="str">
        <f>IF(COUNTIF(B5,"*上海银行*"),"上海银行","")</f>
        <v/>
      </c>
    </row>
    <row r="7" spans="1:10" ht="13.5" thickBot="1">
      <c r="A7" s="1992" t="s">
        <v>1548</v>
      </c>
      <c r="B7" s="2009" t="s">
        <v>2834</v>
      </c>
      <c r="C7" s="2010" t="str">
        <f>IF(B7="自然人","姓名","名称")</f>
        <v>姓名</v>
      </c>
      <c r="D7" s="2011" t="s">
        <v>2814</v>
      </c>
      <c r="E7" s="1062"/>
      <c r="F7" s="1061"/>
      <c r="G7" s="1678"/>
    </row>
    <row r="8" spans="1:10" ht="13.5" thickTop="1">
      <c r="A8" s="2826" t="s">
        <v>1549</v>
      </c>
      <c r="B8" s="2012" t="s">
        <v>1550</v>
      </c>
      <c r="C8" s="2839"/>
      <c r="D8" s="2840"/>
      <c r="E8" s="2013" t="s">
        <v>1551</v>
      </c>
      <c r="F8" s="2014" t="s">
        <v>1552</v>
      </c>
      <c r="G8" s="689" t="str">
        <f>C6</f>
        <v>XX</v>
      </c>
    </row>
    <row r="9" spans="1:10" ht="25.5">
      <c r="A9" s="2826"/>
      <c r="B9" s="343" t="s">
        <v>1553</v>
      </c>
      <c r="C9" s="2754" t="s">
        <v>2849</v>
      </c>
      <c r="D9" s="2015" t="s">
        <v>2835</v>
      </c>
      <c r="E9" s="1004" t="s">
        <v>1554</v>
      </c>
      <c r="F9" s="990" t="s">
        <v>485</v>
      </c>
      <c r="G9" s="1006"/>
    </row>
    <row r="10" spans="1:10" ht="13.5" thickBot="1">
      <c r="A10" s="2826"/>
      <c r="B10" s="343" t="s">
        <v>1555</v>
      </c>
      <c r="C10" s="2841" t="s">
        <v>2851</v>
      </c>
      <c r="D10" s="2842"/>
      <c r="E10" s="2016" t="s">
        <v>1556</v>
      </c>
      <c r="F10" s="1007" t="s">
        <v>376</v>
      </c>
      <c r="G10" s="1008"/>
    </row>
    <row r="11" spans="1:10" ht="13.5" thickBot="1">
      <c r="A11" s="2826"/>
      <c r="B11" s="2017" t="s">
        <v>1557</v>
      </c>
      <c r="C11" s="2843" t="s">
        <v>2851</v>
      </c>
      <c r="D11" s="2844"/>
      <c r="E11" s="1016"/>
      <c r="F11" s="1015"/>
      <c r="G11" s="1068"/>
    </row>
    <row r="12" spans="1:10" ht="13.5" thickBot="1">
      <c r="A12" s="2830" t="s">
        <v>1558</v>
      </c>
      <c r="B12" s="2018" t="s">
        <v>1559</v>
      </c>
      <c r="C12" s="1010">
        <v>353.61</v>
      </c>
      <c r="D12" s="2018" t="s">
        <v>1560</v>
      </c>
      <c r="E12" s="2019" t="s">
        <v>2836</v>
      </c>
      <c r="F12" s="2020" t="s">
        <v>1247</v>
      </c>
      <c r="G12" s="1068"/>
    </row>
    <row r="13" spans="1:10" ht="21" customHeight="1" thickBot="1">
      <c r="A13" s="2831"/>
      <c r="B13" s="2021" t="s">
        <v>1561</v>
      </c>
      <c r="C13" s="1011">
        <v>0</v>
      </c>
      <c r="D13" s="2021" t="s">
        <v>1562</v>
      </c>
      <c r="E13" s="2022" t="s">
        <v>2837</v>
      </c>
      <c r="F13" s="1015"/>
      <c r="G13" s="1068"/>
      <c r="I13" s="2849" t="s">
        <v>1563</v>
      </c>
      <c r="J13" s="2023"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4"/>
      <c r="B14" s="2025" t="s">
        <v>1564</v>
      </c>
      <c r="C14" s="2755" t="s">
        <v>2849</v>
      </c>
      <c r="D14" s="1015"/>
      <c r="E14" s="1015"/>
      <c r="F14" s="1015"/>
      <c r="G14" s="1068"/>
      <c r="I14" s="2849"/>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6"/>
      <c r="B15" s="2027" t="s">
        <v>1565</v>
      </c>
      <c r="C15" s="1063"/>
      <c r="D15" s="1061"/>
      <c r="E15" s="1061"/>
      <c r="F15" s="1061"/>
      <c r="G15" s="1678"/>
      <c r="I15" s="2849"/>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4" t="s">
        <v>1566</v>
      </c>
      <c r="B16" s="2028" t="s">
        <v>1567</v>
      </c>
      <c r="C16" s="2029" t="s">
        <v>2812</v>
      </c>
      <c r="D16" s="2030" t="s">
        <v>1568</v>
      </c>
      <c r="E16" s="2031" t="s">
        <v>2838</v>
      </c>
      <c r="F16" s="2032" t="str">
        <f>IF(AND(C16="是",E16="否"),"是否提供他项权证或相关说明","")</f>
        <v>是否提供他项权证或相关说明</v>
      </c>
      <c r="G16" s="2031" t="s">
        <v>2838</v>
      </c>
      <c r="I16" s="1065"/>
      <c r="J16" s="1014"/>
    </row>
    <row r="17" spans="1:15" ht="13.5" customHeight="1">
      <c r="A17" s="2033" t="s">
        <v>1569</v>
      </c>
      <c r="B17" s="2845" t="s">
        <v>1570</v>
      </c>
      <c r="C17" s="2846"/>
      <c r="D17" s="2847" t="s">
        <v>1571</v>
      </c>
      <c r="E17" s="2848"/>
      <c r="F17" s="2034" t="s">
        <v>1572</v>
      </c>
      <c r="G17" s="2035"/>
      <c r="J17" s="1014"/>
    </row>
    <row r="18" spans="1:15">
      <c r="A18" s="2033"/>
      <c r="B18" s="2036" t="s">
        <v>1573</v>
      </c>
      <c r="C18" s="2004" t="s">
        <v>2839</v>
      </c>
      <c r="D18" s="2037"/>
      <c r="E18" s="2038" t="s">
        <v>1247</v>
      </c>
      <c r="F18" s="2039"/>
      <c r="G18" s="1861"/>
      <c r="H18" s="1014"/>
      <c r="J18" s="1014"/>
    </row>
    <row r="19" spans="1:15" ht="21.75" customHeight="1" thickBot="1">
      <c r="A19" s="2033"/>
      <c r="B19" s="2040"/>
      <c r="C19" s="2022"/>
      <c r="D19" s="2041"/>
      <c r="E19" s="1015"/>
      <c r="F19" s="1015"/>
      <c r="G19" s="1861"/>
    </row>
    <row r="20" spans="1:15">
      <c r="A20" s="2042" t="s">
        <v>1574</v>
      </c>
      <c r="B20" s="2043" t="s">
        <v>1575</v>
      </c>
      <c r="C20" s="2044">
        <v>43510</v>
      </c>
      <c r="D20" s="2045" t="s">
        <v>1575</v>
      </c>
      <c r="E20" s="2044"/>
      <c r="F20" s="1015"/>
      <c r="G20" s="1861"/>
    </row>
    <row r="21" spans="1:15">
      <c r="A21" s="2046"/>
      <c r="B21" s="2047" t="s">
        <v>1576</v>
      </c>
      <c r="C21" s="2048"/>
      <c r="D21" s="2033" t="s">
        <v>1576</v>
      </c>
      <c r="E21" s="2049"/>
      <c r="F21" s="1015"/>
      <c r="G21" s="1861"/>
    </row>
    <row r="22" spans="1:15">
      <c r="A22" s="2046"/>
      <c r="B22" s="2050" t="s">
        <v>1577</v>
      </c>
      <c r="C22" s="2051"/>
      <c r="D22" s="2050" t="s">
        <v>1577</v>
      </c>
      <c r="E22" s="2049"/>
      <c r="F22" s="1015"/>
      <c r="G22" s="1861"/>
    </row>
    <row r="23" spans="1:15" s="1859" customFormat="1" ht="21" thickBot="1">
      <c r="A23" s="2052"/>
      <c r="B23" s="2053" t="s">
        <v>1578</v>
      </c>
      <c r="C23" s="2054"/>
      <c r="D23" s="2053" t="s">
        <v>1579</v>
      </c>
      <c r="E23" s="2055"/>
      <c r="F23" s="1015"/>
      <c r="G23" s="1861"/>
      <c r="H23" s="2056"/>
      <c r="I23" s="1860"/>
      <c r="K23" s="1858"/>
      <c r="L23" s="1858"/>
      <c r="M23" s="1858"/>
      <c r="O23" s="1860"/>
    </row>
    <row r="24" spans="1:15" ht="13.5" thickBot="1">
      <c r="A24" s="1066" t="s">
        <v>1580</v>
      </c>
      <c r="B24" s="1015"/>
      <c r="C24" s="1015"/>
      <c r="D24" s="1015"/>
      <c r="E24" s="1015"/>
      <c r="F24" s="1015"/>
      <c r="G24" s="1862"/>
      <c r="I24" s="1065"/>
      <c r="K24" s="1065"/>
    </row>
    <row r="25" spans="1:15" s="1075" customFormat="1" ht="13.5" thickBot="1">
      <c r="A25" s="989"/>
      <c r="B25" s="2057" t="s">
        <v>1581</v>
      </c>
      <c r="C25" s="989"/>
      <c r="D25" s="1009"/>
      <c r="E25" s="1012" t="s">
        <v>1582</v>
      </c>
      <c r="F25" s="989"/>
      <c r="G25" s="2058" t="s">
        <v>1583</v>
      </c>
      <c r="L25" s="1076"/>
      <c r="M25" s="1076"/>
      <c r="O25" s="1077"/>
    </row>
    <row r="26" spans="1:15" s="1075" customFormat="1" ht="13.5" thickBot="1">
      <c r="A26" s="989"/>
      <c r="B26" s="1083" t="s">
        <v>2840</v>
      </c>
      <c r="C26" s="989"/>
      <c r="D26" s="1009"/>
      <c r="E26" s="1083" t="s">
        <v>2840</v>
      </c>
      <c r="F26" s="989"/>
      <c r="G26" s="1679"/>
      <c r="L26" s="1076"/>
      <c r="M26" s="1076"/>
      <c r="O26" s="1077"/>
    </row>
    <row r="27" spans="1:15" ht="25.5">
      <c r="A27" s="1001" t="s">
        <v>1584</v>
      </c>
      <c r="B27" s="998" t="s">
        <v>2841</v>
      </c>
      <c r="C27" s="2833" t="s">
        <v>1584</v>
      </c>
      <c r="D27" s="2834"/>
      <c r="E27" s="998"/>
      <c r="F27" s="1005" t="s">
        <v>1584</v>
      </c>
      <c r="G27" s="998"/>
      <c r="I27" s="1065"/>
      <c r="K27" s="1065"/>
    </row>
    <row r="28" spans="1:15" ht="38.25">
      <c r="A28" s="1002" t="s">
        <v>1585</v>
      </c>
      <c r="B28" s="972" t="s">
        <v>2842</v>
      </c>
      <c r="C28" s="2835" t="s">
        <v>1586</v>
      </c>
      <c r="D28" s="2836"/>
      <c r="E28" s="972"/>
      <c r="F28" s="1886" t="s">
        <v>1586</v>
      </c>
      <c r="G28" s="972"/>
      <c r="I28" s="1065"/>
      <c r="K28" s="1065"/>
    </row>
    <row r="29" spans="1:15">
      <c r="A29" s="1002" t="s">
        <v>1587</v>
      </c>
      <c r="B29" s="972"/>
      <c r="C29" s="2835" t="s">
        <v>1587</v>
      </c>
      <c r="D29" s="2836"/>
      <c r="E29" s="972"/>
      <c r="F29" s="1886" t="s">
        <v>1588</v>
      </c>
      <c r="G29" s="972"/>
      <c r="I29" s="1065"/>
      <c r="K29" s="1065"/>
    </row>
    <row r="30" spans="1:15">
      <c r="A30" s="1002" t="s">
        <v>1589</v>
      </c>
      <c r="B30" s="2746" t="s">
        <v>2843</v>
      </c>
      <c r="C30" s="2855" t="s">
        <v>1590</v>
      </c>
      <c r="D30" s="2059"/>
      <c r="E30" s="1017" t="str">
        <f>E31&amp;" "&amp;E32&amp;" "&amp;E33&amp;" "&amp;E34</f>
        <v xml:space="preserve">   </v>
      </c>
      <c r="F30" s="1886" t="s">
        <v>1591</v>
      </c>
      <c r="G30" s="972"/>
    </row>
    <row r="31" spans="1:15">
      <c r="A31" s="1002" t="s">
        <v>1592</v>
      </c>
      <c r="B31" s="2747">
        <v>39566</v>
      </c>
      <c r="C31" s="2856"/>
      <c r="D31" s="1885" t="s">
        <v>1593</v>
      </c>
      <c r="E31" s="972"/>
      <c r="F31" s="1886" t="s">
        <v>1594</v>
      </c>
      <c r="G31" s="972"/>
    </row>
    <row r="32" spans="1:15" ht="24.75" thickBot="1">
      <c r="A32" s="1003" t="s">
        <v>1595</v>
      </c>
      <c r="B32" s="2748" t="s">
        <v>2844</v>
      </c>
      <c r="C32" s="2856"/>
      <c r="D32" s="1885" t="s">
        <v>1596</v>
      </c>
      <c r="E32" s="972"/>
      <c r="F32" s="1886" t="s">
        <v>1597</v>
      </c>
      <c r="G32" s="972"/>
    </row>
    <row r="33" spans="1:7">
      <c r="A33" s="1001" t="s">
        <v>1598</v>
      </c>
      <c r="B33" s="2749" t="s">
        <v>728</v>
      </c>
      <c r="C33" s="2856"/>
      <c r="D33" s="1885" t="s">
        <v>1599</v>
      </c>
      <c r="E33" s="972"/>
      <c r="F33" s="1886" t="s">
        <v>1600</v>
      </c>
      <c r="G33" s="972"/>
    </row>
    <row r="34" spans="1:7" ht="13.5" thickBot="1">
      <c r="A34" s="1002" t="s">
        <v>1601</v>
      </c>
      <c r="B34" s="2746" t="s">
        <v>728</v>
      </c>
      <c r="C34" s="2857"/>
      <c r="D34" s="1885" t="s">
        <v>1602</v>
      </c>
      <c r="E34" s="972"/>
      <c r="F34" s="1887" t="s">
        <v>1603</v>
      </c>
      <c r="G34" s="1000"/>
    </row>
    <row r="35" spans="1:7">
      <c r="A35" s="1002" t="s">
        <v>1559</v>
      </c>
      <c r="B35" s="2750">
        <v>353.61</v>
      </c>
      <c r="C35" s="2835" t="s">
        <v>1604</v>
      </c>
      <c r="D35" s="2836"/>
      <c r="E35" s="972"/>
      <c r="F35" s="1013" t="s">
        <v>1605</v>
      </c>
      <c r="G35" s="998"/>
    </row>
    <row r="36" spans="1:7" ht="13.5" thickBot="1">
      <c r="A36" s="1002" t="s">
        <v>1606</v>
      </c>
      <c r="B36" s="972"/>
      <c r="C36" s="2837" t="s">
        <v>1607</v>
      </c>
      <c r="D36" s="2838"/>
      <c r="E36" s="999"/>
      <c r="F36" s="1883" t="s">
        <v>1608</v>
      </c>
      <c r="G36" s="972"/>
    </row>
    <row r="37" spans="1:7" ht="13.5" thickBot="1">
      <c r="A37" s="1002" t="s">
        <v>1609</v>
      </c>
      <c r="B37" s="972"/>
      <c r="C37" s="2827" t="s">
        <v>1610</v>
      </c>
      <c r="D37" s="2060" t="s">
        <v>1594</v>
      </c>
      <c r="E37" s="998"/>
      <c r="F37" s="1887" t="s">
        <v>1611</v>
      </c>
      <c r="G37" s="999"/>
    </row>
    <row r="38" spans="1:7">
      <c r="A38" s="1002" t="s">
        <v>1612</v>
      </c>
      <c r="B38" s="972" t="s">
        <v>2845</v>
      </c>
      <c r="C38" s="2828"/>
      <c r="D38" s="1885" t="s">
        <v>1601</v>
      </c>
      <c r="E38" s="972"/>
      <c r="F38" s="1005" t="s">
        <v>1613</v>
      </c>
      <c r="G38" s="998"/>
    </row>
    <row r="39" spans="1:7">
      <c r="A39" s="1002" t="s">
        <v>1614</v>
      </c>
      <c r="B39" s="2751" t="s">
        <v>2846</v>
      </c>
      <c r="C39" s="2828" t="s">
        <v>1615</v>
      </c>
      <c r="D39" s="1885" t="s">
        <v>1559</v>
      </c>
      <c r="E39" s="972"/>
      <c r="F39" s="1886" t="s">
        <v>1616</v>
      </c>
      <c r="G39" s="972"/>
    </row>
    <row r="40" spans="1:7" ht="24.75" customHeight="1" thickBot="1">
      <c r="A40" s="1003" t="s">
        <v>1617</v>
      </c>
      <c r="B40" s="2752">
        <v>2004</v>
      </c>
      <c r="C40" s="2829"/>
      <c r="D40" s="1888" t="s">
        <v>1561</v>
      </c>
      <c r="E40" s="999"/>
      <c r="F40" s="1887" t="s">
        <v>1618</v>
      </c>
      <c r="G40" s="999"/>
    </row>
    <row r="41" spans="1:7">
      <c r="A41" s="1004" t="s">
        <v>1619</v>
      </c>
      <c r="B41" s="1054" t="s">
        <v>2847</v>
      </c>
      <c r="C41" s="2850" t="s">
        <v>1619</v>
      </c>
      <c r="D41" s="2851"/>
      <c r="E41" s="1054"/>
      <c r="F41" s="1005" t="s">
        <v>1620</v>
      </c>
      <c r="G41" s="1054"/>
    </row>
    <row r="42" spans="1:7">
      <c r="A42" s="1051" t="s">
        <v>1621</v>
      </c>
      <c r="B42" s="1055" t="s">
        <v>2839</v>
      </c>
      <c r="C42" s="2061"/>
      <c r="D42" s="2062"/>
      <c r="E42" s="1055"/>
      <c r="F42" s="1053"/>
      <c r="G42" s="1055"/>
    </row>
    <row r="43" spans="1:7">
      <c r="A43" s="93" t="s">
        <v>1575</v>
      </c>
      <c r="B43" s="2753">
        <v>43510</v>
      </c>
      <c r="C43" s="2061"/>
      <c r="D43" s="2063" t="s">
        <v>1575</v>
      </c>
      <c r="E43" s="1052"/>
      <c r="F43" s="93" t="s">
        <v>1575</v>
      </c>
      <c r="G43" s="1052"/>
    </row>
    <row r="44" spans="1:7">
      <c r="A44" s="93" t="s">
        <v>1576</v>
      </c>
      <c r="B44" s="1052"/>
      <c r="C44" s="2061"/>
      <c r="D44" s="2047" t="s">
        <v>1576</v>
      </c>
      <c r="E44" s="1052"/>
      <c r="F44" s="93" t="s">
        <v>1576</v>
      </c>
      <c r="G44" s="1052"/>
    </row>
    <row r="45" spans="1:7">
      <c r="A45" s="93" t="s">
        <v>1577</v>
      </c>
      <c r="B45" s="1052"/>
      <c r="C45" s="2061"/>
      <c r="D45" s="2047" t="s">
        <v>1577</v>
      </c>
      <c r="E45" s="1052"/>
      <c r="F45" s="93" t="s">
        <v>1577</v>
      </c>
      <c r="G45" s="1052"/>
    </row>
    <row r="46" spans="1:7">
      <c r="A46" s="93" t="s">
        <v>1578</v>
      </c>
      <c r="B46" s="1052"/>
      <c r="C46" s="2061"/>
      <c r="D46" s="2047" t="s">
        <v>1578</v>
      </c>
      <c r="E46" s="1052"/>
      <c r="F46" s="93" t="s">
        <v>1578</v>
      </c>
      <c r="G46" s="1052"/>
    </row>
    <row r="47" spans="1:7">
      <c r="A47" s="1051"/>
      <c r="B47" s="1052"/>
      <c r="C47" s="2061"/>
      <c r="D47" s="2062"/>
      <c r="E47" s="1052"/>
      <c r="F47" s="1053"/>
      <c r="G47" s="1052"/>
    </row>
    <row r="48" spans="1:7" ht="13.5" thickBot="1">
      <c r="A48" s="1003" t="s">
        <v>1622</v>
      </c>
      <c r="B48" s="999"/>
      <c r="C48" s="2852" t="s">
        <v>1622</v>
      </c>
      <c r="D48" s="2853"/>
      <c r="E48" s="1049"/>
      <c r="F48" s="1887" t="s">
        <v>1623</v>
      </c>
      <c r="G48" s="999"/>
    </row>
    <row r="49" spans="1:15">
      <c r="A49" s="1002" t="s">
        <v>1624</v>
      </c>
      <c r="B49" s="1048"/>
      <c r="C49" s="2827" t="s">
        <v>1625</v>
      </c>
      <c r="D49" s="2854"/>
      <c r="E49" s="1050"/>
      <c r="F49" s="1078"/>
      <c r="G49" s="1079"/>
    </row>
    <row r="50" spans="1:15" ht="13.5" thickBot="1">
      <c r="A50" s="1002" t="s">
        <v>1626</v>
      </c>
      <c r="B50" s="1048"/>
      <c r="C50" s="2829" t="s">
        <v>1627</v>
      </c>
      <c r="D50" s="2832"/>
      <c r="E50" s="999"/>
      <c r="F50" s="1015"/>
      <c r="G50" s="1068"/>
    </row>
    <row r="51" spans="1:15">
      <c r="A51" s="1002" t="s">
        <v>1605</v>
      </c>
      <c r="B51" s="972"/>
      <c r="C51" s="1015"/>
      <c r="D51" s="1015"/>
      <c r="E51" s="1015"/>
      <c r="F51" s="1015"/>
      <c r="G51" s="1068"/>
    </row>
    <row r="52" spans="1:15" ht="24.75" thickBot="1">
      <c r="A52" s="1003" t="s">
        <v>1628</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30"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1" bestFit="1" customWidth="1"/>
    <col min="10" max="14" width="8.875" style="1231" customWidth="1"/>
    <col min="15" max="16" width="12.375" style="83"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1629</v>
      </c>
      <c r="B1" s="1231"/>
      <c r="C1" s="1231"/>
      <c r="D1" s="1846"/>
      <c r="E1" s="1846"/>
      <c r="AE1" s="1231"/>
      <c r="AF1" s="1231"/>
      <c r="AG1" s="1231"/>
      <c r="AH1" s="1231"/>
      <c r="AI1" s="1231"/>
      <c r="AJ1" s="1231"/>
      <c r="AK1" s="1231"/>
      <c r="AL1" s="1231"/>
      <c r="AM1" s="1231"/>
      <c r="AN1" s="1231"/>
      <c r="AO1" s="1231"/>
    </row>
    <row r="2" spans="1:41" s="2069" customFormat="1" ht="15.75" thickBot="1">
      <c r="A2" s="2066" t="s">
        <v>1630</v>
      </c>
      <c r="B2" s="1203">
        <f>项目基本情况!D2</f>
        <v>43888</v>
      </c>
      <c r="C2" s="1848"/>
      <c r="D2" s="2860" t="s">
        <v>1631</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6" t="s">
        <v>1632</v>
      </c>
      <c r="B3" s="2070" t="s">
        <v>2852</v>
      </c>
      <c r="C3" s="1848"/>
      <c r="D3" s="2861"/>
      <c r="E3" s="1182" t="s">
        <v>1633</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9" t="s">
        <v>1634</v>
      </c>
      <c r="B4" s="2070" t="s">
        <v>2853</v>
      </c>
      <c r="C4" s="1848"/>
      <c r="D4" s="2861"/>
      <c r="E4" s="1182"/>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1635</v>
      </c>
      <c r="B5" s="1312">
        <f>项目基本情况!C12</f>
        <v>353.61</v>
      </c>
      <c r="C5" s="1848"/>
      <c r="D5" s="2072" t="s">
        <v>1636</v>
      </c>
      <c r="E5" s="392"/>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1637</v>
      </c>
      <c r="B6" s="1313">
        <f>项目基本情况!C13</f>
        <v>0</v>
      </c>
      <c r="C6" s="1848"/>
      <c r="D6" s="2072" t="s">
        <v>1638</v>
      </c>
      <c r="E6" s="392"/>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1639</v>
      </c>
      <c r="B10" s="2077" t="s">
        <v>2848</v>
      </c>
      <c r="C10" s="1848"/>
      <c r="D10" s="2066" t="s">
        <v>1640</v>
      </c>
      <c r="E10" s="2078" t="s">
        <v>1641</v>
      </c>
      <c r="F10" s="1139" t="s">
        <v>1642</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1643</v>
      </c>
      <c r="B11" s="984">
        <v>70</v>
      </c>
      <c r="C11" s="1848"/>
      <c r="D11" s="2080" t="s">
        <v>1644</v>
      </c>
      <c r="E11" s="34">
        <v>200</v>
      </c>
      <c r="F11" s="1847" t="s">
        <v>1645</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1646</v>
      </c>
      <c r="B12" s="2084"/>
      <c r="C12" s="1848"/>
      <c r="D12" s="2085" t="s">
        <v>1647</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1648</v>
      </c>
      <c r="B13" s="985">
        <f>IF(B12="",B11-(YEAR($B$2)-B26+B23),ROUNDDOWN(MIN((B12-$B$2)/365,B11),2))</f>
        <v>53</v>
      </c>
      <c r="C13" s="2087"/>
      <c r="D13" s="2088" t="s">
        <v>1649</v>
      </c>
      <c r="E13" s="39"/>
      <c r="F13" s="1842" t="s">
        <v>1650</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1651</v>
      </c>
      <c r="B14" s="986">
        <f>IF(ISERROR(ROUND(POWER(1+B15,B11-B13)*(POWER(1+B15,B13)-1)/(POWER(1+B15,B11)-1),3)),0,ROUND(POWER(1+B15,B11-B13)*(POWER(1+B15,B13)-1)/(POWER(1+B15,B11)-1),3))</f>
        <v>0.93500000000000005</v>
      </c>
      <c r="C14" s="1848"/>
      <c r="D14" s="2089" t="s">
        <v>1652</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1653</v>
      </c>
      <c r="B15" s="30">
        <v>0.04</v>
      </c>
      <c r="C15" s="1848"/>
      <c r="D15" s="2085" t="s">
        <v>1654</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1655</v>
      </c>
      <c r="B16" s="30">
        <v>4.4999999999999998E-2</v>
      </c>
      <c r="C16" s="1848"/>
      <c r="D16" s="2090" t="s">
        <v>1656</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1657</v>
      </c>
      <c r="B17" s="991">
        <v>8.5000000000000006E-2</v>
      </c>
      <c r="C17" s="1848"/>
      <c r="D17" s="2076" t="s">
        <v>1658</v>
      </c>
      <c r="E17" s="979">
        <v>3500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0">
        <f>ROUND(B5*E17*IF(B25=0,1,E20),0)</f>
        <v>1237635</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1659</v>
      </c>
      <c r="B19" s="1848"/>
      <c r="C19" s="1848"/>
      <c r="D19" s="2092" t="str">
        <f>IF(B25=0,"——","续建建安")</f>
        <v>——</v>
      </c>
      <c r="E19" s="980" t="str">
        <f>IF(B25=0,"——",ROUND(B5*E17*(1-E20),0))</f>
        <v>——</v>
      </c>
      <c r="F19" s="1314" t="str">
        <f>IF(B25=0,"——",ROUND(E5*E17*(1-E20),0))</f>
        <v>——</v>
      </c>
      <c r="G19" s="1848"/>
      <c r="H19" s="1848">
        <f>ROUND(1-(1-0)*(2020-2003)/60,2)</f>
        <v>0.72</v>
      </c>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1660</v>
      </c>
      <c r="B20" s="31"/>
      <c r="C20" s="1848"/>
      <c r="D20" s="2094" t="str">
        <f>IF(B25=0,"成新率","工程进度")</f>
        <v>成新率</v>
      </c>
      <c r="E20" s="981">
        <f>ROUND(H19*0.5+H20*0.5,2)</f>
        <v>0.81</v>
      </c>
      <c r="F20" s="1231"/>
      <c r="G20" s="1848"/>
      <c r="H20" s="1848">
        <v>0.9</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1661</v>
      </c>
      <c r="B21" s="32">
        <v>1</v>
      </c>
      <c r="C21" s="1848"/>
      <c r="D21" s="2085" t="s">
        <v>1662</v>
      </c>
      <c r="E21" s="2756">
        <v>0.03</v>
      </c>
      <c r="F21" s="1845" t="s">
        <v>1663</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1664</v>
      </c>
      <c r="B22" s="1448">
        <v>1</v>
      </c>
      <c r="C22" s="1848"/>
      <c r="D22" s="2085" t="s">
        <v>1665</v>
      </c>
      <c r="E22" s="2757">
        <v>0.05</v>
      </c>
      <c r="F22" s="1845" t="s">
        <v>1666</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1667</v>
      </c>
      <c r="B23" s="33">
        <f>B20+B21</f>
        <v>1</v>
      </c>
      <c r="C23" s="1848"/>
      <c r="D23" s="2085" t="s">
        <v>1668</v>
      </c>
      <c r="E23" s="2758">
        <v>200</v>
      </c>
      <c r="F23" s="1845" t="s">
        <v>1669</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1670</v>
      </c>
      <c r="B24" s="1736">
        <f>B20+B22</f>
        <v>1</v>
      </c>
      <c r="C24" s="1848"/>
      <c r="D24" s="2090" t="s">
        <v>1671</v>
      </c>
      <c r="E24" s="2759">
        <v>1.4999999999999999E-2</v>
      </c>
      <c r="F24" s="1845" t="s">
        <v>1672</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1673</v>
      </c>
      <c r="B25" s="1447">
        <f>B21-B22</f>
        <v>0</v>
      </c>
      <c r="C25" s="1231"/>
      <c r="D25" s="2080" t="s">
        <v>1674</v>
      </c>
      <c r="E25" s="2756">
        <v>0.02</v>
      </c>
      <c r="F25" s="1845" t="s">
        <v>1675</v>
      </c>
      <c r="I25" s="1846"/>
      <c r="AE25" s="1231"/>
      <c r="AF25" s="1231"/>
      <c r="AG25" s="1231"/>
      <c r="AH25" s="1231"/>
      <c r="AI25" s="1231"/>
      <c r="AJ25" s="1231"/>
      <c r="AK25" s="1231"/>
      <c r="AL25" s="1231"/>
      <c r="AM25" s="1231"/>
      <c r="AN25" s="1231"/>
      <c r="AO25" s="1231"/>
    </row>
    <row r="26" spans="1:41" ht="15.75" thickBot="1">
      <c r="A26" s="2099" t="s">
        <v>1676</v>
      </c>
      <c r="B26" s="1088">
        <v>2004</v>
      </c>
      <c r="C26" s="1848"/>
      <c r="D26" s="2085" t="s">
        <v>1677</v>
      </c>
      <c r="E26" s="2757">
        <v>0.02</v>
      </c>
      <c r="F26" s="1845" t="s">
        <v>1675</v>
      </c>
      <c r="G26" s="2068"/>
      <c r="H26" s="2068"/>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5" t="s">
        <v>1678</v>
      </c>
      <c r="E27" s="351">
        <f ca="1">存贷款利率!G1</f>
        <v>4.3499999999999997E-2</v>
      </c>
      <c r="F27" s="1845" t="s">
        <v>1679</v>
      </c>
      <c r="G27" s="2068"/>
      <c r="H27" s="2068"/>
      <c r="K27" s="1848"/>
      <c r="N27" s="1848"/>
      <c r="AE27" s="1231"/>
      <c r="AF27" s="1231"/>
      <c r="AG27" s="1231"/>
      <c r="AH27" s="1231"/>
      <c r="AI27" s="1231"/>
      <c r="AJ27" s="1231"/>
      <c r="AK27" s="1231"/>
      <c r="AL27" s="1231"/>
      <c r="AM27" s="1231"/>
      <c r="AN27" s="1231"/>
      <c r="AO27" s="1231"/>
    </row>
    <row r="28" spans="1:41" ht="15" thickBot="1">
      <c r="A28" s="2100" t="s">
        <v>1680</v>
      </c>
      <c r="B28" s="2101" t="s">
        <v>2854</v>
      </c>
      <c r="C28" s="1231"/>
      <c r="D28" s="2102" t="s">
        <v>1681</v>
      </c>
      <c r="E28" s="983">
        <v>0.2</v>
      </c>
      <c r="G28" s="2068"/>
      <c r="H28" s="2068"/>
      <c r="K28" s="1848"/>
      <c r="N28" s="1848"/>
      <c r="AE28" s="1231"/>
      <c r="AF28" s="1231"/>
      <c r="AG28" s="1231"/>
      <c r="AH28" s="1231"/>
      <c r="AI28" s="1231"/>
      <c r="AJ28" s="1231"/>
      <c r="AK28" s="1231"/>
      <c r="AL28" s="1231"/>
      <c r="AM28" s="1231"/>
      <c r="AN28" s="1231"/>
      <c r="AO28" s="1231"/>
    </row>
    <row r="29" spans="1:41" ht="14.25">
      <c r="A29" s="2083" t="str">
        <f>IF(B28="租赁期内按合同租金","合同租金","市场租金")</f>
        <v>市场租金</v>
      </c>
      <c r="B29" s="29">
        <v>20000</v>
      </c>
      <c r="C29" s="1231"/>
      <c r="D29" s="2089" t="s">
        <v>1682</v>
      </c>
      <c r="E29" s="982">
        <f>E30+E31</f>
        <v>5.5000000000000007E-2</v>
      </c>
      <c r="F29" s="1842"/>
      <c r="G29" s="2068"/>
      <c r="H29" s="2068"/>
      <c r="K29" s="1848"/>
      <c r="N29" s="1848"/>
      <c r="AE29" s="1231"/>
      <c r="AF29" s="1231"/>
      <c r="AG29" s="1231"/>
      <c r="AH29" s="1231"/>
      <c r="AI29" s="1231"/>
      <c r="AJ29" s="1231"/>
      <c r="AK29" s="1231"/>
      <c r="AL29" s="1231"/>
      <c r="AM29" s="1231"/>
      <c r="AN29" s="1231"/>
      <c r="AO29" s="1231"/>
    </row>
    <row r="30" spans="1:41" ht="14.25">
      <c r="A30" s="2083" t="s">
        <v>1683</v>
      </c>
      <c r="B30" s="1413">
        <f ca="1">存贷款利率!I1</f>
        <v>1.4999999999999999E-2</v>
      </c>
      <c r="C30" s="1231"/>
      <c r="D30" s="2103" t="s">
        <v>1684</v>
      </c>
      <c r="E30" s="40">
        <v>0.05</v>
      </c>
      <c r="F30" s="1853">
        <f>IF(B2&lt;DATE(2016,5,1),0,E30)</f>
        <v>0.05</v>
      </c>
      <c r="G30" s="2068"/>
      <c r="H30" s="2068"/>
      <c r="K30" s="1848"/>
      <c r="N30" s="1848"/>
      <c r="AE30" s="1231"/>
      <c r="AF30" s="1231"/>
      <c r="AG30" s="1231"/>
      <c r="AH30" s="1231"/>
      <c r="AI30" s="1231"/>
      <c r="AJ30" s="1231"/>
      <c r="AK30" s="1231"/>
      <c r="AL30" s="1231"/>
      <c r="AM30" s="1231"/>
      <c r="AN30" s="1231"/>
      <c r="AO30" s="1231"/>
    </row>
    <row r="31" spans="1:41" ht="14.25">
      <c r="A31" s="2083" t="s">
        <v>1685</v>
      </c>
      <c r="B31" s="30">
        <v>0.03</v>
      </c>
      <c r="C31" s="1231"/>
      <c r="D31" s="2103" t="s">
        <v>1686</v>
      </c>
      <c r="E31" s="41">
        <f>E30*(E32+E33+E34)+E35</f>
        <v>5.000000000000001E-3</v>
      </c>
      <c r="F31" s="1842"/>
      <c r="G31" s="2068"/>
      <c r="H31" s="2068"/>
      <c r="K31" s="1848"/>
      <c r="N31" s="1848"/>
      <c r="AE31" s="1231"/>
      <c r="AF31" s="1231"/>
      <c r="AG31" s="1231"/>
      <c r="AH31" s="1231"/>
      <c r="AI31" s="1231"/>
      <c r="AJ31" s="1231"/>
      <c r="AK31" s="1231"/>
      <c r="AL31" s="1231"/>
      <c r="AM31" s="1231"/>
      <c r="AN31" s="1231"/>
      <c r="AO31" s="1231"/>
    </row>
    <row r="32" spans="1:41" ht="14.25">
      <c r="A32" s="2083" t="s">
        <v>1687</v>
      </c>
      <c r="B32" s="30">
        <v>0.1</v>
      </c>
      <c r="C32" s="1231"/>
      <c r="D32" s="2104" t="s">
        <v>1688</v>
      </c>
      <c r="E32" s="42">
        <v>0.05</v>
      </c>
      <c r="F32" s="1840" t="s">
        <v>1689</v>
      </c>
      <c r="G32" s="2068"/>
      <c r="H32" s="2068"/>
      <c r="K32" s="1848"/>
      <c r="L32" s="1848"/>
      <c r="M32" s="1848"/>
      <c r="N32" s="1848"/>
      <c r="AE32" s="1231"/>
      <c r="AF32" s="1231"/>
      <c r="AG32" s="1231"/>
      <c r="AH32" s="1231"/>
      <c r="AI32" s="1231"/>
      <c r="AJ32" s="1231"/>
      <c r="AK32" s="1231"/>
      <c r="AL32" s="1231"/>
      <c r="AM32" s="1231"/>
      <c r="AN32" s="1231"/>
      <c r="AO32" s="1231"/>
    </row>
    <row r="33" spans="1:41" ht="14.25">
      <c r="A33" s="2083" t="s">
        <v>1690</v>
      </c>
      <c r="B33" s="1374">
        <f>收益法!J54</f>
        <v>53</v>
      </c>
      <c r="C33" s="1231"/>
      <c r="D33" s="2104" t="s">
        <v>1691</v>
      </c>
      <c r="E33" s="40">
        <v>0.03</v>
      </c>
      <c r="F33" s="1839" t="s">
        <v>1692</v>
      </c>
      <c r="G33" s="2068"/>
      <c r="H33" s="2068"/>
      <c r="K33" s="1848"/>
      <c r="L33" s="1848"/>
      <c r="M33" s="1848"/>
      <c r="N33" s="1848"/>
      <c r="AE33" s="1231"/>
      <c r="AF33" s="1231"/>
      <c r="AG33" s="1231"/>
      <c r="AH33" s="1231"/>
      <c r="AI33" s="1231"/>
      <c r="AJ33" s="1231"/>
      <c r="AK33" s="1231"/>
      <c r="AL33" s="1231"/>
      <c r="AM33" s="1231"/>
      <c r="AN33" s="1231"/>
      <c r="AO33" s="1231"/>
    </row>
    <row r="34" spans="1:41" s="2106" customFormat="1" ht="15" thickBot="1">
      <c r="A34" s="2103" t="str">
        <f>IF(B28="租赁期内按合同租金","剩余租赁期","——")</f>
        <v>——</v>
      </c>
      <c r="B34" s="992"/>
      <c r="C34" s="1231"/>
      <c r="D34" s="2104" t="s">
        <v>1693</v>
      </c>
      <c r="E34" s="40">
        <v>0.02</v>
      </c>
      <c r="F34" s="1839" t="s">
        <v>1694</v>
      </c>
      <c r="G34" s="2105"/>
      <c r="H34" s="2105"/>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6" customFormat="1" ht="15.75" thickBot="1">
      <c r="A35" s="2107" t="s">
        <v>1695</v>
      </c>
      <c r="B35" s="988"/>
      <c r="C35" s="1231"/>
      <c r="D35" s="2108" t="s">
        <v>1696</v>
      </c>
      <c r="E35" s="43"/>
      <c r="F35" s="1847" t="s">
        <v>1697</v>
      </c>
      <c r="G35" s="2105"/>
      <c r="H35" s="2105"/>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6" customFormat="1" ht="14.25">
      <c r="A36" s="2109" t="str">
        <f>IF(B28="租赁期内按合同租金","租金","——")</f>
        <v>——</v>
      </c>
      <c r="B36" s="993"/>
      <c r="C36" s="1231"/>
      <c r="D36" s="2110" t="s">
        <v>1698</v>
      </c>
      <c r="E36" s="44">
        <v>0.03</v>
      </c>
      <c r="F36" s="1843" t="s">
        <v>1699</v>
      </c>
      <c r="G36" s="2105"/>
      <c r="H36" s="2105"/>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6" customFormat="1" ht="15" thickBot="1">
      <c r="A37" s="2083" t="str">
        <f>IF(B28="租赁期内按合同租金","年租金增长率","——")</f>
        <v>——</v>
      </c>
      <c r="B37" s="30"/>
      <c r="C37" s="1231"/>
      <c r="D37" s="2090" t="s">
        <v>1700</v>
      </c>
      <c r="E37" s="40">
        <v>5.0000000000000001E-4</v>
      </c>
      <c r="F37" s="1843" t="s">
        <v>1701</v>
      </c>
      <c r="G37" s="2068"/>
      <c r="H37" s="2068"/>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6" customFormat="1" ht="14.25">
      <c r="A38" s="2083" t="str">
        <f>IF(B28="租赁期内按合同租金","空置率","——")</f>
        <v>——</v>
      </c>
      <c r="B38" s="30"/>
      <c r="C38" s="1231"/>
      <c r="D38" s="2111" t="s">
        <v>1702</v>
      </c>
      <c r="E38" s="45">
        <v>1.2E-2</v>
      </c>
      <c r="F38" s="1841"/>
      <c r="G38" s="1846"/>
      <c r="H38" s="1846"/>
      <c r="I38" s="2068"/>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6" customFormat="1" ht="15" thickBot="1">
      <c r="A39" s="2083" t="str">
        <f>IF(B28="租赁期内按合同租金","成新率","——")</f>
        <v>——</v>
      </c>
      <c r="B39" s="30"/>
      <c r="C39" s="1231"/>
      <c r="D39" s="2088" t="s">
        <v>1703</v>
      </c>
      <c r="E39" s="46">
        <v>0.12</v>
      </c>
      <c r="F39" s="1841"/>
      <c r="G39" s="2105"/>
      <c r="H39" s="2105"/>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3" t="str">
        <f>IF(B28="租赁期内按合同租金","租赁期外收益期","——")</f>
        <v>——</v>
      </c>
      <c r="B40" s="1187" t="str">
        <f>IF(B28="租赁期内按合同租金",B33-B34,"——")</f>
        <v>——</v>
      </c>
      <c r="C40" s="1231"/>
      <c r="D40" s="2111" t="s">
        <v>1704</v>
      </c>
      <c r="E40" s="47">
        <f>SUMIF(D42:D51,E41,E42:E51)</f>
        <v>1.5</v>
      </c>
      <c r="F40" s="1841"/>
      <c r="G40" s="2068"/>
      <c r="H40" s="2068"/>
      <c r="I40" s="1848"/>
      <c r="J40" s="1848"/>
      <c r="K40" s="1848"/>
      <c r="L40" s="1848"/>
      <c r="M40" s="1848"/>
      <c r="N40" s="1848"/>
      <c r="AE40" s="1231"/>
      <c r="AF40" s="1231"/>
      <c r="AG40" s="1231"/>
      <c r="AH40" s="1231"/>
      <c r="AI40" s="1231"/>
      <c r="AJ40" s="1231"/>
      <c r="AK40" s="1231"/>
      <c r="AL40" s="1231"/>
      <c r="AM40" s="1231"/>
      <c r="AN40" s="1231"/>
      <c r="AO40" s="1231"/>
    </row>
    <row r="41" spans="1:41" ht="14.25">
      <c r="A41" s="2112" t="s">
        <v>1705</v>
      </c>
      <c r="B41" s="994">
        <v>1</v>
      </c>
      <c r="C41" s="1231"/>
      <c r="D41" s="2085" t="s">
        <v>1706</v>
      </c>
      <c r="E41" s="2113" t="s">
        <v>70</v>
      </c>
      <c r="F41" s="1841" t="s">
        <v>1707</v>
      </c>
      <c r="G41" s="2114" t="s">
        <v>1708</v>
      </c>
      <c r="H41" s="2068"/>
      <c r="I41" s="1848"/>
      <c r="J41" s="1848"/>
      <c r="K41" s="1848"/>
      <c r="L41" s="1848"/>
      <c r="M41" s="1848"/>
      <c r="N41" s="1848"/>
      <c r="AE41" s="1231"/>
      <c r="AF41" s="1231"/>
      <c r="AG41" s="1231"/>
      <c r="AH41" s="1231"/>
      <c r="AI41" s="1231"/>
      <c r="AJ41" s="1231"/>
      <c r="AK41" s="1231"/>
      <c r="AL41" s="1231"/>
      <c r="AM41" s="1231"/>
      <c r="AN41" s="1231"/>
      <c r="AO41" s="1231"/>
    </row>
    <row r="42" spans="1:41" ht="14.25">
      <c r="A42" s="2083" t="s">
        <v>1709</v>
      </c>
      <c r="B42" s="987">
        <v>12</v>
      </c>
      <c r="C42" s="1231"/>
      <c r="D42" s="2115" t="s">
        <v>1710</v>
      </c>
      <c r="E42" s="29"/>
      <c r="F42" s="1841">
        <v>30</v>
      </c>
      <c r="G42" s="2068"/>
      <c r="H42" s="2068"/>
      <c r="I42" s="1848"/>
      <c r="J42" s="1848"/>
      <c r="K42" s="1848"/>
      <c r="L42" s="1848"/>
      <c r="M42" s="1848"/>
      <c r="N42" s="1848"/>
      <c r="AE42" s="1231"/>
      <c r="AF42" s="1231"/>
      <c r="AG42" s="1231"/>
      <c r="AH42" s="1231"/>
      <c r="AI42" s="1231"/>
      <c r="AJ42" s="1231"/>
      <c r="AK42" s="1231"/>
      <c r="AL42" s="1231"/>
      <c r="AM42" s="1231"/>
      <c r="AN42" s="1231"/>
      <c r="AO42" s="1231"/>
    </row>
    <row r="43" spans="1:41" ht="14.25">
      <c r="A43" s="2083" t="s">
        <v>1711</v>
      </c>
      <c r="B43" s="29"/>
      <c r="C43" s="1231"/>
      <c r="D43" s="2115" t="s">
        <v>1712</v>
      </c>
      <c r="E43" s="29"/>
      <c r="F43" s="1841">
        <v>24</v>
      </c>
      <c r="G43" s="2068"/>
      <c r="H43" s="2068"/>
      <c r="I43" s="1848"/>
      <c r="J43" s="1848"/>
      <c r="K43" s="1848"/>
      <c r="L43" s="1848"/>
      <c r="M43" s="1848"/>
      <c r="N43" s="1848"/>
      <c r="AE43" s="1231"/>
      <c r="AF43" s="1231"/>
      <c r="AG43" s="1231"/>
      <c r="AH43" s="1231"/>
      <c r="AI43" s="1231"/>
      <c r="AJ43" s="1231"/>
      <c r="AK43" s="1231"/>
      <c r="AL43" s="1231"/>
      <c r="AM43" s="1231"/>
      <c r="AN43" s="1231"/>
      <c r="AO43" s="1231"/>
    </row>
    <row r="44" spans="1:41" ht="14.25">
      <c r="A44" s="2083" t="s">
        <v>1713</v>
      </c>
      <c r="B44" s="995">
        <v>1.4999999999999999E-2</v>
      </c>
      <c r="C44" s="1231" t="s">
        <v>965</v>
      </c>
      <c r="D44" s="2115" t="s">
        <v>1714</v>
      </c>
      <c r="E44" s="29"/>
      <c r="F44" s="1841">
        <v>18</v>
      </c>
      <c r="G44" s="1231"/>
      <c r="H44" s="1231"/>
      <c r="I44" s="2068"/>
      <c r="J44" s="1848"/>
      <c r="K44" s="1848"/>
      <c r="L44" s="1848"/>
      <c r="M44" s="1848"/>
      <c r="N44" s="1848"/>
      <c r="AE44" s="1231"/>
      <c r="AF44" s="1231"/>
      <c r="AG44" s="1231"/>
      <c r="AH44" s="1231"/>
      <c r="AI44" s="1231"/>
      <c r="AJ44" s="1231"/>
      <c r="AK44" s="1231"/>
      <c r="AL44" s="1231"/>
      <c r="AM44" s="1231"/>
      <c r="AN44" s="1231"/>
      <c r="AO44" s="1231"/>
    </row>
    <row r="45" spans="1:41" ht="14.25">
      <c r="A45" s="2083" t="s">
        <v>1715</v>
      </c>
      <c r="B45" s="996">
        <v>1.5E-3</v>
      </c>
      <c r="C45" s="1231" t="s">
        <v>966</v>
      </c>
      <c r="D45" s="2115" t="s">
        <v>1716</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2" t="s">
        <v>1717</v>
      </c>
      <c r="B46" s="997">
        <v>0.01</v>
      </c>
      <c r="C46" s="1231" t="s">
        <v>967</v>
      </c>
      <c r="D46" s="2115" t="s">
        <v>1466</v>
      </c>
      <c r="E46" s="29"/>
      <c r="F46" s="1841">
        <v>3</v>
      </c>
      <c r="G46" s="1231"/>
      <c r="H46" s="1231"/>
      <c r="M46" s="1848"/>
      <c r="N46" s="1848"/>
      <c r="AE46" s="1231"/>
      <c r="AF46" s="1231"/>
      <c r="AG46" s="1231"/>
      <c r="AH46" s="1231"/>
      <c r="AI46" s="1231"/>
      <c r="AJ46" s="1231"/>
      <c r="AK46" s="1231"/>
      <c r="AL46" s="1231"/>
      <c r="AM46" s="1231"/>
      <c r="AN46" s="1231"/>
      <c r="AO46" s="1231"/>
    </row>
    <row r="47" spans="1:41" ht="14.25">
      <c r="A47" s="1231"/>
      <c r="B47" s="1231"/>
      <c r="C47" s="1231"/>
      <c r="D47" s="2115" t="s">
        <v>1718</v>
      </c>
      <c r="E47" s="29">
        <v>1.5</v>
      </c>
      <c r="F47" s="1841">
        <v>1.5</v>
      </c>
      <c r="G47" s="1231"/>
      <c r="H47" s="1231"/>
      <c r="M47" s="1848"/>
      <c r="N47" s="1848"/>
      <c r="AE47" s="1231"/>
      <c r="AF47" s="1231"/>
      <c r="AG47" s="1231"/>
      <c r="AH47" s="1231"/>
      <c r="AI47" s="1231"/>
      <c r="AJ47" s="1231"/>
      <c r="AK47" s="1231"/>
      <c r="AL47" s="1231"/>
      <c r="AM47" s="1231"/>
      <c r="AN47" s="1231"/>
      <c r="AO47" s="1231"/>
    </row>
    <row r="48" spans="1:41" ht="14.25">
      <c r="A48" s="1231"/>
      <c r="B48" s="1231"/>
      <c r="C48" s="1231"/>
      <c r="D48" s="2115" t="s">
        <v>1719</v>
      </c>
      <c r="E48" s="29"/>
      <c r="F48" s="1848"/>
      <c r="G48" s="1231"/>
      <c r="H48" s="1231"/>
      <c r="M48" s="1848"/>
      <c r="N48" s="1848"/>
      <c r="AE48" s="1231"/>
      <c r="AF48" s="1231"/>
      <c r="AG48" s="1231"/>
      <c r="AH48" s="1231"/>
      <c r="AI48" s="1231"/>
      <c r="AJ48" s="1231"/>
      <c r="AK48" s="1231"/>
      <c r="AL48" s="1231"/>
      <c r="AM48" s="1231"/>
      <c r="AN48" s="1231"/>
      <c r="AO48" s="1231"/>
    </row>
    <row r="49" spans="1:41" ht="14.25">
      <c r="A49" s="1231"/>
      <c r="B49" s="1231"/>
      <c r="C49" s="1231"/>
      <c r="D49" s="2115" t="s">
        <v>1720</v>
      </c>
      <c r="E49" s="29"/>
      <c r="F49" s="1848"/>
      <c r="G49" s="1231"/>
      <c r="H49" s="1231"/>
      <c r="M49" s="1848"/>
      <c r="N49" s="1848"/>
      <c r="AE49" s="1231"/>
      <c r="AF49" s="1231"/>
      <c r="AG49" s="1231"/>
      <c r="AH49" s="1231"/>
      <c r="AI49" s="1231"/>
      <c r="AJ49" s="1231"/>
      <c r="AK49" s="1231"/>
      <c r="AL49" s="1231"/>
      <c r="AM49" s="1231"/>
      <c r="AN49" s="1231"/>
      <c r="AO49" s="1231"/>
    </row>
    <row r="50" spans="1:41" ht="14.25">
      <c r="A50" s="1231"/>
      <c r="B50" s="1231"/>
      <c r="C50" s="1231"/>
      <c r="D50" s="2115" t="s">
        <v>1721</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6" t="s">
        <v>1722</v>
      </c>
      <c r="E51" s="48"/>
      <c r="F51" s="1848"/>
      <c r="M51" s="1848"/>
      <c r="N51" s="1848"/>
      <c r="O51" s="83"/>
      <c r="P51" s="83"/>
    </row>
    <row r="52" spans="1:41" s="1231" customFormat="1" ht="14.25">
      <c r="D52" s="2068"/>
      <c r="E52" s="2068"/>
      <c r="F52" s="2068"/>
      <c r="G52" s="2068"/>
      <c r="H52" s="2068"/>
      <c r="I52" s="1848"/>
      <c r="J52" s="1848"/>
      <c r="K52" s="1848"/>
      <c r="L52" s="1848"/>
      <c r="M52" s="1848"/>
      <c r="N52" s="1848"/>
      <c r="O52" s="83"/>
      <c r="P52" s="83"/>
    </row>
    <row r="53" spans="1:41" s="1231" customFormat="1" ht="14.25">
      <c r="D53" s="2068"/>
      <c r="E53" s="2068"/>
      <c r="F53" s="2068"/>
      <c r="G53" s="2068"/>
      <c r="H53" s="2068"/>
      <c r="I53" s="1848"/>
      <c r="J53" s="1848"/>
      <c r="K53" s="1848"/>
      <c r="L53" s="1848"/>
      <c r="M53" s="1848"/>
      <c r="N53" s="1848"/>
      <c r="O53" s="83"/>
      <c r="P53" s="83"/>
    </row>
    <row r="54" spans="1:41" s="1231" customFormat="1" ht="14.25">
      <c r="D54" s="2068"/>
      <c r="E54" s="2068"/>
      <c r="F54" s="2068"/>
      <c r="G54" s="2068"/>
      <c r="H54" s="2068"/>
      <c r="I54" s="1848"/>
      <c r="J54" s="1848"/>
      <c r="K54" s="1848"/>
      <c r="L54" s="1848"/>
      <c r="M54" s="1848"/>
      <c r="N54" s="1848"/>
      <c r="O54" s="83"/>
      <c r="P54" s="83"/>
    </row>
    <row r="55" spans="1:41" s="1231" customFormat="1" ht="14.25">
      <c r="D55" s="2068"/>
      <c r="E55" s="2068"/>
      <c r="F55" s="2068"/>
      <c r="G55" s="2068"/>
      <c r="H55" s="2068"/>
      <c r="I55" s="1848"/>
      <c r="J55" s="1848"/>
      <c r="K55" s="1848"/>
      <c r="L55" s="1848"/>
      <c r="M55" s="1848"/>
      <c r="N55" s="1848"/>
      <c r="O55" s="83"/>
      <c r="P55" s="83"/>
    </row>
    <row r="56" spans="1:41" s="1231" customFormat="1" ht="14.25">
      <c r="D56" s="2068"/>
      <c r="E56" s="2068"/>
      <c r="F56" s="2068"/>
      <c r="G56" s="2068"/>
      <c r="H56" s="2068"/>
      <c r="I56" s="1848"/>
      <c r="J56" s="1848"/>
      <c r="K56" s="1848"/>
      <c r="L56" s="1848"/>
      <c r="M56" s="1848"/>
      <c r="N56" s="1848"/>
      <c r="O56" s="83"/>
      <c r="P56" s="83"/>
    </row>
    <row r="57" spans="1:41" s="1231" customFormat="1" ht="14.25">
      <c r="D57" s="2068"/>
      <c r="E57" s="2068"/>
      <c r="F57" s="2068"/>
      <c r="G57" s="2068"/>
      <c r="H57" s="2068"/>
      <c r="I57" s="1848"/>
      <c r="J57" s="1848"/>
      <c r="K57" s="1848"/>
      <c r="L57" s="1848"/>
      <c r="M57" s="1848"/>
      <c r="N57" s="1848"/>
      <c r="O57" s="83"/>
      <c r="P57" s="83"/>
    </row>
    <row r="58" spans="1:41" s="1231" customFormat="1" ht="14.25">
      <c r="D58" s="2068"/>
      <c r="E58" s="2068"/>
      <c r="F58" s="2068"/>
      <c r="G58" s="2068"/>
      <c r="H58" s="2068"/>
      <c r="I58" s="1848"/>
      <c r="J58" s="1848"/>
      <c r="K58" s="1848"/>
      <c r="L58" s="1848"/>
      <c r="M58" s="1848"/>
      <c r="N58" s="1848"/>
      <c r="O58" s="83"/>
      <c r="P58" s="83"/>
    </row>
    <row r="59" spans="1:41" s="1231" customFormat="1" ht="14.25">
      <c r="D59" s="2068"/>
      <c r="E59" s="2068"/>
      <c r="F59" s="2068"/>
      <c r="G59" s="2068"/>
      <c r="H59" s="2068"/>
      <c r="I59" s="1848"/>
      <c r="J59" s="1848"/>
      <c r="K59" s="1848"/>
      <c r="L59" s="1848"/>
      <c r="M59" s="2117"/>
      <c r="N59" s="1848"/>
      <c r="O59" s="83"/>
      <c r="P59" s="83"/>
    </row>
    <row r="60" spans="1:41" s="1231" customFormat="1" ht="14.25">
      <c r="D60" s="2068"/>
      <c r="E60" s="2068"/>
      <c r="F60" s="2068"/>
      <c r="G60" s="2068"/>
      <c r="H60" s="2068"/>
      <c r="I60" s="1848"/>
      <c r="J60" s="1848"/>
      <c r="K60" s="1848"/>
      <c r="L60" s="1848"/>
      <c r="M60" s="1848"/>
      <c r="N60" s="1848"/>
      <c r="O60" s="83"/>
      <c r="P60" s="83"/>
    </row>
    <row r="61" spans="1:41" s="1231" customFormat="1" ht="14.25">
      <c r="D61" s="2068"/>
      <c r="E61" s="2068"/>
      <c r="F61" s="2068"/>
      <c r="G61" s="2068"/>
      <c r="H61" s="2068"/>
      <c r="I61" s="1848"/>
      <c r="J61" s="1848"/>
      <c r="K61" s="1848"/>
      <c r="L61" s="1848"/>
      <c r="M61" s="1848"/>
      <c r="N61" s="1848"/>
      <c r="O61" s="83"/>
      <c r="P61" s="83"/>
    </row>
    <row r="62" spans="1:41" s="1231" customFormat="1" ht="14.25">
      <c r="D62" s="2068"/>
      <c r="E62" s="2068"/>
      <c r="F62" s="2068"/>
      <c r="G62" s="2068"/>
      <c r="H62" s="2068"/>
      <c r="I62" s="1848"/>
      <c r="J62" s="1848"/>
      <c r="K62" s="1848"/>
      <c r="L62" s="1848"/>
      <c r="M62" s="1848"/>
      <c r="N62" s="1848"/>
      <c r="O62" s="83"/>
      <c r="P62" s="83"/>
    </row>
    <row r="63" spans="1:41" s="1231" customFormat="1" ht="14.25">
      <c r="D63" s="2068"/>
      <c r="E63" s="2068"/>
      <c r="F63" s="2068"/>
      <c r="G63" s="2068"/>
      <c r="H63" s="2068"/>
      <c r="I63" s="1848"/>
      <c r="J63" s="1848"/>
      <c r="K63" s="1848"/>
      <c r="L63" s="1848"/>
      <c r="M63" s="1848"/>
      <c r="N63" s="1848"/>
      <c r="O63" s="83"/>
      <c r="P63" s="83"/>
    </row>
    <row r="64" spans="1:41" s="1231" customFormat="1" ht="14.25">
      <c r="D64" s="2068"/>
      <c r="E64" s="2068"/>
      <c r="F64" s="2068"/>
      <c r="G64" s="2068"/>
      <c r="H64" s="2068"/>
      <c r="I64" s="1848"/>
      <c r="J64" s="1848"/>
      <c r="K64" s="1848"/>
      <c r="L64" s="1848"/>
      <c r="M64" s="1848"/>
      <c r="N64" s="1848"/>
      <c r="O64" s="83"/>
      <c r="P64" s="83"/>
    </row>
    <row r="65" spans="1:16" s="1231" customFormat="1" ht="14.25">
      <c r="D65" s="2068"/>
      <c r="E65" s="2068"/>
      <c r="F65" s="2068"/>
      <c r="G65" s="2068"/>
      <c r="H65" s="2068"/>
      <c r="I65" s="1848"/>
      <c r="J65" s="1848"/>
      <c r="K65" s="1848"/>
      <c r="L65" s="1848"/>
      <c r="M65" s="1848"/>
      <c r="N65" s="1848"/>
      <c r="O65" s="83"/>
      <c r="P65" s="83"/>
    </row>
    <row r="66" spans="1:16" s="1231" customFormat="1" ht="14.25">
      <c r="A66" s="2118"/>
      <c r="D66" s="2068"/>
      <c r="E66" s="2068"/>
      <c r="F66" s="2068"/>
      <c r="G66" s="2068"/>
      <c r="H66" s="2068"/>
      <c r="I66" s="1848"/>
      <c r="J66" s="1848"/>
      <c r="K66" s="1848"/>
      <c r="L66" s="1848"/>
      <c r="M66" s="1848"/>
      <c r="N66" s="1848"/>
      <c r="O66" s="83"/>
      <c r="P66" s="83"/>
    </row>
    <row r="67" spans="1:16" s="1231" customFormat="1" ht="14.25">
      <c r="A67" s="2118"/>
      <c r="D67" s="2068"/>
      <c r="E67" s="2068"/>
      <c r="F67" s="2068"/>
      <c r="G67" s="2068"/>
      <c r="H67" s="2068"/>
      <c r="I67" s="1848"/>
      <c r="J67" s="1848"/>
      <c r="K67" s="1848"/>
      <c r="L67" s="1848"/>
      <c r="M67" s="1848"/>
      <c r="N67" s="1848"/>
      <c r="O67" s="83"/>
      <c r="P67" s="83"/>
    </row>
    <row r="68" spans="1:16" s="1231" customFormat="1" ht="14.25">
      <c r="A68" s="2118"/>
      <c r="D68" s="2068"/>
      <c r="E68" s="2068"/>
      <c r="F68" s="2068"/>
      <c r="G68" s="1846"/>
      <c r="H68" s="1846"/>
      <c r="O68" s="83"/>
      <c r="P68" s="83"/>
    </row>
    <row r="69" spans="1:16" s="1231" customFormat="1">
      <c r="A69" s="2118"/>
      <c r="D69" s="1846"/>
      <c r="E69" s="1846"/>
      <c r="F69" s="1846"/>
      <c r="G69" s="1846"/>
      <c r="H69" s="1846"/>
      <c r="O69" s="83"/>
      <c r="P69" s="83"/>
    </row>
    <row r="70" spans="1:16" s="1231" customFormat="1">
      <c r="A70" s="2118"/>
      <c r="D70" s="1846"/>
      <c r="E70" s="1846"/>
      <c r="F70" s="1846"/>
      <c r="G70" s="1846"/>
      <c r="H70" s="1846"/>
      <c r="O70" s="83"/>
      <c r="P70" s="83"/>
    </row>
    <row r="71" spans="1:16" s="1231" customFormat="1">
      <c r="A71" s="2118"/>
      <c r="D71" s="1846"/>
      <c r="E71" s="1846"/>
      <c r="F71" s="1846"/>
      <c r="G71" s="1846"/>
      <c r="H71" s="1846"/>
      <c r="O71" s="83"/>
      <c r="P71" s="83"/>
    </row>
    <row r="72" spans="1:16" s="1231" customFormat="1">
      <c r="A72" s="2118"/>
      <c r="D72" s="1846"/>
      <c r="E72" s="1846"/>
      <c r="F72" s="1846"/>
      <c r="G72" s="1846"/>
      <c r="H72" s="1846"/>
      <c r="O72" s="83"/>
      <c r="P72" s="83"/>
    </row>
    <row r="73" spans="1:16" s="1231" customFormat="1">
      <c r="A73" s="2118"/>
      <c r="D73" s="1846"/>
      <c r="E73" s="1846"/>
      <c r="F73" s="1846"/>
      <c r="G73" s="1846"/>
      <c r="H73" s="1846"/>
      <c r="O73" s="83"/>
      <c r="P73" s="83"/>
    </row>
    <row r="74" spans="1:16" s="1231" customFormat="1">
      <c r="A74" s="2118"/>
      <c r="D74" s="1846"/>
      <c r="E74" s="1846"/>
      <c r="F74" s="1846"/>
      <c r="G74" s="1846"/>
      <c r="H74" s="1846"/>
      <c r="O74" s="83"/>
      <c r="P74" s="83"/>
    </row>
    <row r="75" spans="1:16" s="1231" customFormat="1">
      <c r="A75" s="2118"/>
      <c r="D75" s="1846"/>
      <c r="E75" s="1846"/>
      <c r="F75" s="1846"/>
      <c r="G75" s="1846"/>
      <c r="H75" s="1846"/>
      <c r="O75" s="83"/>
      <c r="P75" s="83"/>
    </row>
    <row r="76" spans="1:16" s="1231" customFormat="1">
      <c r="A76" s="2118"/>
      <c r="D76" s="1846"/>
      <c r="E76" s="1846"/>
      <c r="F76" s="1846"/>
      <c r="G76" s="1846"/>
      <c r="H76" s="1846"/>
      <c r="O76" s="83"/>
      <c r="P76" s="83"/>
    </row>
    <row r="77" spans="1:16" s="1231" customFormat="1">
      <c r="A77" s="2118"/>
      <c r="D77" s="1846"/>
      <c r="E77" s="1846"/>
      <c r="F77" s="1846"/>
      <c r="G77" s="1846"/>
      <c r="H77" s="1846"/>
      <c r="O77" s="83"/>
      <c r="P77" s="83"/>
    </row>
    <row r="78" spans="1:16" s="1231" customFormat="1">
      <c r="A78" s="2118"/>
      <c r="D78" s="1846"/>
      <c r="E78" s="1846"/>
      <c r="F78" s="1846"/>
      <c r="G78" s="1846"/>
      <c r="H78" s="1846"/>
      <c r="O78" s="83"/>
      <c r="P78" s="83"/>
    </row>
    <row r="79" spans="1:16" s="1231" customFormat="1">
      <c r="A79" s="2118"/>
      <c r="D79" s="1846"/>
      <c r="E79" s="1846"/>
      <c r="F79" s="1846"/>
      <c r="G79" s="1846"/>
      <c r="H79" s="1846"/>
      <c r="O79" s="83"/>
      <c r="P79" s="83"/>
    </row>
    <row r="80" spans="1:16" s="1231" customFormat="1">
      <c r="A80" s="2118"/>
      <c r="D80" s="1846"/>
      <c r="E80" s="1846"/>
      <c r="F80" s="1846"/>
      <c r="G80" s="1846"/>
      <c r="H80" s="1846"/>
      <c r="O80" s="83"/>
      <c r="P80" s="83"/>
    </row>
    <row r="81" spans="1:16" s="1231" customFormat="1">
      <c r="A81" s="2118"/>
      <c r="D81" s="1846"/>
      <c r="E81" s="1846"/>
      <c r="F81" s="1846"/>
      <c r="G81" s="1846"/>
      <c r="H81" s="1846"/>
      <c r="O81" s="83"/>
      <c r="P81" s="83"/>
    </row>
    <row r="82" spans="1:16" s="1231" customFormat="1">
      <c r="A82" s="2118"/>
      <c r="D82" s="1846"/>
      <c r="E82" s="1846"/>
      <c r="F82" s="1846"/>
      <c r="G82" s="1846"/>
      <c r="H82" s="1846"/>
      <c r="O82" s="83"/>
      <c r="P82" s="83"/>
    </row>
    <row r="83" spans="1:16" s="1231" customFormat="1">
      <c r="A83" s="2118"/>
      <c r="D83" s="1846"/>
      <c r="E83" s="1846"/>
      <c r="F83" s="1846"/>
      <c r="G83" s="1846"/>
      <c r="H83" s="1846"/>
      <c r="O83" s="83"/>
      <c r="P83" s="83"/>
    </row>
    <row r="84" spans="1:16" s="1231" customFormat="1">
      <c r="A84" s="2118"/>
      <c r="D84" s="1846"/>
      <c r="E84" s="1846"/>
      <c r="F84" s="1846"/>
      <c r="G84" s="1846"/>
      <c r="H84" s="1846"/>
      <c r="O84" s="83"/>
      <c r="P84" s="83"/>
    </row>
    <row r="85" spans="1:16" s="1231" customFormat="1">
      <c r="A85" s="2118"/>
      <c r="D85" s="1846"/>
      <c r="E85" s="1846"/>
      <c r="F85" s="1846"/>
      <c r="G85" s="1846"/>
      <c r="H85" s="1846"/>
      <c r="O85" s="83"/>
      <c r="P85" s="83"/>
    </row>
    <row r="86" spans="1:16" s="1231" customFormat="1">
      <c r="A86" s="2118"/>
      <c r="D86" s="1846"/>
      <c r="E86" s="1846"/>
      <c r="F86" s="1846"/>
      <c r="G86" s="1846"/>
      <c r="H86" s="1846"/>
      <c r="O86" s="83"/>
      <c r="P86" s="83"/>
    </row>
    <row r="87" spans="1:16" s="1231" customFormat="1">
      <c r="A87" s="2118"/>
      <c r="D87" s="1846"/>
      <c r="E87" s="1846"/>
      <c r="F87" s="1846"/>
      <c r="G87" s="1846"/>
      <c r="H87" s="1846"/>
      <c r="O87" s="83"/>
      <c r="P87" s="83"/>
    </row>
    <row r="88" spans="1:16" s="1231" customFormat="1">
      <c r="A88" s="2118"/>
      <c r="D88" s="1846"/>
      <c r="E88" s="1846"/>
      <c r="F88" s="1846"/>
      <c r="G88" s="1846"/>
      <c r="H88" s="1846"/>
      <c r="O88" s="83"/>
      <c r="P88" s="83"/>
    </row>
    <row r="89" spans="1:16" s="1231" customFormat="1">
      <c r="A89" s="2118"/>
      <c r="D89" s="1846"/>
      <c r="E89" s="1846"/>
      <c r="F89" s="1846"/>
      <c r="G89" s="1846"/>
      <c r="H89" s="1846"/>
      <c r="O89" s="83"/>
      <c r="P89" s="83"/>
    </row>
    <row r="90" spans="1:16" s="1231" customFormat="1">
      <c r="A90" s="2118"/>
      <c r="D90" s="1846"/>
      <c r="E90" s="1846"/>
      <c r="F90" s="1846"/>
      <c r="G90" s="1846"/>
      <c r="H90" s="1846"/>
      <c r="O90" s="83"/>
      <c r="P90" s="83"/>
    </row>
    <row r="91" spans="1:16" s="1231" customFormat="1">
      <c r="A91" s="2118"/>
      <c r="D91" s="1846"/>
      <c r="E91" s="1846"/>
      <c r="F91" s="1846"/>
      <c r="G91" s="1846"/>
      <c r="H91" s="1846"/>
      <c r="O91" s="83"/>
      <c r="P91" s="83"/>
    </row>
    <row r="92" spans="1:16" s="1231" customFormat="1">
      <c r="A92" s="2118"/>
      <c r="D92" s="1846"/>
      <c r="E92" s="1846"/>
      <c r="F92" s="1846"/>
      <c r="G92" s="1846"/>
      <c r="H92" s="1846"/>
      <c r="O92" s="83"/>
      <c r="P92" s="83"/>
    </row>
    <row r="93" spans="1:16" s="1231" customFormat="1">
      <c r="A93" s="2118"/>
      <c r="D93" s="1846"/>
      <c r="E93" s="1846"/>
      <c r="F93" s="1846"/>
      <c r="G93" s="1846"/>
      <c r="H93" s="1846"/>
      <c r="O93" s="83"/>
      <c r="P93" s="83"/>
    </row>
    <row r="94" spans="1:16" s="1231" customFormat="1">
      <c r="A94" s="2118"/>
      <c r="D94" s="1846"/>
      <c r="E94" s="1846"/>
      <c r="F94" s="1846"/>
      <c r="G94" s="1846"/>
      <c r="H94" s="1846"/>
      <c r="O94" s="83"/>
      <c r="P94" s="83"/>
    </row>
    <row r="95" spans="1:16" s="1231" customFormat="1">
      <c r="A95" s="2118"/>
      <c r="D95" s="1846"/>
      <c r="E95" s="1846"/>
      <c r="F95" s="1846"/>
      <c r="G95" s="1846"/>
      <c r="H95" s="1846"/>
      <c r="O95" s="83"/>
      <c r="P95" s="83"/>
    </row>
    <row r="96" spans="1:16" s="1231" customFormat="1">
      <c r="A96" s="2118"/>
      <c r="D96" s="1846"/>
      <c r="E96" s="1846"/>
      <c r="F96" s="1846"/>
      <c r="G96" s="1846"/>
      <c r="H96" s="1846"/>
      <c r="O96" s="83"/>
      <c r="P96" s="83"/>
    </row>
    <row r="97" spans="1:16" s="1231" customFormat="1">
      <c r="A97" s="2118"/>
      <c r="D97" s="1846"/>
      <c r="E97" s="1846"/>
      <c r="F97" s="1846"/>
      <c r="G97" s="1846"/>
      <c r="H97" s="1846"/>
      <c r="O97" s="83"/>
      <c r="P97" s="83"/>
    </row>
    <row r="98" spans="1:16" s="1231" customFormat="1">
      <c r="A98" s="2118"/>
      <c r="D98" s="1846"/>
      <c r="E98" s="1846"/>
      <c r="F98" s="1846"/>
      <c r="G98" s="1846"/>
      <c r="H98" s="1846"/>
      <c r="O98" s="83"/>
      <c r="P98" s="83"/>
    </row>
    <row r="99" spans="1:16" s="1231" customFormat="1">
      <c r="A99" s="2118"/>
      <c r="D99" s="1846"/>
      <c r="E99" s="1846"/>
      <c r="F99" s="1846"/>
      <c r="G99" s="1846"/>
      <c r="H99" s="1846"/>
      <c r="O99" s="83"/>
      <c r="P99" s="83"/>
    </row>
    <row r="100" spans="1:16" s="1231" customFormat="1">
      <c r="A100" s="2118"/>
      <c r="D100" s="1846"/>
      <c r="E100" s="1846"/>
      <c r="F100" s="1846"/>
      <c r="G100" s="1846"/>
      <c r="H100" s="1846"/>
      <c r="O100" s="83"/>
      <c r="P100" s="83"/>
    </row>
    <row r="101" spans="1:16" s="1231" customFormat="1">
      <c r="A101" s="2118"/>
      <c r="D101" s="1846"/>
      <c r="E101" s="1846"/>
      <c r="F101" s="1846"/>
      <c r="G101" s="1846"/>
      <c r="H101" s="1846"/>
      <c r="O101" s="83"/>
      <c r="P101" s="83"/>
    </row>
    <row r="102" spans="1:16" s="1231" customFormat="1">
      <c r="A102" s="2118"/>
      <c r="D102" s="1846"/>
      <c r="E102" s="1846"/>
      <c r="F102" s="1846"/>
      <c r="G102" s="1846"/>
      <c r="H102" s="1846"/>
      <c r="O102" s="83"/>
      <c r="P102" s="83"/>
    </row>
    <row r="103" spans="1:16" s="1231" customFormat="1">
      <c r="A103" s="2118"/>
      <c r="D103" s="1846"/>
      <c r="E103" s="1846"/>
      <c r="F103" s="1846"/>
      <c r="G103" s="1846"/>
      <c r="H103" s="1846"/>
      <c r="O103" s="83"/>
      <c r="P103" s="83"/>
    </row>
    <row r="104" spans="1:16" s="1231" customFormat="1">
      <c r="A104" s="2118"/>
      <c r="D104" s="1846"/>
      <c r="E104" s="1846"/>
      <c r="F104" s="1846"/>
      <c r="G104" s="1846"/>
      <c r="H104" s="1846"/>
      <c r="O104" s="83"/>
      <c r="P104" s="83"/>
    </row>
    <row r="105" spans="1:16" s="1231" customFormat="1">
      <c r="A105" s="2118"/>
      <c r="D105" s="1846"/>
      <c r="E105" s="1846"/>
      <c r="F105" s="1846"/>
      <c r="G105" s="1846"/>
      <c r="H105" s="1846"/>
      <c r="O105" s="83"/>
      <c r="P105" s="83"/>
    </row>
    <row r="106" spans="1:16" s="1231" customFormat="1">
      <c r="A106" s="2118"/>
      <c r="D106" s="1846"/>
      <c r="E106" s="1846"/>
      <c r="F106" s="1846"/>
      <c r="G106" s="1846"/>
      <c r="H106" s="1846"/>
      <c r="O106" s="83"/>
      <c r="P106" s="83"/>
    </row>
    <row r="107" spans="1:16" s="1231" customFormat="1">
      <c r="A107" s="2118"/>
      <c r="D107" s="1846"/>
      <c r="E107" s="1846"/>
      <c r="F107" s="1846"/>
      <c r="G107" s="1846"/>
      <c r="H107" s="1846"/>
      <c r="O107" s="83"/>
      <c r="P107" s="83"/>
    </row>
    <row r="108" spans="1:16" s="1231" customFormat="1">
      <c r="A108" s="2118"/>
      <c r="D108" s="1846"/>
      <c r="E108" s="1846"/>
      <c r="F108" s="1846"/>
      <c r="G108" s="1846"/>
      <c r="H108" s="1846"/>
      <c r="O108" s="83"/>
      <c r="P108" s="83"/>
    </row>
    <row r="109" spans="1:16" s="1231" customFormat="1">
      <c r="A109" s="2118"/>
      <c r="D109" s="1846"/>
      <c r="E109" s="1846"/>
      <c r="F109" s="1846"/>
      <c r="G109" s="1846"/>
      <c r="H109" s="1846"/>
      <c r="O109" s="83"/>
      <c r="P109" s="83"/>
    </row>
    <row r="110" spans="1:16" s="1231" customFormat="1">
      <c r="A110" s="2118"/>
      <c r="D110" s="1846"/>
      <c r="E110" s="1846"/>
      <c r="F110" s="1846"/>
      <c r="G110" s="1846"/>
      <c r="H110" s="1846"/>
      <c r="O110" s="83"/>
      <c r="P110" s="83"/>
    </row>
    <row r="111" spans="1:16" s="1231" customFormat="1">
      <c r="A111" s="2118"/>
      <c r="D111" s="1846"/>
      <c r="E111" s="1846"/>
      <c r="F111" s="1846"/>
      <c r="G111" s="1846"/>
      <c r="H111" s="1846"/>
      <c r="O111" s="83"/>
      <c r="P111" s="83"/>
    </row>
    <row r="112" spans="1:16" s="1231" customFormat="1">
      <c r="A112" s="2118"/>
      <c r="D112" s="1846"/>
      <c r="E112" s="1846"/>
      <c r="F112" s="1846"/>
      <c r="G112" s="1846"/>
      <c r="H112" s="1846"/>
      <c r="O112" s="83"/>
      <c r="P112" s="83"/>
    </row>
    <row r="113" spans="1:16" s="1231" customFormat="1">
      <c r="A113" s="2118"/>
      <c r="D113" s="1846"/>
      <c r="E113" s="1846"/>
      <c r="F113" s="1846"/>
      <c r="G113" s="1846"/>
      <c r="H113" s="1846"/>
      <c r="O113" s="83"/>
      <c r="P113" s="83"/>
    </row>
    <row r="114" spans="1:16" s="1231" customFormat="1">
      <c r="A114" s="2118"/>
      <c r="D114" s="1846"/>
      <c r="E114" s="1846"/>
      <c r="F114" s="1846"/>
      <c r="G114" s="1846"/>
      <c r="H114" s="1846"/>
      <c r="O114" s="83"/>
      <c r="P114" s="83"/>
    </row>
    <row r="115" spans="1:16" s="1231" customFormat="1">
      <c r="A115" s="2118"/>
      <c r="D115" s="1846"/>
      <c r="E115" s="1846"/>
      <c r="F115" s="1846"/>
      <c r="G115" s="1846"/>
      <c r="H115" s="1846"/>
      <c r="O115" s="83"/>
      <c r="P115" s="83"/>
    </row>
    <row r="116" spans="1:16" s="1231" customFormat="1">
      <c r="A116" s="2118"/>
      <c r="D116" s="1846"/>
      <c r="E116" s="1846"/>
      <c r="F116" s="1846"/>
      <c r="G116" s="1846"/>
      <c r="H116" s="1846"/>
      <c r="O116" s="83"/>
      <c r="P116" s="83"/>
    </row>
    <row r="117" spans="1:16" s="1231" customFormat="1">
      <c r="A117" s="2118"/>
      <c r="D117" s="1846"/>
      <c r="E117" s="1846"/>
      <c r="F117" s="1846"/>
      <c r="G117" s="1846"/>
      <c r="H117" s="1846"/>
      <c r="O117" s="83"/>
      <c r="P117" s="83"/>
    </row>
    <row r="118" spans="1:16" s="1231" customFormat="1">
      <c r="A118" s="2118"/>
      <c r="D118" s="1846"/>
      <c r="E118" s="1846"/>
      <c r="F118" s="1846"/>
      <c r="G118" s="1846"/>
      <c r="H118" s="1846"/>
      <c r="O118" s="83"/>
      <c r="P118" s="83"/>
    </row>
    <row r="119" spans="1:16" s="1231" customFormat="1">
      <c r="A119" s="2118"/>
      <c r="D119" s="1846"/>
      <c r="E119" s="1846"/>
      <c r="F119" s="1846"/>
      <c r="G119" s="1846"/>
      <c r="H119" s="1846"/>
      <c r="O119" s="83"/>
      <c r="P119" s="83"/>
    </row>
    <row r="120" spans="1:16" s="1231" customFormat="1">
      <c r="A120" s="2118"/>
      <c r="D120" s="1846"/>
      <c r="E120" s="1846"/>
      <c r="F120" s="1846"/>
      <c r="G120" s="1846"/>
      <c r="H120" s="1846"/>
      <c r="O120" s="83"/>
      <c r="P120" s="83"/>
    </row>
    <row r="121" spans="1:16" s="1231" customFormat="1">
      <c r="A121" s="2118"/>
      <c r="D121" s="1846"/>
      <c r="E121" s="1846"/>
      <c r="F121" s="1846"/>
      <c r="G121" s="1846"/>
      <c r="H121" s="1846"/>
      <c r="O121" s="83"/>
      <c r="P121" s="83"/>
    </row>
    <row r="122" spans="1:16" s="1231" customFormat="1">
      <c r="A122" s="2118"/>
      <c r="D122" s="1846"/>
      <c r="E122" s="1846"/>
      <c r="F122" s="1846"/>
      <c r="G122" s="1846"/>
      <c r="H122" s="1846"/>
      <c r="O122" s="83"/>
      <c r="P122" s="83"/>
    </row>
    <row r="123" spans="1:16" s="1231" customFormat="1">
      <c r="A123" s="2118"/>
      <c r="D123" s="1846"/>
      <c r="E123" s="1846"/>
      <c r="F123" s="1846"/>
      <c r="G123" s="1846"/>
      <c r="H123" s="1846"/>
      <c r="O123" s="83"/>
      <c r="P123" s="83"/>
    </row>
    <row r="124" spans="1:16" s="1231" customFormat="1">
      <c r="A124" s="2118"/>
      <c r="D124" s="1846"/>
      <c r="E124" s="1846"/>
      <c r="F124" s="1846"/>
      <c r="G124" s="1846"/>
      <c r="H124" s="1846"/>
      <c r="O124" s="83"/>
      <c r="P124" s="83"/>
    </row>
    <row r="125" spans="1:16" s="1231" customFormat="1">
      <c r="A125" s="2118"/>
      <c r="D125" s="1846"/>
      <c r="E125" s="1846"/>
      <c r="F125" s="1846"/>
      <c r="G125" s="1846"/>
      <c r="H125" s="1846"/>
      <c r="O125" s="83"/>
      <c r="P125" s="83"/>
    </row>
    <row r="126" spans="1:16" s="1231" customFormat="1">
      <c r="A126" s="2118"/>
      <c r="D126" s="1846"/>
      <c r="E126" s="1846"/>
      <c r="F126" s="1846"/>
      <c r="G126" s="1846"/>
      <c r="H126" s="1846"/>
      <c r="O126" s="83"/>
      <c r="P126" s="83"/>
    </row>
    <row r="127" spans="1:16" s="1231" customFormat="1">
      <c r="A127" s="2118"/>
      <c r="D127" s="1846"/>
      <c r="E127" s="1846"/>
      <c r="F127" s="1846"/>
      <c r="G127" s="1846"/>
      <c r="H127" s="1846"/>
      <c r="O127" s="83"/>
      <c r="P127" s="83"/>
    </row>
    <row r="128" spans="1:16" s="1231" customFormat="1">
      <c r="A128" s="2118"/>
      <c r="D128" s="1846"/>
      <c r="E128" s="1846"/>
      <c r="F128" s="1846"/>
      <c r="G128" s="1846"/>
      <c r="H128" s="1846"/>
      <c r="O128" s="83"/>
      <c r="P128" s="83"/>
    </row>
    <row r="129" spans="1:16" s="1231" customFormat="1">
      <c r="A129" s="2118"/>
      <c r="D129" s="1846"/>
      <c r="E129" s="1846"/>
      <c r="F129" s="1846"/>
      <c r="G129" s="1846"/>
      <c r="H129" s="1846"/>
      <c r="O129" s="83"/>
      <c r="P129" s="83"/>
    </row>
    <row r="130" spans="1:16" s="1231" customFormat="1">
      <c r="A130" s="2118"/>
      <c r="D130" s="1846"/>
      <c r="E130" s="1846"/>
      <c r="F130" s="1846"/>
      <c r="G130" s="1846"/>
      <c r="H130" s="1846"/>
      <c r="O130" s="83"/>
      <c r="P130" s="83"/>
    </row>
    <row r="131" spans="1:16" s="1231" customFormat="1">
      <c r="A131" s="2118"/>
      <c r="D131" s="1846"/>
      <c r="E131" s="1846"/>
      <c r="F131" s="1846"/>
      <c r="G131" s="1846"/>
      <c r="H131" s="1846"/>
      <c r="O131" s="83"/>
      <c r="P131" s="83"/>
    </row>
    <row r="132" spans="1:16" s="1231" customFormat="1">
      <c r="A132" s="2118"/>
      <c r="D132" s="1846"/>
      <c r="E132" s="1846"/>
      <c r="F132" s="1846"/>
      <c r="G132" s="1846"/>
      <c r="H132" s="1846"/>
      <c r="O132" s="83"/>
      <c r="P132" s="83"/>
    </row>
    <row r="133" spans="1:16" s="1231" customFormat="1">
      <c r="A133" s="2118"/>
      <c r="D133" s="1846"/>
      <c r="E133" s="1846"/>
      <c r="F133" s="1846"/>
      <c r="G133" s="1846"/>
      <c r="H133" s="1846"/>
      <c r="O133" s="83"/>
      <c r="P133" s="83"/>
    </row>
    <row r="134" spans="1:16" s="1231" customFormat="1">
      <c r="A134" s="2118"/>
      <c r="D134" s="1846"/>
      <c r="E134" s="1846"/>
      <c r="F134" s="1846"/>
      <c r="G134" s="1846"/>
      <c r="H134" s="1846"/>
      <c r="O134" s="83"/>
      <c r="P134" s="83"/>
    </row>
    <row r="135" spans="1:16" s="1231" customFormat="1">
      <c r="A135" s="2118"/>
      <c r="D135" s="1846"/>
      <c r="E135" s="1846"/>
      <c r="F135" s="1846"/>
      <c r="G135" s="1846"/>
      <c r="H135" s="1846"/>
      <c r="O135" s="83"/>
      <c r="P135" s="83"/>
    </row>
    <row r="136" spans="1:16" s="1231" customFormat="1">
      <c r="A136" s="2118"/>
      <c r="D136" s="1846"/>
      <c r="E136" s="1846"/>
      <c r="F136" s="1846"/>
      <c r="G136" s="1846"/>
      <c r="H136" s="1846"/>
      <c r="O136" s="83"/>
      <c r="P136" s="83"/>
    </row>
    <row r="137" spans="1:16" s="1231" customFormat="1">
      <c r="A137" s="2118"/>
      <c r="D137" s="1846"/>
      <c r="E137" s="1846"/>
      <c r="F137" s="1846"/>
      <c r="G137" s="1846"/>
      <c r="H137" s="1846"/>
      <c r="O137" s="83"/>
      <c r="P137" s="83"/>
    </row>
    <row r="138" spans="1:16" s="1231" customFormat="1">
      <c r="A138" s="2118"/>
      <c r="D138" s="1846"/>
      <c r="E138" s="1846"/>
      <c r="F138" s="1846"/>
      <c r="G138" s="1846"/>
      <c r="H138" s="1846"/>
      <c r="O138" s="83"/>
      <c r="P138" s="83"/>
    </row>
    <row r="139" spans="1:16" s="1231" customFormat="1">
      <c r="A139" s="2118"/>
      <c r="D139" s="1846"/>
      <c r="E139" s="1846"/>
      <c r="F139" s="1846"/>
      <c r="G139" s="1846"/>
      <c r="H139" s="1846"/>
      <c r="O139" s="83"/>
      <c r="P139" s="83"/>
    </row>
    <row r="140" spans="1:16" s="1231" customFormat="1">
      <c r="A140" s="2118"/>
      <c r="D140" s="1846"/>
      <c r="E140" s="1846"/>
      <c r="F140" s="1846"/>
      <c r="G140" s="1846"/>
      <c r="H140" s="1846"/>
      <c r="O140" s="83"/>
      <c r="P140" s="83"/>
    </row>
    <row r="141" spans="1:16" s="1231" customFormat="1">
      <c r="A141" s="2118"/>
      <c r="D141" s="1846"/>
      <c r="E141" s="1846"/>
      <c r="F141" s="1846"/>
      <c r="G141" s="1846"/>
      <c r="H141" s="1846"/>
      <c r="O141" s="83"/>
      <c r="P141" s="83"/>
    </row>
    <row r="142" spans="1:16" s="1231" customFormat="1">
      <c r="A142" s="2118"/>
      <c r="D142" s="1846"/>
      <c r="E142" s="1846"/>
      <c r="F142" s="1846"/>
      <c r="G142" s="1846"/>
      <c r="H142" s="1846"/>
      <c r="O142" s="83"/>
      <c r="P142" s="83"/>
    </row>
    <row r="143" spans="1:16" s="1231" customFormat="1">
      <c r="A143" s="2118"/>
      <c r="D143" s="1846"/>
      <c r="E143" s="1846"/>
      <c r="F143" s="1846"/>
      <c r="G143" s="1846"/>
      <c r="H143" s="1846"/>
      <c r="O143" s="83"/>
      <c r="P143" s="83"/>
    </row>
    <row r="144" spans="1:16" s="1231" customFormat="1">
      <c r="A144" s="2118"/>
      <c r="D144" s="1846"/>
      <c r="E144" s="1846"/>
      <c r="F144" s="1846"/>
      <c r="G144" s="1846"/>
      <c r="H144" s="1846"/>
      <c r="O144" s="83"/>
      <c r="P144" s="83"/>
    </row>
    <row r="145" spans="1:16" s="1231" customFormat="1">
      <c r="A145" s="2118"/>
      <c r="D145" s="1846"/>
      <c r="E145" s="1846"/>
      <c r="F145" s="1846"/>
      <c r="G145" s="1846"/>
      <c r="H145" s="1846"/>
      <c r="O145" s="83"/>
      <c r="P145" s="83"/>
    </row>
    <row r="146" spans="1:16" s="1231" customFormat="1">
      <c r="A146" s="2118"/>
      <c r="D146" s="1846"/>
      <c r="E146" s="1846"/>
      <c r="F146" s="1846"/>
      <c r="G146" s="1846"/>
      <c r="H146" s="1846"/>
      <c r="O146" s="83"/>
      <c r="P146" s="83"/>
    </row>
    <row r="147" spans="1:16" s="1231" customFormat="1">
      <c r="A147" s="2118"/>
      <c r="D147" s="1846"/>
      <c r="E147" s="1846"/>
      <c r="F147" s="1846"/>
      <c r="G147" s="1846"/>
      <c r="H147" s="1846"/>
      <c r="O147" s="83"/>
      <c r="P147" s="83"/>
    </row>
    <row r="148" spans="1:16" s="1231" customFormat="1">
      <c r="A148" s="2118"/>
      <c r="D148" s="1846"/>
      <c r="E148" s="1846"/>
      <c r="F148" s="1846"/>
      <c r="G148" s="1846"/>
      <c r="H148" s="1846"/>
      <c r="O148" s="83"/>
      <c r="P148" s="83"/>
    </row>
    <row r="149" spans="1:16" s="1231" customFormat="1">
      <c r="A149" s="2118"/>
      <c r="D149" s="1846"/>
      <c r="E149" s="1846"/>
      <c r="F149" s="1846"/>
      <c r="G149" s="1846"/>
      <c r="H149" s="1846"/>
      <c r="O149" s="83"/>
      <c r="P149" s="83"/>
    </row>
    <row r="150" spans="1:16" s="1231" customFormat="1">
      <c r="A150" s="2118"/>
      <c r="D150" s="1846"/>
      <c r="E150" s="1846"/>
      <c r="F150" s="1846"/>
      <c r="G150" s="1846"/>
      <c r="H150" s="1846"/>
      <c r="O150" s="83"/>
      <c r="P150" s="83"/>
    </row>
    <row r="151" spans="1:16" s="1231" customFormat="1">
      <c r="A151" s="2118"/>
      <c r="D151" s="1846"/>
      <c r="E151" s="1846"/>
      <c r="F151" s="1846"/>
      <c r="G151" s="1846"/>
      <c r="H151" s="1846"/>
      <c r="O151" s="83"/>
      <c r="P151" s="83"/>
    </row>
    <row r="152" spans="1:16" s="1231" customFormat="1">
      <c r="A152" s="2118"/>
      <c r="D152" s="1846"/>
      <c r="E152" s="1846"/>
      <c r="F152" s="1846"/>
      <c r="G152" s="1846"/>
      <c r="H152" s="1846"/>
      <c r="O152" s="83"/>
      <c r="P152" s="83"/>
    </row>
    <row r="153" spans="1:16" s="1231" customFormat="1">
      <c r="A153" s="2119"/>
      <c r="B153" s="2065"/>
      <c r="D153" s="1846"/>
      <c r="E153" s="1846"/>
      <c r="F153" s="1846"/>
      <c r="G153" s="1846"/>
      <c r="H153" s="1846"/>
      <c r="O153" s="83"/>
      <c r="P153" s="83"/>
    </row>
    <row r="154" spans="1:16" s="1231" customFormat="1">
      <c r="A154" s="2119"/>
      <c r="B154" s="2065"/>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62" t="s">
        <v>1723</v>
      </c>
      <c r="B1" s="2863"/>
      <c r="C1" s="2863"/>
      <c r="D1" s="2863"/>
      <c r="E1" s="2863"/>
      <c r="F1" s="2863"/>
      <c r="G1" s="2863"/>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1724</v>
      </c>
      <c r="D2" s="2130"/>
      <c r="E2" s="2131"/>
      <c r="F2" s="2132"/>
      <c r="G2" s="2129" t="s">
        <v>1725</v>
      </c>
      <c r="H2" s="2133"/>
      <c r="I2" s="2133"/>
      <c r="J2" s="2133"/>
      <c r="K2" s="2133"/>
      <c r="L2" s="2133"/>
      <c r="M2" s="2133"/>
      <c r="N2" s="2133"/>
      <c r="O2" s="2133"/>
      <c r="P2" s="2133"/>
      <c r="Q2" s="2133"/>
      <c r="R2" s="2133"/>
    </row>
    <row r="3" spans="1:29" ht="54">
      <c r="A3" s="394" t="s">
        <v>1726</v>
      </c>
      <c r="B3" s="2135" t="s">
        <v>1727</v>
      </c>
      <c r="C3" s="2136" t="s">
        <v>1728</v>
      </c>
      <c r="D3" s="2137"/>
      <c r="E3" s="410" t="s">
        <v>1726</v>
      </c>
      <c r="F3" s="2138" t="s">
        <v>1729</v>
      </c>
      <c r="G3" s="2139" t="s">
        <v>1730</v>
      </c>
      <c r="H3" s="2133"/>
      <c r="I3" s="2133"/>
      <c r="J3" s="2133"/>
      <c r="K3" s="2133"/>
      <c r="L3" s="2133"/>
      <c r="M3" s="2133"/>
      <c r="N3" s="2133"/>
      <c r="O3" s="2133"/>
      <c r="P3" s="2133"/>
      <c r="Q3" s="2133"/>
      <c r="R3" s="2133"/>
    </row>
    <row r="4" spans="1:29" ht="41.25">
      <c r="A4" s="410"/>
      <c r="B4" s="1879" t="s">
        <v>1731</v>
      </c>
      <c r="C4" s="2140" t="s">
        <v>1732</v>
      </c>
      <c r="D4" s="2137"/>
      <c r="E4" s="2141"/>
      <c r="F4" s="2142" t="s">
        <v>1733</v>
      </c>
      <c r="G4" s="2143" t="s">
        <v>1734</v>
      </c>
      <c r="H4" s="2133"/>
      <c r="I4" s="2133"/>
      <c r="J4" s="2133"/>
      <c r="K4" s="2133"/>
      <c r="L4" s="2133"/>
      <c r="M4" s="2133"/>
      <c r="N4" s="2133"/>
      <c r="O4" s="2133"/>
      <c r="P4" s="2133"/>
      <c r="Q4" s="2133"/>
      <c r="R4" s="2133"/>
    </row>
    <row r="5" spans="1:29" ht="41.25">
      <c r="A5" s="410"/>
      <c r="B5" s="1879" t="s">
        <v>1735</v>
      </c>
      <c r="C5" s="2140" t="s">
        <v>1736</v>
      </c>
      <c r="D5" s="2137"/>
      <c r="E5" s="2141"/>
      <c r="F5" s="1879" t="s">
        <v>1737</v>
      </c>
      <c r="G5" s="2143" t="s">
        <v>1738</v>
      </c>
      <c r="H5" s="2133"/>
      <c r="I5" s="2133"/>
      <c r="J5" s="2133"/>
      <c r="K5" s="2133"/>
      <c r="L5" s="2133"/>
      <c r="M5" s="2133"/>
      <c r="N5" s="2133"/>
      <c r="O5" s="2133"/>
      <c r="P5" s="2133"/>
      <c r="Q5" s="2133"/>
      <c r="R5" s="2133"/>
    </row>
    <row r="6" spans="1:29" ht="54">
      <c r="A6" s="410"/>
      <c r="B6" s="1879" t="s">
        <v>1739</v>
      </c>
      <c r="C6" s="2143" t="s">
        <v>1734</v>
      </c>
      <c r="D6" s="2137"/>
      <c r="E6" s="2141"/>
      <c r="F6" s="1879" t="s">
        <v>1740</v>
      </c>
      <c r="G6" s="2143" t="s">
        <v>1741</v>
      </c>
      <c r="H6" s="2133"/>
      <c r="I6" s="2133"/>
      <c r="J6" s="2133"/>
      <c r="K6" s="2133"/>
      <c r="L6" s="2133"/>
      <c r="M6" s="2133"/>
      <c r="N6" s="2133"/>
      <c r="O6" s="2133"/>
      <c r="P6" s="2133"/>
      <c r="Q6" s="2133"/>
      <c r="R6" s="2133"/>
    </row>
    <row r="7" spans="1:29" ht="41.25" thickBot="1">
      <c r="A7" s="410"/>
      <c r="B7" s="1879" t="s">
        <v>1737</v>
      </c>
      <c r="C7" s="2143" t="s">
        <v>1738</v>
      </c>
      <c r="D7" s="2144"/>
      <c r="E7" s="2145"/>
      <c r="F7" s="2146" t="s">
        <v>1742</v>
      </c>
      <c r="G7" s="2147" t="s">
        <v>1743</v>
      </c>
      <c r="H7" s="2133"/>
      <c r="I7" s="2133"/>
      <c r="J7" s="2133"/>
      <c r="K7" s="2133"/>
      <c r="L7" s="2133"/>
      <c r="M7" s="2133"/>
      <c r="N7" s="2133"/>
      <c r="O7" s="2133"/>
      <c r="P7" s="2133"/>
      <c r="Q7" s="2133"/>
      <c r="R7" s="2133"/>
    </row>
    <row r="8" spans="1:29" ht="27">
      <c r="A8" s="410"/>
      <c r="B8" s="1879" t="s">
        <v>1740</v>
      </c>
      <c r="C8" s="2143" t="s">
        <v>1741</v>
      </c>
      <c r="D8" s="2144"/>
      <c r="E8" s="2144"/>
      <c r="F8" s="1240"/>
      <c r="G8" s="1240"/>
      <c r="H8" s="2133"/>
      <c r="I8" s="2133"/>
      <c r="J8" s="2133"/>
      <c r="K8" s="2133"/>
      <c r="L8" s="2133"/>
      <c r="M8" s="2133"/>
      <c r="N8" s="2133"/>
      <c r="O8" s="2133"/>
      <c r="P8" s="2133"/>
      <c r="Q8" s="2133"/>
      <c r="R8" s="2133"/>
    </row>
    <row r="9" spans="1:29" ht="27">
      <c r="A9" s="410"/>
      <c r="B9" s="1879" t="s">
        <v>1744</v>
      </c>
      <c r="C9" s="2140" t="s">
        <v>1745</v>
      </c>
      <c r="D9" s="2137"/>
      <c r="E9" s="2144"/>
      <c r="F9" s="1240"/>
      <c r="G9" s="1240"/>
      <c r="H9" s="2133"/>
      <c r="I9" s="2133"/>
      <c r="J9" s="2133"/>
      <c r="K9" s="2133"/>
      <c r="L9" s="2133"/>
      <c r="M9" s="2133"/>
      <c r="N9" s="2133"/>
      <c r="O9" s="2133"/>
      <c r="P9" s="2133"/>
      <c r="Q9" s="2133"/>
      <c r="R9" s="2133"/>
    </row>
    <row r="10" spans="1:29" s="35" customFormat="1" ht="15.75" thickBot="1">
      <c r="A10" s="2148"/>
      <c r="B10" s="2149" t="s">
        <v>1746</v>
      </c>
      <c r="C10" s="2150"/>
      <c r="D10" s="2137"/>
      <c r="E10" s="2137"/>
      <c r="F10" s="1240"/>
      <c r="G10" s="1240"/>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0"/>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0"/>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1747</v>
      </c>
      <c r="B13" s="2155"/>
      <c r="C13" s="2155"/>
      <c r="D13" s="2130"/>
      <c r="E13" s="2155"/>
      <c r="F13" s="2155"/>
      <c r="G13" s="2155"/>
    </row>
    <row r="14" spans="1:29" ht="15.75" thickBot="1">
      <c r="A14" s="2165"/>
      <c r="B14" s="2166"/>
      <c r="C14" s="2167" t="s">
        <v>1748</v>
      </c>
      <c r="D14" s="2137"/>
      <c r="E14" s="2168"/>
      <c r="F14" s="2168"/>
      <c r="G14" s="2129" t="s">
        <v>1749</v>
      </c>
    </row>
    <row r="15" spans="1:29" ht="57">
      <c r="A15" s="25" t="s">
        <v>1750</v>
      </c>
      <c r="B15" s="2169" t="s">
        <v>1727</v>
      </c>
      <c r="C15" s="2170" t="str">
        <f>C3</f>
        <v>估价对象周边居住用地比例、居住小区规模和社区发展完善程度，综合评价居住社区成熟度一般</v>
      </c>
      <c r="D15" s="2137"/>
      <c r="E15" s="2171" t="s">
        <v>1751</v>
      </c>
      <c r="F15" s="2169" t="s">
        <v>1752</v>
      </c>
      <c r="G15" s="50" t="str">
        <f>G3</f>
        <v>估价对象位于XX开发区，园区建设成熟度XX，产业集聚程度XX</v>
      </c>
    </row>
    <row r="16" spans="1:29" ht="42.75">
      <c r="A16" s="628"/>
      <c r="B16" s="1487" t="s">
        <v>1731</v>
      </c>
      <c r="C16" s="2172" t="str">
        <f>C4</f>
        <v>估价对象位于XX商圈，周边商业氛围成熟，人流量大，商业繁华度好</v>
      </c>
      <c r="D16" s="2137"/>
      <c r="E16" s="2173"/>
      <c r="F16" s="2174" t="s">
        <v>1733</v>
      </c>
      <c r="G16" s="51" t="str">
        <f>G4</f>
        <v>估价对象周边道路状况、公共交通通达情况、停车便捷程度，综合评价交通便捷度较好</v>
      </c>
    </row>
    <row r="17" spans="1:18" ht="42.75">
      <c r="A17" s="628"/>
      <c r="B17" s="1487" t="s">
        <v>1735</v>
      </c>
      <c r="C17" s="2172" t="str">
        <f>C5</f>
        <v>估价对象位于XX商圈，周边办公楼项目较多，入驻率高，办公集聚程度较好</v>
      </c>
      <c r="D17" s="2144"/>
      <c r="E17" s="2173"/>
      <c r="F17" s="2174" t="s">
        <v>1753</v>
      </c>
      <c r="G17" s="2175"/>
    </row>
    <row r="18" spans="1:18" ht="57">
      <c r="A18" s="628"/>
      <c r="B18" s="2174" t="s">
        <v>1739</v>
      </c>
      <c r="C18" s="51" t="str">
        <f>C6</f>
        <v>估价对象周边道路状况、公共交通通达情况、停车便捷程度，综合评价交通便捷度较好</v>
      </c>
      <c r="D18" s="2144"/>
      <c r="E18" s="2173"/>
      <c r="F18" s="2174" t="s">
        <v>1742</v>
      </c>
      <c r="G18" s="51" t="str">
        <f>G7</f>
        <v>该园区内是否有污染型企业，绿化情况，卫生条件，整体环境状况判断</v>
      </c>
    </row>
    <row r="19" spans="1:18" ht="28.5">
      <c r="A19" s="628"/>
      <c r="B19" s="2174" t="s">
        <v>1754</v>
      </c>
      <c r="C19" s="2175"/>
      <c r="D19" s="2137"/>
      <c r="E19" s="2173"/>
      <c r="F19" s="1879" t="s">
        <v>1737</v>
      </c>
      <c r="G19" s="51" t="str">
        <f>G5</f>
        <v>估价对象所在区域公共配套设施齐备情况</v>
      </c>
    </row>
    <row r="20" spans="1:18" ht="28.5">
      <c r="A20" s="628"/>
      <c r="B20" s="2174" t="s">
        <v>1755</v>
      </c>
      <c r="C20" s="2172" t="str">
        <f>C9</f>
        <v>区域自然环境：；人文环境；综合评价环境状况一般</v>
      </c>
      <c r="D20" s="2144"/>
      <c r="E20" s="2173"/>
      <c r="F20" s="1879" t="s">
        <v>1756</v>
      </c>
      <c r="G20" s="51" t="str">
        <f>G6</f>
        <v>估价对象所在区域基础设施水平</v>
      </c>
    </row>
    <row r="21" spans="1:18" ht="28.5">
      <c r="A21" s="628"/>
      <c r="B21" s="1879" t="s">
        <v>1737</v>
      </c>
      <c r="C21" s="51" t="str">
        <f>C7</f>
        <v>估价对象所在区域公共配套设施齐备情况</v>
      </c>
      <c r="D21" s="2137"/>
      <c r="E21" s="2173"/>
      <c r="F21" s="2174" t="s">
        <v>1757</v>
      </c>
      <c r="G21" s="2176"/>
    </row>
    <row r="22" spans="1:18" ht="28.5">
      <c r="A22" s="628"/>
      <c r="B22" s="1879" t="s">
        <v>1740</v>
      </c>
      <c r="C22" s="51" t="str">
        <f>C8</f>
        <v>估价对象所在区域基础设施水平</v>
      </c>
      <c r="D22" s="2137"/>
      <c r="E22" s="2173"/>
      <c r="F22" s="2174" t="s">
        <v>1746</v>
      </c>
      <c r="G22" s="2177"/>
    </row>
    <row r="23" spans="1:18" s="2133" customFormat="1" ht="15.75" thickBot="1">
      <c r="A23" s="628"/>
      <c r="B23" s="2174" t="s">
        <v>1757</v>
      </c>
      <c r="C23" s="2176"/>
      <c r="D23" s="2162"/>
      <c r="E23" s="2178"/>
      <c r="F23" s="2179" t="s">
        <v>1758</v>
      </c>
      <c r="G23" s="2180"/>
      <c r="H23" s="2162"/>
      <c r="I23" s="2163"/>
      <c r="J23" s="2162"/>
      <c r="K23" s="2162"/>
      <c r="L23" s="2163"/>
      <c r="M23" s="2162"/>
      <c r="N23" s="2162"/>
      <c r="O23" s="2163"/>
      <c r="P23" s="2162"/>
      <c r="Q23" s="2162"/>
      <c r="R23" s="2164"/>
    </row>
    <row r="24" spans="1:18" s="2133" customFormat="1" ht="15.75" thickBot="1">
      <c r="A24" s="2181"/>
      <c r="B24" s="2179" t="s">
        <v>1759</v>
      </c>
      <c r="C24" s="52">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3" t="s">
        <v>1219</v>
      </c>
      <c r="B1" s="1823">
        <f>SUM(B14:B23)</f>
        <v>353.61</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43888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1639.2299</v>
      </c>
      <c r="C5" s="1823">
        <f ca="1">ROUND(B5*10000/$B$1,0)</f>
        <v>46357</v>
      </c>
      <c r="D5" s="1823" t="e">
        <f ca="1">ROUND(B5*10000/$B$2,0)</f>
        <v>#DIV/0!</v>
      </c>
      <c r="E5" s="1824"/>
      <c r="F5" s="1828"/>
      <c r="G5" s="1828"/>
    </row>
    <row r="6" spans="1:9" ht="16.5">
      <c r="A6" s="1823" t="s">
        <v>1227</v>
      </c>
      <c r="B6" s="1823" t="e">
        <f>SUM(G14:G23)</f>
        <v>#VALUE!</v>
      </c>
      <c r="C6" s="1823" t="e">
        <f t="shared" ref="C6:C8" si="0">ROUND(B6*10000/$B$1,0)</f>
        <v>#VALUE!</v>
      </c>
      <c r="D6" s="1823" t="e">
        <f t="shared" ref="D6:D8" si="1">ROUND(B6*10000/$B$2,0)</f>
        <v>#VALUE!</v>
      </c>
      <c r="E6" s="1824"/>
      <c r="F6" s="1828"/>
      <c r="G6" s="1828"/>
    </row>
    <row r="7" spans="1:9" ht="16.5">
      <c r="A7" s="1823" t="s">
        <v>1228</v>
      </c>
      <c r="B7" s="1823">
        <f ca="1">SUM(H14:H23)</f>
        <v>1639.2299</v>
      </c>
      <c r="C7" s="1823">
        <f ca="1">ROUND(B7*10000/$B$1,0)</f>
        <v>46357</v>
      </c>
      <c r="D7" s="1823" t="e">
        <f t="shared" ca="1" si="1"/>
        <v>#DIV/0!</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2904</v>
      </c>
      <c r="B14" s="1827">
        <f>项目基本情况!C12</f>
        <v>353.61</v>
      </c>
      <c r="C14" s="1827">
        <f>项目基本情况!C13</f>
        <v>0</v>
      </c>
      <c r="D14" s="1827">
        <f ca="1">IF('数据-取费表'!B3="万元",IF(A14="估价对象1（结果表）",结果表!H121,'结果表 (1修多)'!H124),IF(A14="估价对象1（结果表）",结果表!H121,'结果表 (1修多)'!H124)/10000)</f>
        <v>1639.2299</v>
      </c>
      <c r="E14" s="1827">
        <f ca="1">ROUND(D14*10000/B14,0)</f>
        <v>46357</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1639.2299</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102" sqref="I102:I103"/>
    </sheetView>
  </sheetViews>
  <sheetFormatPr defaultColWidth="12.625" defaultRowHeight="21.75" customHeight="1"/>
  <cols>
    <col min="1" max="2" width="12.625" style="2189"/>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38"/>
    <col min="36" max="16384" width="12.625" style="2189"/>
  </cols>
  <sheetData>
    <row r="1" spans="1:12" ht="21.75" customHeight="1">
      <c r="A1" s="2187" t="s">
        <v>1760</v>
      </c>
      <c r="B1" s="2188"/>
      <c r="C1" s="2188"/>
      <c r="D1" s="2188"/>
      <c r="E1" s="2188"/>
      <c r="F1" s="2188"/>
      <c r="G1" s="2188"/>
      <c r="H1" s="2188"/>
      <c r="I1" s="2188"/>
    </row>
    <row r="2" spans="1:12" ht="21.75" customHeight="1">
      <c r="A2" s="2940" t="str">
        <f>项目基本情况!B1</f>
        <v>北京市北京市昌平区小汤山镇橘郡花园水印长滩9-13号房地产抵押价值预评估</v>
      </c>
      <c r="B2" s="2940"/>
      <c r="C2" s="2940"/>
      <c r="D2" s="2940"/>
      <c r="E2" s="2940"/>
      <c r="F2" s="2940"/>
      <c r="G2" s="2940"/>
      <c r="H2" s="2940"/>
      <c r="I2" s="2940"/>
    </row>
    <row r="3" spans="1:12" ht="12.75">
      <c r="A3" s="2946" t="s">
        <v>1761</v>
      </c>
      <c r="B3" s="2947"/>
      <c r="C3" s="2947"/>
      <c r="D3" s="2947"/>
      <c r="E3" s="2947"/>
      <c r="F3" s="2947"/>
      <c r="G3" s="2947"/>
      <c r="H3" s="2947"/>
      <c r="I3" s="2947"/>
    </row>
    <row r="4" spans="1:12" ht="14.25">
      <c r="A4" s="2190" t="s">
        <v>1762</v>
      </c>
      <c r="B4" s="2191" t="s">
        <v>1763</v>
      </c>
      <c r="C4" s="2192" t="s">
        <v>2896</v>
      </c>
      <c r="D4" s="2192" t="s">
        <v>2897</v>
      </c>
      <c r="E4" s="2951" t="s">
        <v>1764</v>
      </c>
      <c r="F4" s="2952"/>
      <c r="G4" s="2952"/>
      <c r="H4" s="2952"/>
      <c r="I4" s="2953"/>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41" t="s">
        <v>1765</v>
      </c>
      <c r="B5" s="2886">
        <v>25</v>
      </c>
      <c r="C5" s="2948"/>
      <c r="D5" s="2945"/>
      <c r="E5" s="55" t="s">
        <v>1766</v>
      </c>
      <c r="F5" s="2193"/>
      <c r="G5" s="2193"/>
      <c r="H5" s="2193"/>
      <c r="I5" s="2194"/>
    </row>
    <row r="6" spans="1:12" ht="12.75">
      <c r="A6" s="2941"/>
      <c r="B6" s="2886"/>
      <c r="C6" s="2949"/>
      <c r="D6" s="2945"/>
      <c r="E6" s="55" t="s">
        <v>1767</v>
      </c>
      <c r="F6" s="2193"/>
      <c r="G6" s="2193"/>
      <c r="H6" s="2193"/>
      <c r="I6" s="2194"/>
    </row>
    <row r="7" spans="1:12" ht="12.75">
      <c r="A7" s="2941"/>
      <c r="B7" s="2886"/>
      <c r="C7" s="2950"/>
      <c r="D7" s="2945"/>
      <c r="E7" s="55" t="s">
        <v>1768</v>
      </c>
      <c r="F7" s="2193"/>
      <c r="G7" s="2193"/>
      <c r="H7" s="2193"/>
      <c r="I7" s="2194"/>
    </row>
    <row r="8" spans="1:12" ht="12.75">
      <c r="A8" s="2941" t="s">
        <v>1769</v>
      </c>
      <c r="B8" s="2886">
        <v>15</v>
      </c>
      <c r="C8" s="2948"/>
      <c r="D8" s="2945"/>
      <c r="E8" s="55" t="s">
        <v>1770</v>
      </c>
      <c r="F8" s="2193"/>
      <c r="G8" s="2193"/>
      <c r="H8" s="2193"/>
      <c r="I8" s="2194"/>
    </row>
    <row r="9" spans="1:12" ht="12.75">
      <c r="A9" s="2941"/>
      <c r="B9" s="2886"/>
      <c r="C9" s="2950"/>
      <c r="D9" s="2945"/>
      <c r="E9" s="55" t="s">
        <v>1771</v>
      </c>
      <c r="F9" s="2193"/>
      <c r="G9" s="2193"/>
      <c r="H9" s="2193"/>
      <c r="I9" s="2194"/>
    </row>
    <row r="10" spans="1:12" ht="12.75">
      <c r="A10" s="2941" t="s">
        <v>1772</v>
      </c>
      <c r="B10" s="2886">
        <v>15</v>
      </c>
      <c r="C10" s="2948"/>
      <c r="D10" s="2945"/>
      <c r="E10" s="55" t="s">
        <v>1773</v>
      </c>
      <c r="F10" s="2193"/>
      <c r="G10" s="2193"/>
      <c r="H10" s="2193"/>
      <c r="I10" s="2194"/>
    </row>
    <row r="11" spans="1:12" ht="12.75">
      <c r="A11" s="2941"/>
      <c r="B11" s="2886"/>
      <c r="C11" s="2950"/>
      <c r="D11" s="2945"/>
      <c r="E11" s="55" t="s">
        <v>1774</v>
      </c>
      <c r="F11" s="2193"/>
      <c r="G11" s="2193"/>
      <c r="H11" s="2193"/>
      <c r="I11" s="2194"/>
    </row>
    <row r="12" spans="1:12" ht="12.75">
      <c r="A12" s="2941" t="s">
        <v>1775</v>
      </c>
      <c r="B12" s="2886">
        <v>15</v>
      </c>
      <c r="C12" s="2948"/>
      <c r="D12" s="2945"/>
      <c r="E12" s="55" t="s">
        <v>1776</v>
      </c>
      <c r="F12" s="2193"/>
      <c r="G12" s="2193"/>
      <c r="H12" s="2193"/>
      <c r="I12" s="2194"/>
    </row>
    <row r="13" spans="1:12" ht="12.75">
      <c r="A13" s="2941"/>
      <c r="B13" s="2886"/>
      <c r="C13" s="2950"/>
      <c r="D13" s="2945"/>
      <c r="E13" s="55" t="s">
        <v>1777</v>
      </c>
      <c r="F13" s="2193"/>
      <c r="G13" s="2193"/>
      <c r="H13" s="2193"/>
      <c r="I13" s="2194"/>
    </row>
    <row r="14" spans="1:12" ht="12.75">
      <c r="A14" s="2941" t="s">
        <v>1778</v>
      </c>
      <c r="B14" s="2886">
        <v>30</v>
      </c>
      <c r="C14" s="2948">
        <v>8</v>
      </c>
      <c r="D14" s="2945">
        <v>2</v>
      </c>
      <c r="E14" s="55" t="s">
        <v>1779</v>
      </c>
      <c r="F14" s="2193"/>
      <c r="G14" s="2193"/>
      <c r="H14" s="2193"/>
      <c r="I14" s="2194"/>
    </row>
    <row r="15" spans="1:12" ht="12.75">
      <c r="A15" s="2941"/>
      <c r="B15" s="2886"/>
      <c r="C15" s="2949"/>
      <c r="D15" s="2945"/>
      <c r="E15" s="55" t="s">
        <v>1780</v>
      </c>
      <c r="F15" s="2193"/>
      <c r="G15" s="2193"/>
      <c r="H15" s="2193"/>
      <c r="I15" s="2194"/>
    </row>
    <row r="16" spans="1:12" ht="12.75">
      <c r="A16" s="2941"/>
      <c r="B16" s="2886"/>
      <c r="C16" s="2950"/>
      <c r="D16" s="2945"/>
      <c r="E16" s="55" t="s">
        <v>1781</v>
      </c>
      <c r="F16" s="2193"/>
      <c r="G16" s="2193"/>
      <c r="H16" s="2193"/>
      <c r="I16" s="2194"/>
    </row>
    <row r="17" spans="1:35" ht="15">
      <c r="A17" s="2195" t="s">
        <v>1782</v>
      </c>
      <c r="B17" s="2196"/>
      <c r="C17" s="56">
        <f>SUM(C5:C16)</f>
        <v>8</v>
      </c>
      <c r="D17" s="56">
        <f>SUM(D5:D16)</f>
        <v>2</v>
      </c>
      <c r="E17" s="2188"/>
      <c r="F17" s="2188"/>
      <c r="G17" s="2188"/>
      <c r="H17" s="2188"/>
      <c r="I17" s="2188"/>
    </row>
    <row r="18" spans="1:35" ht="15.75" thickBot="1">
      <c r="A18" s="2197" t="s">
        <v>1783</v>
      </c>
      <c r="B18" s="2198"/>
      <c r="C18" s="57">
        <f>ROUND(C17/SUM(C17:D17),2)</f>
        <v>0.8</v>
      </c>
      <c r="D18" s="57">
        <f>1-C18</f>
        <v>0.19999999999999996</v>
      </c>
      <c r="E18" s="2188"/>
      <c r="F18" s="2188"/>
      <c r="G18" s="2188"/>
      <c r="H18" s="2188"/>
      <c r="I18" s="2188"/>
    </row>
    <row r="19" spans="1:35" ht="15">
      <c r="A19" s="2199" t="s">
        <v>1784</v>
      </c>
      <c r="B19" s="2200" t="s">
        <v>1785</v>
      </c>
      <c r="C19" s="58">
        <f ca="1">SUMIF(INDIRECT("'"&amp;C4&amp;"'"&amp;"!A:A"),结果表!B19,INDIRECT("'"&amp;C4&amp;"'"&amp;"!B:B"))</f>
        <v>18950667</v>
      </c>
      <c r="D19" s="59">
        <f ca="1">SUMIF(INDIRECT("'"&amp;D4&amp;"'"&amp;"!A:A"),结果表!B19,INDIRECT("'"&amp;D4&amp;"'"&amp;"!B:B"))</f>
        <v>6159422</v>
      </c>
      <c r="E19" s="2199" t="s">
        <v>1786</v>
      </c>
      <c r="F19" s="2200" t="s">
        <v>1785</v>
      </c>
      <c r="G19" s="60">
        <f ca="1">ROUND(C19*$C$18+D19*$D$18,0)</f>
        <v>16392418</v>
      </c>
      <c r="H19" s="2201" t="str">
        <f>'数据-取费表'!B3</f>
        <v>元</v>
      </c>
      <c r="I19" s="2188"/>
      <c r="J19" s="796" t="s">
        <v>2901</v>
      </c>
      <c r="K19" s="796">
        <v>1622</v>
      </c>
      <c r="L19" s="796" t="s">
        <v>2902</v>
      </c>
    </row>
    <row r="20" spans="1:35" ht="15">
      <c r="A20" s="2202"/>
      <c r="B20" s="2203" t="s">
        <v>1787</v>
      </c>
      <c r="C20" s="61">
        <f ca="1">SUMIF(INDIRECT("'"&amp;C4&amp;"'"&amp;"!A:A"),结果表!B20,INDIRECT("'"&amp;C4&amp;"'"&amp;"!B:B"))</f>
        <v>53592</v>
      </c>
      <c r="D20" s="62">
        <f ca="1">SUMIF(INDIRECT("'"&amp;D4&amp;"'"&amp;"!A:A"),结果表!B20,INDIRECT("'"&amp;D4&amp;"'"&amp;"!B:B"))</f>
        <v>17419</v>
      </c>
      <c r="E20" s="2202"/>
      <c r="F20" s="2203" t="s">
        <v>1787</v>
      </c>
      <c r="G20" s="63">
        <f ca="1">ROUND(C20*$C$18+D20*$D$18,0)</f>
        <v>46357</v>
      </c>
      <c r="H20" s="2204" t="s">
        <v>1788</v>
      </c>
      <c r="I20" s="2188"/>
      <c r="J20" s="796" t="s">
        <v>2853</v>
      </c>
      <c r="K20" s="796">
        <v>45876</v>
      </c>
      <c r="L20" s="796" t="s">
        <v>2903</v>
      </c>
    </row>
    <row r="21" spans="1:35" ht="15" customHeight="1" thickBot="1">
      <c r="A21" s="2205"/>
      <c r="B21" s="2206"/>
      <c r="C21" s="768"/>
      <c r="D21" s="769"/>
      <c r="E21" s="2205"/>
      <c r="F21" s="2206"/>
      <c r="G21" s="64"/>
      <c r="H21" s="2207"/>
      <c r="I21" s="2188"/>
    </row>
    <row r="22" spans="1:35" ht="15" thickBot="1">
      <c r="A22" s="2208" t="s">
        <v>1789</v>
      </c>
      <c r="B22" s="2209"/>
      <c r="C22" s="2210"/>
      <c r="D22" s="770">
        <f ca="1">IF(C19&lt;D19,D19/C19-1,C19/D19-1)</f>
        <v>2.0766956704703787</v>
      </c>
      <c r="E22" s="2188"/>
      <c r="F22" s="2188"/>
      <c r="G22" s="2188"/>
      <c r="H22" s="2188"/>
      <c r="I22" s="2188"/>
    </row>
    <row r="23" spans="1:35" ht="13.5" thickBot="1">
      <c r="A23" s="2188"/>
      <c r="B23" s="2188"/>
      <c r="C23" s="2188"/>
      <c r="D23" s="2188"/>
      <c r="E23" s="2188"/>
      <c r="F23" s="2188"/>
      <c r="G23" s="2188"/>
      <c r="H23" s="2188"/>
      <c r="I23" s="2188"/>
    </row>
    <row r="24" spans="1:35" ht="21.75" customHeight="1">
      <c r="A24" s="2954" t="s">
        <v>1790</v>
      </c>
      <c r="B24" s="2200" t="s">
        <v>1785</v>
      </c>
      <c r="C24" s="60">
        <f>D30</f>
        <v>0</v>
      </c>
      <c r="D24" s="988"/>
      <c r="E24" s="2188"/>
      <c r="F24" s="2188"/>
      <c r="G24" s="2188"/>
      <c r="H24" s="2188"/>
      <c r="I24" s="2188"/>
    </row>
    <row r="25" spans="1:35" ht="21.75" customHeight="1">
      <c r="A25" s="2955"/>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4.25">
      <c r="A27" s="2213"/>
      <c r="B27" s="66">
        <v>0</v>
      </c>
      <c r="C27" s="66">
        <v>0</v>
      </c>
      <c r="D27" s="67">
        <f>ROUND(C27*B27/10000,0)</f>
        <v>0</v>
      </c>
      <c r="E27" s="2188"/>
      <c r="F27" s="2188"/>
      <c r="G27" s="2188"/>
      <c r="H27" s="2188"/>
      <c r="I27" s="2188"/>
    </row>
    <row r="28" spans="1:35" ht="14.25">
      <c r="A28" s="2212"/>
      <c r="B28" s="66"/>
      <c r="C28" s="66"/>
      <c r="D28" s="67">
        <f t="shared" ref="D28:D29" si="0">ROUND(C28*B28/10000,0)</f>
        <v>0</v>
      </c>
      <c r="E28" s="2188"/>
      <c r="F28" s="2188"/>
      <c r="G28" s="2188"/>
      <c r="H28" s="2188"/>
      <c r="I28" s="2188"/>
    </row>
    <row r="29" spans="1:35" ht="14.25">
      <c r="A29" s="2212"/>
      <c r="B29" s="66"/>
      <c r="C29" s="66"/>
      <c r="D29" s="67">
        <f t="shared" si="0"/>
        <v>0</v>
      </c>
      <c r="E29" s="2188"/>
      <c r="F29" s="2188"/>
      <c r="G29" s="2188"/>
      <c r="H29" s="2188"/>
      <c r="I29" s="2188"/>
    </row>
    <row r="30" spans="1:35" ht="14.25">
      <c r="A30" s="66" t="s">
        <v>1795</v>
      </c>
      <c r="B30" s="66"/>
      <c r="C30" s="66"/>
      <c r="D30" s="66"/>
      <c r="E30" s="2696" t="s">
        <v>2794</v>
      </c>
      <c r="F30" s="2188"/>
      <c r="G30" s="2188"/>
      <c r="H30" s="2188"/>
      <c r="I30" s="2188"/>
    </row>
    <row r="31" spans="1:35" s="2215" customFormat="1" ht="15"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6" t="s">
        <v>1796</v>
      </c>
      <c r="B32" s="2217" t="str">
        <f>'数据-取费表'!B4</f>
        <v>楼面单价</v>
      </c>
      <c r="C32" s="1139">
        <f ca="1">IF(B32="总价",G19-C24,G20-C25)</f>
        <v>46357</v>
      </c>
      <c r="D32" s="2188" t="str">
        <f>IF(B32="楼面单价","元/平方米",H19)</f>
        <v>元/平方米</v>
      </c>
      <c r="E32" s="2188"/>
      <c r="F32" s="2188"/>
      <c r="G32" s="2188"/>
      <c r="H32" s="2188"/>
      <c r="I32" s="2188"/>
    </row>
    <row r="33" spans="1:16" ht="15">
      <c r="A33" s="2218" t="s">
        <v>1797</v>
      </c>
      <c r="B33" s="2219"/>
      <c r="C33" s="2220"/>
      <c r="D33" s="2221"/>
      <c r="E33" s="2222" t="s">
        <v>1798</v>
      </c>
      <c r="F33" s="2223" t="str">
        <f>IF(B32="楼面单价","取值（单价）","取值（总价）")</f>
        <v>取值（单价）</v>
      </c>
      <c r="G33" s="2188"/>
      <c r="H33" s="2188"/>
      <c r="I33" s="2188"/>
    </row>
    <row r="34" spans="1:16" ht="15">
      <c r="A34" s="2224"/>
      <c r="B34" s="2225" t="s">
        <v>1799</v>
      </c>
      <c r="C34" s="71">
        <f ca="1">IF(D33="自定义",F34,C32-C35)</f>
        <v>34629</v>
      </c>
      <c r="D34" s="1085">
        <f ca="1">IF(D33="自定义",ROUND(C34/C32,3),1-D35)</f>
        <v>0.747</v>
      </c>
      <c r="E34" s="2226" t="s">
        <v>1800</v>
      </c>
      <c r="F34" s="1821">
        <v>2000</v>
      </c>
      <c r="G34" s="2188"/>
      <c r="H34" s="2188"/>
      <c r="I34" s="2188"/>
    </row>
    <row r="35" spans="1:16" ht="15.75" thickBot="1">
      <c r="A35" s="2227"/>
      <c r="B35" s="2228" t="s">
        <v>1801</v>
      </c>
      <c r="C35" s="72">
        <f ca="1">IF(D33="自定义",F35,ROUND(C32*D35,0))</f>
        <v>11728</v>
      </c>
      <c r="D35" s="1084">
        <f ca="1">IF(D33="自定义",ROUND(C35/C32,3),IF(D33="成本法成本比率",成本法!C56,IF(D33="收益法收益比率",收益法!J38,收益法!J41)))</f>
        <v>0.253</v>
      </c>
      <c r="E35" s="2229" t="s">
        <v>1802</v>
      </c>
      <c r="F35" s="78">
        <v>4460</v>
      </c>
      <c r="G35" s="2188"/>
      <c r="H35" s="2188"/>
      <c r="I35" s="2188"/>
    </row>
    <row r="36" spans="1:16" ht="15.75" thickBot="1">
      <c r="A36" s="2959" t="s">
        <v>1803</v>
      </c>
      <c r="B36" s="2230" t="s">
        <v>1804</v>
      </c>
      <c r="C36" s="68">
        <v>0</v>
      </c>
      <c r="D36" s="2231"/>
      <c r="E36" s="2232"/>
      <c r="F36" s="2232"/>
      <c r="G36" s="2188"/>
      <c r="H36" s="2188"/>
      <c r="I36" s="2188"/>
    </row>
    <row r="37" spans="1:16" ht="15.75" thickBot="1">
      <c r="A37" s="2960"/>
      <c r="B37" s="2233" t="s">
        <v>1805</v>
      </c>
      <c r="C37" s="70">
        <v>0</v>
      </c>
      <c r="D37" s="2198"/>
      <c r="E37" s="2198"/>
      <c r="F37" s="2232"/>
      <c r="G37" s="2198"/>
      <c r="H37" s="2198"/>
      <c r="I37" s="2198"/>
    </row>
    <row r="38" spans="1:16" ht="15.75" thickBot="1">
      <c r="A38" s="2961"/>
      <c r="B38" s="2234" t="s">
        <v>1806</v>
      </c>
      <c r="C38" s="710">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3"/>
      <c r="C40" s="74"/>
      <c r="D40" s="74"/>
      <c r="E40" s="75"/>
      <c r="F40" s="2232"/>
      <c r="G40" s="2198"/>
      <c r="H40" s="2198"/>
      <c r="I40" s="2198"/>
    </row>
    <row r="41" spans="1:16" ht="14.25">
      <c r="A41" s="2239" t="s">
        <v>1811</v>
      </c>
      <c r="B41" s="73"/>
      <c r="C41" s="74"/>
      <c r="D41" s="74"/>
      <c r="E41" s="75"/>
      <c r="F41" s="2232"/>
      <c r="G41" s="2198"/>
      <c r="H41" s="2198"/>
      <c r="I41" s="2198"/>
    </row>
    <row r="42" spans="1:16" ht="15" thickBot="1">
      <c r="A42" s="2240"/>
      <c r="B42" s="76"/>
      <c r="C42" s="77"/>
      <c r="D42" s="77"/>
      <c r="E42" s="78"/>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38"/>
    </row>
    <row r="45" spans="1:16" ht="14.25" customHeight="1" thickBot="1">
      <c r="A45" s="2964" t="s">
        <v>1814</v>
      </c>
      <c r="B45" s="2965"/>
      <c r="C45" s="2966"/>
      <c r="D45" s="79">
        <f ca="1">ROUND(I102*F45,0)</f>
        <v>16392299</v>
      </c>
      <c r="E45" s="80" t="s">
        <v>1815</v>
      </c>
      <c r="F45" s="81">
        <v>1</v>
      </c>
      <c r="G45" s="82" t="s">
        <v>1816</v>
      </c>
      <c r="H45" s="2188"/>
      <c r="I45" s="2188"/>
      <c r="J45" s="2876" t="s">
        <v>1817</v>
      </c>
      <c r="K45" s="2876"/>
      <c r="L45" s="2876"/>
      <c r="M45" s="2876"/>
      <c r="N45" s="2876"/>
      <c r="O45" s="2876"/>
      <c r="P45" s="1838"/>
    </row>
    <row r="46" spans="1:16" ht="14.25" customHeight="1">
      <c r="A46" s="2956" t="s">
        <v>1818</v>
      </c>
      <c r="B46" s="2957"/>
      <c r="C46" s="2957"/>
      <c r="D46" s="2957"/>
      <c r="E46" s="2957"/>
      <c r="F46" s="2957"/>
      <c r="G46" s="2958"/>
      <c r="H46" s="2250"/>
      <c r="I46" s="1138"/>
      <c r="J46" s="1875">
        <v>1</v>
      </c>
      <c r="K46" s="2876" t="s">
        <v>1819</v>
      </c>
      <c r="L46" s="2876"/>
      <c r="M46" s="2877" t="str">
        <f>项目基本情况!B1</f>
        <v>北京市北京市昌平区小汤山镇橘郡花园水印长滩9-13号房地产抵押价值预评估</v>
      </c>
      <c r="N46" s="2877"/>
      <c r="O46" s="2877"/>
      <c r="P46" s="1838"/>
    </row>
    <row r="47" spans="1:16" ht="12" customHeight="1">
      <c r="A47" s="84" t="s">
        <v>1820</v>
      </c>
      <c r="B47" s="85"/>
      <c r="C47" s="86"/>
      <c r="D47" s="87" t="s">
        <v>1821</v>
      </c>
      <c r="E47" s="14" t="s">
        <v>1822</v>
      </c>
      <c r="F47" s="88" t="s">
        <v>1823</v>
      </c>
      <c r="G47" s="89" t="s">
        <v>1824</v>
      </c>
      <c r="H47" s="2250"/>
      <c r="I47" s="1138"/>
      <c r="J47" s="1875">
        <v>2</v>
      </c>
      <c r="K47" s="2876" t="s">
        <v>1825</v>
      </c>
      <c r="L47" s="2876"/>
      <c r="M47" s="2878">
        <f>'数据-取费表'!B2</f>
        <v>43888</v>
      </c>
      <c r="N47" s="2878"/>
      <c r="O47" s="2878"/>
      <c r="P47" s="1838"/>
    </row>
    <row r="48" spans="1:16" ht="25.5">
      <c r="A48" s="2962" t="s">
        <v>1826</v>
      </c>
      <c r="B48" s="2963"/>
      <c r="C48" s="2963"/>
      <c r="D48" s="55">
        <f ca="1">IF(H48="情况1",0,IF(H48="情况2",D52,IF(H48="情况3",D53,IF(H48="情况4",D54))))</f>
        <v>858644</v>
      </c>
      <c r="E48" s="1885" t="str">
        <f>IF(H48="情况4","(销售额-原购置价)×税（费）率","销售额×税（费）率")</f>
        <v>销售额×税（费）率</v>
      </c>
      <c r="F48" s="90">
        <f>IF(H48="情况1","免征",'数据-取费表'!E29)</f>
        <v>5.5000000000000007E-2</v>
      </c>
      <c r="G48" s="2251" t="s">
        <v>1827</v>
      </c>
      <c r="H48" s="2252" t="s">
        <v>1828</v>
      </c>
      <c r="I48" s="2250"/>
      <c r="J48" s="1875">
        <v>3</v>
      </c>
      <c r="K48" s="2876" t="s">
        <v>1829</v>
      </c>
      <c r="L48" s="2876"/>
      <c r="M48" s="2877">
        <f ca="1">I102</f>
        <v>16392299</v>
      </c>
      <c r="N48" s="2877"/>
      <c r="O48" s="2877"/>
      <c r="P48" s="1838"/>
    </row>
    <row r="49" spans="1:16" ht="25.5" customHeight="1">
      <c r="A49" s="91" t="s">
        <v>1830</v>
      </c>
      <c r="B49" s="2943" t="s">
        <v>1831</v>
      </c>
      <c r="C49" s="2943"/>
      <c r="D49" s="92">
        <v>0</v>
      </c>
      <c r="E49" s="13" t="s">
        <v>1832</v>
      </c>
      <c r="F49" s="18" t="s">
        <v>48</v>
      </c>
      <c r="G49" s="2867"/>
      <c r="H49" s="2188"/>
      <c r="I49" s="2253"/>
      <c r="J49" s="1875">
        <v>4</v>
      </c>
      <c r="K49" s="2876" t="str">
        <f>IF(项目基本情况!F5="房地产抵押价值","房地产抵押价值","抵押担保权已注销时的房地产抵押价值")</f>
        <v>抵押担保权已注销时的房地产抵押价值</v>
      </c>
      <c r="L49" s="2876"/>
      <c r="M49" s="2877">
        <f ca="1">IF(项目基本情况!F5="房地产抵押价值",I110,I112)</f>
        <v>16392299</v>
      </c>
      <c r="N49" s="2877"/>
      <c r="O49" s="2877"/>
      <c r="P49" s="1838"/>
    </row>
    <row r="50" spans="1:16" ht="25.5" customHeight="1">
      <c r="A50" s="93"/>
      <c r="B50" s="2943" t="s">
        <v>1833</v>
      </c>
      <c r="C50" s="2943"/>
      <c r="D50" s="94"/>
      <c r="E50" s="21"/>
      <c r="F50" s="95"/>
      <c r="G50" s="2868"/>
      <c r="H50" s="2188"/>
      <c r="I50" s="2253"/>
      <c r="J50" s="2876" t="s">
        <v>1834</v>
      </c>
      <c r="K50" s="2876"/>
      <c r="L50" s="2876"/>
      <c r="M50" s="2876"/>
      <c r="N50" s="2876"/>
      <c r="O50" s="2876"/>
      <c r="P50" s="1838"/>
    </row>
    <row r="51" spans="1:16" ht="12" customHeight="1">
      <c r="A51" s="96"/>
      <c r="B51" s="2943" t="s">
        <v>1835</v>
      </c>
      <c r="C51" s="2943"/>
      <c r="D51" s="97"/>
      <c r="E51" s="20"/>
      <c r="F51" s="95"/>
      <c r="G51" s="2869"/>
      <c r="H51" s="2188"/>
      <c r="I51" s="2253"/>
      <c r="J51" s="2254" t="s">
        <v>1836</v>
      </c>
      <c r="K51" s="2876" t="s">
        <v>1837</v>
      </c>
      <c r="L51" s="2876"/>
      <c r="M51" s="2254" t="s">
        <v>1838</v>
      </c>
      <c r="N51" s="2254" t="s">
        <v>1839</v>
      </c>
      <c r="O51" s="2254" t="s">
        <v>1840</v>
      </c>
      <c r="P51" s="1838"/>
    </row>
    <row r="52" spans="1:16" ht="24" customHeight="1">
      <c r="A52" s="98" t="s">
        <v>1841</v>
      </c>
      <c r="B52" s="2943" t="s">
        <v>1842</v>
      </c>
      <c r="C52" s="2943"/>
      <c r="D52" s="97">
        <f ca="1">ROUND(D45*'数据-取费表'!E29/(1+'数据-取费表'!F30),0)</f>
        <v>858644</v>
      </c>
      <c r="E52" s="10" t="s">
        <v>1843</v>
      </c>
      <c r="F52" s="99">
        <f>'数据-取费表'!E29</f>
        <v>5.5000000000000007E-2</v>
      </c>
      <c r="G52" s="2255"/>
      <c r="H52" s="2188"/>
      <c r="I52" s="2253"/>
      <c r="J52" s="1875">
        <v>1</v>
      </c>
      <c r="K52" s="2866" t="s">
        <v>1844</v>
      </c>
      <c r="L52" s="2866"/>
      <c r="M52" s="776">
        <f ca="1">D48</f>
        <v>858644</v>
      </c>
      <c r="N52" s="1875" t="str">
        <f>E48</f>
        <v>销售额×税（费）率</v>
      </c>
      <c r="O52" s="777">
        <f>F48</f>
        <v>5.5000000000000007E-2</v>
      </c>
      <c r="P52" s="1838"/>
    </row>
    <row r="53" spans="1:16" ht="12" customHeight="1">
      <c r="A53" s="98" t="s">
        <v>1845</v>
      </c>
      <c r="B53" s="2942" t="s">
        <v>1846</v>
      </c>
      <c r="C53" s="2836"/>
      <c r="D53" s="97">
        <f ca="1">ROUND(D45*'数据-取费表'!E29/(1+'数据-取费表'!F30),0)</f>
        <v>858644</v>
      </c>
      <c r="E53" s="10" t="s">
        <v>1843</v>
      </c>
      <c r="F53" s="99">
        <f>'数据-取费表'!E29</f>
        <v>5.5000000000000007E-2</v>
      </c>
      <c r="G53" s="2255"/>
      <c r="H53" s="2188"/>
      <c r="I53" s="2253"/>
      <c r="J53" s="1875">
        <v>2</v>
      </c>
      <c r="K53" s="2866" t="s">
        <v>1847</v>
      </c>
      <c r="L53" s="2866"/>
      <c r="M53" s="776">
        <f t="shared" ref="M53:O54" ca="1" si="1">D55</f>
        <v>8196</v>
      </c>
      <c r="N53" s="1875" t="str">
        <f t="shared" si="1"/>
        <v>销售额×税（费）率</v>
      </c>
      <c r="O53" s="777">
        <f t="shared" si="1"/>
        <v>5.0000000000000001E-4</v>
      </c>
      <c r="P53" s="1838"/>
    </row>
    <row r="54" spans="1:16" ht="12" customHeight="1">
      <c r="A54" s="98" t="s">
        <v>1848</v>
      </c>
      <c r="B54" s="2942" t="s">
        <v>1849</v>
      </c>
      <c r="C54" s="2836"/>
      <c r="D54" s="97">
        <f ca="1">C68</f>
        <v>858644</v>
      </c>
      <c r="E54" s="20" t="s">
        <v>1850</v>
      </c>
      <c r="F54" s="99">
        <f>'数据-取费表'!E29</f>
        <v>5.5000000000000007E-2</v>
      </c>
      <c r="G54" s="2255"/>
      <c r="H54" s="2256"/>
      <c r="I54" s="2253"/>
      <c r="J54" s="1875">
        <v>3</v>
      </c>
      <c r="K54" s="2866" t="s">
        <v>1851</v>
      </c>
      <c r="L54" s="2866"/>
      <c r="M54" s="776">
        <f t="shared" ca="1" si="1"/>
        <v>9292872</v>
      </c>
      <c r="N54" s="1875" t="str">
        <f t="shared" si="1"/>
        <v>增值额×税（费）率</v>
      </c>
      <c r="O54" s="778" t="str">
        <f t="shared" si="1"/>
        <v>——</v>
      </c>
      <c r="P54" s="1838"/>
    </row>
    <row r="55" spans="1:16" ht="24" customHeight="1">
      <c r="A55" s="2828" t="s">
        <v>1852</v>
      </c>
      <c r="B55" s="2963"/>
      <c r="C55" s="2963"/>
      <c r="D55" s="100">
        <f ca="1">IF(H55="个人住宅",0,ROUND(D45*I55,0))</f>
        <v>8196</v>
      </c>
      <c r="E55" s="10" t="s">
        <v>1853</v>
      </c>
      <c r="F55" s="99">
        <f>IF(H55="正常",I55,"免征")</f>
        <v>5.0000000000000001E-4</v>
      </c>
      <c r="G55" s="2255"/>
      <c r="H55" s="2252" t="s">
        <v>1854</v>
      </c>
      <c r="I55" s="101">
        <f>'数据-取费表'!E37</f>
        <v>5.0000000000000001E-4</v>
      </c>
      <c r="J55" s="1875">
        <f>IF(H59="非个人房产","",4)</f>
        <v>4</v>
      </c>
      <c r="K55" s="2866" t="str">
        <f>IF(H59="非个人房产","——","个人所得税")</f>
        <v>个人所得税</v>
      </c>
      <c r="L55" s="2866"/>
      <c r="M55" s="779">
        <f ca="1">D59</f>
        <v>163923</v>
      </c>
      <c r="N55" s="1878" t="str">
        <f>E59</f>
        <v>销售额×税（费）率</v>
      </c>
      <c r="O55" s="780">
        <f>F59</f>
        <v>0.01</v>
      </c>
      <c r="P55" s="1838"/>
    </row>
    <row r="56" spans="1:16" ht="24.75">
      <c r="A56" s="2828" t="s">
        <v>1855</v>
      </c>
      <c r="B56" s="2963"/>
      <c r="C56" s="2963"/>
      <c r="D56" s="100">
        <f ca="1">IF(H56="个人住宅",D57,D58)</f>
        <v>9292872</v>
      </c>
      <c r="E56" s="10" t="s">
        <v>1856</v>
      </c>
      <c r="F56" s="99" t="str">
        <f>IF(H56="正常",F58,"免征")</f>
        <v>——</v>
      </c>
      <c r="G56" s="2257" t="s">
        <v>1857</v>
      </c>
      <c r="H56" s="2258" t="s">
        <v>1854</v>
      </c>
      <c r="I56" s="1016"/>
      <c r="J56" s="1875" t="str">
        <f>IF(项目基本情况!I6="上海银行",IF(J55="",4,J55+1),"")</f>
        <v/>
      </c>
      <c r="K56" s="2883" t="str">
        <f>IF(项目基本情况!I6="上海银行","其他处置费用","")</f>
        <v/>
      </c>
      <c r="L56" s="2884"/>
      <c r="M56" s="776" t="str">
        <f>IF(项目基本情况!I6="上海银行",M69,"")</f>
        <v/>
      </c>
      <c r="N56" s="2864" t="str">
        <f>IF(项目基本情况!I6="上海银行","包含处置中涉及的律师、诉讼、拍卖、评估等费用","")</f>
        <v/>
      </c>
      <c r="O56" s="2865"/>
      <c r="P56" s="1838"/>
    </row>
    <row r="57" spans="1:16" ht="12.75">
      <c r="A57" s="98" t="s">
        <v>1830</v>
      </c>
      <c r="B57" s="2951" t="s">
        <v>1858</v>
      </c>
      <c r="C57" s="2953"/>
      <c r="D57" s="102">
        <v>0</v>
      </c>
      <c r="E57" s="13" t="s">
        <v>1832</v>
      </c>
      <c r="F57" s="69"/>
      <c r="G57" s="2255"/>
      <c r="H57" s="1016"/>
      <c r="I57" s="1016"/>
      <c r="J57" s="2866">
        <f>IF(AND(J55="",J56=""),4,IF(项目基本情况!I6="上海银行",J56+1,J55+1))</f>
        <v>5</v>
      </c>
      <c r="K57" s="2866" t="s">
        <v>1859</v>
      </c>
      <c r="L57" s="2259" t="s">
        <v>1860</v>
      </c>
      <c r="M57" s="781"/>
      <c r="N57" s="782">
        <f ca="1">SUMIF(M52:M56,"&lt;9e307")</f>
        <v>10323635</v>
      </c>
      <c r="O57" s="2260"/>
      <c r="P57" s="1834">
        <f ca="1">N57/M49</f>
        <v>0.62978566947808845</v>
      </c>
    </row>
    <row r="58" spans="1:16" ht="24.75">
      <c r="A58" s="98" t="s">
        <v>1841</v>
      </c>
      <c r="B58" s="2951" t="s">
        <v>1861</v>
      </c>
      <c r="C58" s="2952"/>
      <c r="D58" s="100">
        <f ca="1">IF(H58="转让取得",C81,C97)</f>
        <v>9292872</v>
      </c>
      <c r="E58" s="10" t="s">
        <v>1856</v>
      </c>
      <c r="F58" s="14" t="s">
        <v>48</v>
      </c>
      <c r="G58" s="2255"/>
      <c r="H58" s="2258" t="s">
        <v>1862</v>
      </c>
      <c r="I58" s="1016"/>
      <c r="J58" s="2866"/>
      <c r="K58" s="2866"/>
      <c r="L58" s="2259" t="s">
        <v>1863</v>
      </c>
      <c r="M58" s="783"/>
      <c r="N58" s="2261" t="str">
        <f ca="1">IF(H19="元",NUMBERSTRING(INT(N57),2)&amp;"元整",NUMBERSTRING(INT(N57*10000),2)&amp;"元整")</f>
        <v>壹仟零叁拾贰万叁仟陆佰叁拾伍元整</v>
      </c>
      <c r="O58" s="2262"/>
      <c r="P58" s="1838"/>
    </row>
    <row r="59" spans="1:16" ht="26.25" thickBot="1">
      <c r="A59" s="2829" t="s">
        <v>1864</v>
      </c>
      <c r="B59" s="2832"/>
      <c r="C59" s="2832"/>
      <c r="D59" s="103">
        <f ca="1">IF(H59="非个人房产","——",IF(H59="个人住宅",0,ROUND(D45*I59,0)))</f>
        <v>163923</v>
      </c>
      <c r="E59" s="104" t="str">
        <f>IF(H59="非个人房产","——","销售额×税（费）率")</f>
        <v>销售额×税（费）率</v>
      </c>
      <c r="F59" s="105">
        <f>IF(H59="非个人房产","——",IF(H59="个人住宅","免征",I59))</f>
        <v>0.01</v>
      </c>
      <c r="G59" s="2263" t="s">
        <v>1857</v>
      </c>
      <c r="H59" s="2258" t="s">
        <v>1865</v>
      </c>
      <c r="I59" s="106">
        <v>0.01</v>
      </c>
      <c r="J59" s="2920">
        <f>J57+1</f>
        <v>6</v>
      </c>
      <c r="K59" s="2866" t="s">
        <v>1866</v>
      </c>
      <c r="L59" s="1875" t="s">
        <v>1860</v>
      </c>
      <c r="M59" s="784"/>
      <c r="N59" s="785">
        <f ca="1">M49-N57</f>
        <v>6068664</v>
      </c>
      <c r="O59" s="2264"/>
      <c r="P59" s="1838"/>
    </row>
    <row r="60" spans="1:16" ht="12" customHeight="1">
      <c r="A60" s="2059"/>
      <c r="B60" s="2188"/>
      <c r="C60" s="2188"/>
      <c r="D60" s="2188"/>
      <c r="E60" s="1016"/>
      <c r="F60" s="1016"/>
      <c r="G60" s="1016"/>
      <c r="H60" s="2241"/>
      <c r="I60" s="2188"/>
      <c r="J60" s="2921"/>
      <c r="K60" s="2866"/>
      <c r="L60" s="2259" t="s">
        <v>1863</v>
      </c>
      <c r="M60" s="783"/>
      <c r="N60" s="2261" t="str">
        <f ca="1">IF(H19="元",NUMBERSTRING(INT(N59),2)&amp;"元整",NUMBERSTRING(INT(N59*10000),2)&amp;"元整")</f>
        <v>陆佰零陆万捌仟陆佰陆拾肆元整</v>
      </c>
      <c r="O60" s="2262"/>
      <c r="P60" s="1838"/>
    </row>
    <row r="61" spans="1:16" ht="13.5" thickBot="1">
      <c r="A61" s="2967" t="s">
        <v>1867</v>
      </c>
      <c r="B61" s="2967"/>
      <c r="C61" s="2967"/>
      <c r="D61" s="2967"/>
      <c r="E61" s="2967"/>
      <c r="F61" s="1016"/>
      <c r="G61" s="1016"/>
      <c r="H61" s="2241"/>
      <c r="I61" s="2188"/>
      <c r="J61" s="1875">
        <f>J59+1</f>
        <v>7</v>
      </c>
      <c r="K61" s="2866" t="s">
        <v>1868</v>
      </c>
      <c r="L61" s="2866"/>
      <c r="M61" s="786"/>
      <c r="N61" s="787">
        <f ca="1">IF(H19="元",ROUND(N59/项目基本情况!C12,0),ROUND(N59*10000/项目基本情况!C12,0))</f>
        <v>17162</v>
      </c>
      <c r="O61" s="2265"/>
      <c r="P61" s="1838"/>
    </row>
    <row r="62" spans="1:16" ht="12.75">
      <c r="A62" s="2904" t="s">
        <v>1869</v>
      </c>
      <c r="B62" s="2905"/>
      <c r="C62" s="1877"/>
      <c r="D62" s="1877" t="s">
        <v>1870</v>
      </c>
      <c r="E62" s="107" t="s">
        <v>1871</v>
      </c>
      <c r="F62" s="1016"/>
      <c r="G62" s="1016"/>
      <c r="H62" s="2241"/>
      <c r="I62" s="2188"/>
      <c r="J62" s="1838"/>
      <c r="K62" s="1838"/>
      <c r="L62" s="1838"/>
      <c r="M62" s="1838"/>
      <c r="N62" s="1838"/>
      <c r="O62" s="1838"/>
      <c r="P62" s="1838"/>
    </row>
    <row r="63" spans="1:16" ht="12.75">
      <c r="A63" s="108">
        <v>1</v>
      </c>
      <c r="B63" s="109" t="s">
        <v>1872</v>
      </c>
      <c r="C63" s="110">
        <f ca="1">ROUND((C64+C65)/(1+'数据-取费表'!F30),0)</f>
        <v>15611713</v>
      </c>
      <c r="D63" s="111"/>
      <c r="E63" s="112"/>
      <c r="F63" s="1016"/>
      <c r="G63" s="1016"/>
      <c r="H63" s="2241"/>
      <c r="I63" s="2188"/>
      <c r="J63" s="2885" t="s">
        <v>1873</v>
      </c>
      <c r="K63" s="2266" t="s">
        <v>1874</v>
      </c>
      <c r="L63" s="1837">
        <f ca="1">IF(M49&gt;10000,M49*0.5%,IF(AND(M49&gt;1000,M49&lt;=10000),M49*1%,IF(AND(M49&gt;100,M49&lt;=1000),M49*3%,IF(AND(M49&gt;10,M49&lt;=100),M49*5%,M49*8%))))</f>
        <v>81961.494999999995</v>
      </c>
      <c r="M63" s="14">
        <f ca="1">ROUND(L63,1)</f>
        <v>81961.5</v>
      </c>
      <c r="N63" s="1838"/>
      <c r="O63" s="1838"/>
      <c r="P63" s="1838"/>
    </row>
    <row r="64" spans="1:16" ht="12.75">
      <c r="A64" s="113" t="s">
        <v>71</v>
      </c>
      <c r="B64" s="114" t="s">
        <v>1875</v>
      </c>
      <c r="C64" s="115">
        <f ca="1">D45</f>
        <v>16392299</v>
      </c>
      <c r="D64" s="116" t="s">
        <v>41</v>
      </c>
      <c r="E64" s="117"/>
      <c r="F64" s="1016"/>
      <c r="G64" s="1016"/>
      <c r="H64" s="2241"/>
      <c r="I64" s="2188"/>
      <c r="J64" s="2885"/>
      <c r="K64" s="2266" t="s">
        <v>1876</v>
      </c>
      <c r="L64" s="1837">
        <f ca="1">IF(M49&gt;2000,M49*0.5%,IF(AND(M49&gt;1000,M49&lt;=2000),M49*0.6%,IF(AND(M49&gt;500,M49&lt;=1000),M49*0.7%,IF(AND(M49&gt;200,M49&lt;=500),M49*0.8%,IF(AND(M49&gt;100,M49&lt;=200),M49*0.9%,IF(AND(M49&gt;50,M49&lt;=100),M49*1%,IF(AND(M49&gt;20,M49&lt;=50),M49*1.5%,IF(AND(M49&gt;10,M49&lt;=20),M49*2%,IF(AND(M49&gt;1,M49&lt;=10),M49*2.5%)))))))))</f>
        <v>81961.494999999995</v>
      </c>
      <c r="M64" s="14">
        <f t="shared" ref="M64:M65" ca="1" si="2">ROUND(L64,1)</f>
        <v>81961.5</v>
      </c>
      <c r="N64" s="1838" t="s">
        <v>1877</v>
      </c>
      <c r="O64" s="1838"/>
      <c r="P64" s="1838"/>
    </row>
    <row r="65" spans="1:35" ht="12.75">
      <c r="A65" s="113" t="s">
        <v>72</v>
      </c>
      <c r="B65" s="114" t="s">
        <v>1878</v>
      </c>
      <c r="C65" s="118"/>
      <c r="D65" s="116"/>
      <c r="E65" s="117"/>
      <c r="F65" s="1016"/>
      <c r="G65" s="1016"/>
      <c r="H65" s="2241"/>
      <c r="I65" s="2188"/>
      <c r="J65" s="2885"/>
      <c r="K65" s="2266" t="s">
        <v>1879</v>
      </c>
      <c r="L65" s="1837">
        <f ca="1">IF(M49&gt;1000,M49*0.1%,IF(AND(M49&gt;500,M49&lt;=1000),M49*0.5%,IF(AND(M49&gt;50,M49&lt;=500),M49*1%,IF(AND(M49&gt;1,M49&lt;=50),M49*1.5%))))</f>
        <v>16392.298999999999</v>
      </c>
      <c r="M65" s="14">
        <f t="shared" ca="1" si="2"/>
        <v>16392.3</v>
      </c>
      <c r="N65" s="1838" t="s">
        <v>1877</v>
      </c>
      <c r="O65" s="1838"/>
      <c r="P65" s="1838"/>
    </row>
    <row r="66" spans="1:35" ht="12.75">
      <c r="A66" s="119" t="s">
        <v>47</v>
      </c>
      <c r="B66" s="120" t="s">
        <v>1880</v>
      </c>
      <c r="C66" s="121"/>
      <c r="D66" s="122" t="s">
        <v>41</v>
      </c>
      <c r="E66" s="1854" t="s">
        <v>1881</v>
      </c>
      <c r="F66" s="1016"/>
      <c r="G66" s="1016"/>
      <c r="H66" s="2241"/>
      <c r="I66" s="2188"/>
      <c r="J66" s="2885"/>
      <c r="K66" s="2266" t="s">
        <v>1882</v>
      </c>
      <c r="L66" s="1837">
        <f ca="1">M49*0.5%</f>
        <v>81961.494999999995</v>
      </c>
      <c r="M66" s="14">
        <f ca="1">IF(L66&gt;0.5,0.5,ROUND(L66,0))</f>
        <v>0.5</v>
      </c>
      <c r="N66" s="1838" t="s">
        <v>1883</v>
      </c>
      <c r="O66" s="1838"/>
      <c r="P66" s="1838"/>
    </row>
    <row r="67" spans="1:35" ht="12.75">
      <c r="A67" s="119" t="s">
        <v>42</v>
      </c>
      <c r="B67" s="120" t="s">
        <v>1884</v>
      </c>
      <c r="C67" s="123">
        <f ca="1">C63-C66</f>
        <v>15611713</v>
      </c>
      <c r="D67" s="116" t="s">
        <v>41</v>
      </c>
      <c r="E67" s="117"/>
      <c r="F67" s="1016"/>
      <c r="G67" s="1016"/>
      <c r="H67" s="2241"/>
      <c r="I67" s="2188"/>
      <c r="J67" s="2885"/>
      <c r="K67" s="2266" t="s">
        <v>1885</v>
      </c>
      <c r="L67" s="1837">
        <f ca="1">IF(M49&gt;=10000,(8.25+(M49-10000)*0.01%),IF(AND(M49&gt;=8000,M49&lt;10000),(7.85+(M49-8000)*0.02%),IF(AND(M49&gt;=5000,M49&lt;8000),(6.65+(M49-5000)*0.04%),IF(AND(M49&gt;=2000,M49&lt;5000),(4.25+(PM49-2000)*0.08%),IF(AND(M49&gt;=1000,M49&lt;2000),(2.75+(M49-1000)*0.15%),IF(AND(M49&gt;=100,M49&lt;1000),(0.5+(M49-100)*0.25%),IF(AND(M49&gt;0,M49&lt;100),M49*0.5%)))))))</f>
        <v>1646.4799</v>
      </c>
      <c r="M67" s="14">
        <f ca="1">ROUND(L67*0.9,1)</f>
        <v>1481.8</v>
      </c>
      <c r="N67" s="1838"/>
      <c r="O67" s="1838"/>
      <c r="P67" s="1838"/>
    </row>
    <row r="68" spans="1:35" ht="13.5" thickBot="1">
      <c r="A68" s="124" t="s">
        <v>46</v>
      </c>
      <c r="B68" s="125" t="s">
        <v>1886</v>
      </c>
      <c r="C68" s="126">
        <f ca="1">IF(C67&lt;=0,0,ROUND(C67*D68,0))</f>
        <v>858644</v>
      </c>
      <c r="D68" s="127">
        <f>'数据-取费表'!E29</f>
        <v>5.5000000000000007E-2</v>
      </c>
      <c r="E68" s="128"/>
      <c r="F68" s="1016"/>
      <c r="G68" s="1016"/>
      <c r="H68" s="2241"/>
      <c r="I68" s="2188"/>
      <c r="J68" s="2885"/>
      <c r="K68" s="2266" t="s">
        <v>1887</v>
      </c>
      <c r="L68" s="1837">
        <f ca="1">IF(M49&gt;10000,M49*0.5%,IF(AND(M49&gt;5000,M49&lt;=10000),M49*1%,IF(AND(M49&gt;1000,M49&lt;=5000),M49*2%,IF(AND(M49&gt;200,M49&lt;=1000),M49*3%,M49*5%))))</f>
        <v>81961.494999999995</v>
      </c>
      <c r="M68" s="14">
        <f ca="1">ROUND(L68,1)</f>
        <v>81961.5</v>
      </c>
      <c r="N68" s="1838"/>
      <c r="O68" s="1838"/>
      <c r="P68" s="1838"/>
    </row>
    <row r="69" spans="1:35" s="2215" customFormat="1" ht="7.5" customHeight="1">
      <c r="A69" s="2267"/>
      <c r="B69" s="2268"/>
      <c r="C69" s="2269"/>
      <c r="D69" s="2270"/>
      <c r="E69" s="2271"/>
      <c r="F69" s="1016"/>
      <c r="G69" s="1016"/>
      <c r="H69" s="2241"/>
      <c r="I69" s="2188"/>
      <c r="J69" s="2885"/>
      <c r="K69" s="2266" t="s">
        <v>1888</v>
      </c>
      <c r="L69" s="2272"/>
      <c r="M69" s="14">
        <f ca="1">ROUND(SUM(M63:M68),0)</f>
        <v>263759</v>
      </c>
      <c r="N69" s="1834">
        <f ca="1">M69/M49</f>
        <v>1.6090421483893138E-2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4" customFormat="1" ht="15" thickBot="1">
      <c r="A70" s="2906" t="s">
        <v>1889</v>
      </c>
      <c r="B70" s="2907"/>
      <c r="C70" s="2907"/>
      <c r="D70" s="2907"/>
      <c r="E70" s="2907"/>
      <c r="F70" s="2907"/>
      <c r="G70" s="2907"/>
      <c r="H70" s="2907"/>
      <c r="I70" s="2273"/>
      <c r="O70" s="1280"/>
      <c r="P70" s="1280"/>
      <c r="Q70" s="1280"/>
      <c r="R70" s="1280"/>
      <c r="S70" s="1280"/>
      <c r="T70" s="1280"/>
      <c r="U70" s="1280"/>
      <c r="V70" s="1280"/>
      <c r="W70" s="1280"/>
      <c r="X70" s="1280"/>
      <c r="Y70" s="1280"/>
      <c r="Z70" s="1280"/>
      <c r="AA70" s="2275"/>
      <c r="AB70" s="2275"/>
      <c r="AC70" s="2275"/>
      <c r="AD70" s="2275"/>
      <c r="AE70" s="2275"/>
      <c r="AF70" s="2275"/>
      <c r="AG70" s="2275"/>
      <c r="AH70" s="2275"/>
      <c r="AI70" s="2275"/>
    </row>
    <row r="71" spans="1:35" s="2274" customFormat="1" ht="14.25">
      <c r="A71" s="2904" t="s">
        <v>1869</v>
      </c>
      <c r="B71" s="2905"/>
      <c r="C71" s="1877"/>
      <c r="D71" s="1877" t="s">
        <v>1870</v>
      </c>
      <c r="E71" s="129" t="s">
        <v>1871</v>
      </c>
      <c r="F71" s="130"/>
      <c r="G71" s="130"/>
      <c r="H71" s="131"/>
      <c r="I71" s="2276"/>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4.25">
      <c r="A72" s="132">
        <v>1</v>
      </c>
      <c r="B72" s="120" t="s">
        <v>1890</v>
      </c>
      <c r="C72" s="123">
        <f ca="1">ROUND(D45/(1+'数据-取费表'!F30),0)</f>
        <v>15611713</v>
      </c>
      <c r="D72" s="116" t="s">
        <v>41</v>
      </c>
      <c r="E72" s="12" t="s">
        <v>1891</v>
      </c>
      <c r="F72" s="1881"/>
      <c r="G72" s="1881"/>
      <c r="H72" s="133"/>
      <c r="I72" s="2276"/>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4.25">
      <c r="A73" s="134">
        <v>2</v>
      </c>
      <c r="B73" s="88" t="s">
        <v>1892</v>
      </c>
      <c r="C73" s="123">
        <f ca="1">C74+C78</f>
        <v>78059</v>
      </c>
      <c r="D73" s="116" t="s">
        <v>41</v>
      </c>
      <c r="E73" s="1880"/>
      <c r="F73" s="1881"/>
      <c r="G73" s="1881"/>
      <c r="H73" s="133"/>
      <c r="I73" s="2276"/>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24">
      <c r="A74" s="135" t="s">
        <v>73</v>
      </c>
      <c r="B74" s="114" t="s">
        <v>1893</v>
      </c>
      <c r="C74" s="116">
        <f>ROUND(IF(G77="2016年5月1日后购买",C75/(1+'数据-取费表'!F30)+C76+C77,C75+C76+C77),0)</f>
        <v>0</v>
      </c>
      <c r="D74" s="116" t="s">
        <v>41</v>
      </c>
      <c r="E74" s="1880"/>
      <c r="F74" s="1881"/>
      <c r="G74" s="1881"/>
      <c r="H74" s="133"/>
      <c r="I74" s="2276"/>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14.25">
      <c r="A75" s="135" t="s">
        <v>74</v>
      </c>
      <c r="B75" s="114" t="s">
        <v>1894</v>
      </c>
      <c r="C75" s="136"/>
      <c r="D75" s="116" t="s">
        <v>41</v>
      </c>
      <c r="E75" s="137" t="s">
        <v>1895</v>
      </c>
      <c r="F75" s="2277" t="s">
        <v>1896</v>
      </c>
      <c r="G75" s="137" t="s">
        <v>1897</v>
      </c>
      <c r="H75" s="138"/>
      <c r="I75" s="9"/>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24.75" customHeight="1">
      <c r="A76" s="135" t="s">
        <v>75</v>
      </c>
      <c r="B76" s="139" t="s">
        <v>1898</v>
      </c>
      <c r="C76" s="116">
        <f>IF(F75="购房发票",ROUND(C75*H75*D76,0),0)</f>
        <v>0</v>
      </c>
      <c r="D76" s="140">
        <v>0.05</v>
      </c>
      <c r="E76" s="2942" t="s">
        <v>1899</v>
      </c>
      <c r="F76" s="2943"/>
      <c r="G76" s="2943"/>
      <c r="H76" s="2944"/>
      <c r="I76" s="2276"/>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8" t="s">
        <v>1902</v>
      </c>
      <c r="H77" s="1882" t="str">
        <f>IF(G77="个人买卖住房","免征印花税"," ")</f>
        <v xml:space="preserve"> </v>
      </c>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77</v>
      </c>
      <c r="B78" s="114" t="s">
        <v>1903</v>
      </c>
      <c r="C78" s="143">
        <f ca="1">ROUND(D45*D78/(1+'数据-取费表'!F30),0)</f>
        <v>78059</v>
      </c>
      <c r="D78" s="144">
        <f>'数据-取费表'!E31</f>
        <v>5.000000000000001E-3</v>
      </c>
      <c r="E78" s="2873" t="s">
        <v>1904</v>
      </c>
      <c r="F78" s="2874"/>
      <c r="G78" s="2874"/>
      <c r="H78" s="2894"/>
      <c r="I78" s="2279"/>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14.25">
      <c r="A79" s="145" t="s">
        <v>42</v>
      </c>
      <c r="B79" s="120" t="s">
        <v>1905</v>
      </c>
      <c r="C79" s="123">
        <f ca="1">C72-C73</f>
        <v>15533654</v>
      </c>
      <c r="D79" s="116" t="s">
        <v>41</v>
      </c>
      <c r="E79" s="1880"/>
      <c r="F79" s="1881"/>
      <c r="G79" s="1881"/>
      <c r="H79" s="133"/>
      <c r="I79" s="2276"/>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24">
      <c r="A80" s="145" t="s">
        <v>43</v>
      </c>
      <c r="B80" s="120" t="s">
        <v>1906</v>
      </c>
      <c r="C80" s="146">
        <f ca="1">IF(C79&lt;=0,0,C79/C73)</f>
        <v>198.9988854584353</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24.75" thickBot="1">
      <c r="A81" s="147" t="s">
        <v>44</v>
      </c>
      <c r="B81" s="125" t="s">
        <v>1907</v>
      </c>
      <c r="C81" s="148">
        <f ca="1">ROUND(IF(C79&lt;=0,0,IF(C80&gt;=200%,C79*60%-C73*35%,IF(C80&gt;=100%,C79*50%-C73*15%,IF(C80&gt;=50%,C79*40%-C73*5%,IF(C80&lt;50%,C79*30%,0))))),0)</f>
        <v>9292872</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7.5" customHeight="1">
      <c r="A82" s="715"/>
      <c r="B82" s="716"/>
      <c r="C82" s="9"/>
      <c r="D82" s="9"/>
      <c r="E82" s="716"/>
      <c r="F82" s="716"/>
      <c r="G82" s="716"/>
      <c r="H82" s="717"/>
      <c r="I82" s="2279"/>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15" thickBot="1">
      <c r="A83" s="2906" t="s">
        <v>1908</v>
      </c>
      <c r="B83" s="2907"/>
      <c r="C83" s="2907"/>
      <c r="D83" s="2907"/>
      <c r="E83" s="2907"/>
      <c r="F83" s="2907"/>
      <c r="G83" s="2907"/>
      <c r="H83" s="2907"/>
      <c r="I83" s="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4.25">
      <c r="A84" s="2904" t="s">
        <v>1869</v>
      </c>
      <c r="B84" s="2905"/>
      <c r="C84" s="1877"/>
      <c r="D84" s="1877" t="s">
        <v>1870</v>
      </c>
      <c r="E84" s="129" t="s">
        <v>1871</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24">
      <c r="A85" s="132">
        <v>1</v>
      </c>
      <c r="B85" s="120" t="s">
        <v>1890</v>
      </c>
      <c r="C85" s="123">
        <f ca="1">ROUND(D45/(1+'数据-取费表'!F30),0)</f>
        <v>15611713</v>
      </c>
      <c r="D85" s="116" t="s">
        <v>41</v>
      </c>
      <c r="E85" s="1880" t="s">
        <v>1891</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4.25">
      <c r="A86" s="134">
        <v>2</v>
      </c>
      <c r="B86" s="88" t="s">
        <v>1892</v>
      </c>
      <c r="C86" s="123">
        <f ca="1">IF(H88="仅含出让金",C87+C90+C91+C92+C93+C94,C87+C91+C92+C93+C94)</f>
        <v>78059</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4.25">
      <c r="A87" s="135" t="s">
        <v>73</v>
      </c>
      <c r="B87" s="114" t="s">
        <v>1909</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4.25">
      <c r="A88" s="135" t="s">
        <v>74</v>
      </c>
      <c r="B88" s="114" t="s">
        <v>1910</v>
      </c>
      <c r="C88" s="156"/>
      <c r="D88" s="144"/>
      <c r="E88" s="157" t="s">
        <v>1911</v>
      </c>
      <c r="F88" s="1874"/>
      <c r="G88" s="158" t="s">
        <v>1912</v>
      </c>
      <c r="H88" s="2280"/>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4.25">
      <c r="A89" s="135" t="s">
        <v>75</v>
      </c>
      <c r="B89" s="114" t="s">
        <v>1900</v>
      </c>
      <c r="C89" s="143">
        <f>ROUND(C88*D89,0)</f>
        <v>0</v>
      </c>
      <c r="D89" s="144">
        <f>'数据-取费表'!E36+'数据-取费表'!E37</f>
        <v>3.0499999999999999E-2</v>
      </c>
      <c r="E89" s="157" t="s">
        <v>1913</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4.25">
      <c r="A90" s="135" t="s">
        <v>77</v>
      </c>
      <c r="B90" s="114" t="s">
        <v>1914</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30.75" customHeight="1">
      <c r="A91" s="135" t="s">
        <v>78</v>
      </c>
      <c r="B91" s="114" t="s">
        <v>1915</v>
      </c>
      <c r="C91" s="143">
        <f>IF(H91="——",成本法!C33,I91)</f>
        <v>0</v>
      </c>
      <c r="D91" s="144"/>
      <c r="E91" s="2873" t="s">
        <v>1916</v>
      </c>
      <c r="F91" s="2874"/>
      <c r="G91" s="2874"/>
      <c r="H91" s="2281" t="s">
        <v>1917</v>
      </c>
      <c r="I91" s="2282"/>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25.5" customHeight="1">
      <c r="A92" s="135" t="s">
        <v>79</v>
      </c>
      <c r="B92" s="114" t="s">
        <v>1918</v>
      </c>
      <c r="C92" s="143">
        <f>ROUND((C87+C90+C91)*D92,0)</f>
        <v>0</v>
      </c>
      <c r="D92" s="144">
        <v>0.1</v>
      </c>
      <c r="E92" s="2873" t="s">
        <v>1919</v>
      </c>
      <c r="F92" s="2874"/>
      <c r="G92" s="2874"/>
      <c r="H92" s="2894"/>
      <c r="I92" s="9"/>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80</v>
      </c>
      <c r="B93" s="114" t="s">
        <v>1903</v>
      </c>
      <c r="C93" s="143">
        <f ca="1">ROUND(D45*D93/(1+'数据-取费表'!F30),0)</f>
        <v>78059</v>
      </c>
      <c r="D93" s="144">
        <f>'数据-取费表'!E31</f>
        <v>5.000000000000001E-3</v>
      </c>
      <c r="E93" s="2873" t="s">
        <v>1904</v>
      </c>
      <c r="F93" s="2874"/>
      <c r="G93" s="2874"/>
      <c r="H93" s="2894"/>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81</v>
      </c>
      <c r="B94" s="114" t="s">
        <v>1920</v>
      </c>
      <c r="C94" s="143">
        <f>ROUND((C87+C90+C91)*D94,0)</f>
        <v>0</v>
      </c>
      <c r="D94" s="144">
        <v>0.2</v>
      </c>
      <c r="E94" s="2873" t="s">
        <v>1921</v>
      </c>
      <c r="F94" s="2874"/>
      <c r="G94" s="2874"/>
      <c r="H94" s="2894"/>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14.25">
      <c r="A95" s="145" t="s">
        <v>42</v>
      </c>
      <c r="B95" s="120" t="s">
        <v>1905</v>
      </c>
      <c r="C95" s="123">
        <f ca="1">ROUND(C85-C86,0)</f>
        <v>15533654</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24">
      <c r="A96" s="145" t="s">
        <v>43</v>
      </c>
      <c r="B96" s="120" t="s">
        <v>1906</v>
      </c>
      <c r="C96" s="146">
        <f ca="1">IF(C95&lt;=0,0,C95/C86)</f>
        <v>198.9988854584353</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24.75" thickBot="1">
      <c r="A97" s="147" t="s">
        <v>44</v>
      </c>
      <c r="B97" s="125" t="s">
        <v>1907</v>
      </c>
      <c r="C97" s="148">
        <f ca="1">ROUND(IF(C95&lt;=0,0,IF(C96&gt;=200%,C95*60%-C86*35%,IF(C96&gt;=100%,C95*50%-C86*15%,IF(C96&gt;=50%,C95*40%-C86*5%,IF(C96&lt;50%,C95*30%,0))))),0)</f>
        <v>9292872</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ht="21.75" customHeight="1" thickBot="1">
      <c r="A98" s="2244" t="s">
        <v>1922</v>
      </c>
      <c r="B98" s="2188"/>
      <c r="C98" s="2188"/>
      <c r="D98" s="2188"/>
      <c r="E98" s="1016"/>
      <c r="F98" s="1016"/>
      <c r="G98" s="1016"/>
      <c r="H98" s="2241"/>
      <c r="I98" s="2188"/>
    </row>
    <row r="99" spans="1:35" ht="15.75">
      <c r="A99" s="2891" t="s">
        <v>1923</v>
      </c>
      <c r="B99" s="2892"/>
      <c r="C99" s="2892"/>
      <c r="D99" s="2893"/>
      <c r="E99" s="2188"/>
      <c r="F99" s="2901" t="s">
        <v>1924</v>
      </c>
      <c r="G99" s="2902"/>
      <c r="H99" s="2902"/>
      <c r="I99" s="2903"/>
    </row>
    <row r="100" spans="1:35" ht="15.75">
      <c r="A100" s="2908" t="s">
        <v>1925</v>
      </c>
      <c r="B100" s="2909"/>
      <c r="C100" s="718" t="str">
        <f>C4</f>
        <v>比较法-住宅</v>
      </c>
      <c r="D100" s="719" t="str">
        <f>D4</f>
        <v>收益法</v>
      </c>
      <c r="E100" s="2188"/>
      <c r="F100" s="2910" t="s">
        <v>1926</v>
      </c>
      <c r="G100" s="2912"/>
      <c r="H100" s="2910" t="s">
        <v>1927</v>
      </c>
      <c r="I100" s="2911"/>
    </row>
    <row r="101" spans="1:35" ht="15.75">
      <c r="A101" s="2930" t="s">
        <v>1928</v>
      </c>
      <c r="B101" s="2283" t="str">
        <f>IF(H19="元","总价（元）","总价（万元）")</f>
        <v>总价（元）</v>
      </c>
      <c r="C101" s="718">
        <f ca="1">C19</f>
        <v>18950667</v>
      </c>
      <c r="D101" s="719">
        <f ca="1">D19</f>
        <v>6159422</v>
      </c>
      <c r="E101" s="2188"/>
      <c r="F101" s="2910" t="str">
        <f>项目基本情况!I1</f>
        <v>北京市北京市昌平区小汤山镇橘郡花园水印长滩9-13号房地产</v>
      </c>
      <c r="G101" s="2912"/>
      <c r="H101" s="2971">
        <f>项目基本情况!C12</f>
        <v>353.61</v>
      </c>
      <c r="I101" s="2911"/>
    </row>
    <row r="102" spans="1:35" ht="15.75">
      <c r="A102" s="2930"/>
      <c r="B102" s="2283" t="s">
        <v>1929</v>
      </c>
      <c r="C102" s="720">
        <f ca="1">C20</f>
        <v>53592</v>
      </c>
      <c r="D102" s="721">
        <f ca="1">D20</f>
        <v>17419</v>
      </c>
      <c r="E102" s="2188"/>
      <c r="F102" s="2985" t="s">
        <v>1930</v>
      </c>
      <c r="G102" s="2986"/>
      <c r="H102" s="2284" t="str">
        <f>C106</f>
        <v>总价（元）</v>
      </c>
      <c r="I102" s="1855">
        <f ca="1">H121</f>
        <v>16392299</v>
      </c>
    </row>
    <row r="103" spans="1:35" ht="15">
      <c r="A103" s="2930" t="s">
        <v>1931</v>
      </c>
      <c r="B103" s="2285" t="str">
        <f>B101</f>
        <v>总价（元）</v>
      </c>
      <c r="C103" s="722">
        <f ca="1">H121</f>
        <v>16392299</v>
      </c>
      <c r="D103" s="723"/>
      <c r="E103" s="2188"/>
      <c r="F103" s="2985"/>
      <c r="G103" s="2986"/>
      <c r="H103" s="2284" t="s">
        <v>1929</v>
      </c>
      <c r="I103" s="1044">
        <f ca="1">I121</f>
        <v>46357</v>
      </c>
    </row>
    <row r="104" spans="1:35" ht="16.5" thickBot="1">
      <c r="A104" s="2931"/>
      <c r="B104" s="2286" t="s">
        <v>1929</v>
      </c>
      <c r="C104" s="724">
        <f ca="1">I121</f>
        <v>46357</v>
      </c>
      <c r="D104" s="725"/>
      <c r="E104" s="2188"/>
      <c r="F104" s="2897"/>
      <c r="G104" s="2898"/>
      <c r="H104" s="2932"/>
      <c r="I104" s="2933"/>
    </row>
    <row r="105" spans="1:35" ht="15.75">
      <c r="A105" s="2891" t="s">
        <v>1932</v>
      </c>
      <c r="B105" s="2892"/>
      <c r="C105" s="2892"/>
      <c r="D105" s="2893"/>
      <c r="E105" s="2188"/>
      <c r="F105" s="2936" t="s">
        <v>1933</v>
      </c>
      <c r="G105" s="2937"/>
      <c r="H105" s="2287" t="str">
        <f>C108</f>
        <v>总额（元）</v>
      </c>
      <c r="I105" s="1855">
        <f>SUMIF(I106:I108,"&lt;9E307")</f>
        <v>0</v>
      </c>
    </row>
    <row r="106" spans="1:35" ht="15">
      <c r="A106" s="2938" t="s">
        <v>1934</v>
      </c>
      <c r="B106" s="2939"/>
      <c r="C106" s="2284" t="str">
        <f>B101</f>
        <v>总价（元）</v>
      </c>
      <c r="D106" s="1045">
        <f ca="1">H121</f>
        <v>16392299</v>
      </c>
      <c r="E106" s="2188"/>
      <c r="F106" s="2899" t="s">
        <v>1935</v>
      </c>
      <c r="G106" s="2900"/>
      <c r="H106" s="2287" t="str">
        <f>C109</f>
        <v>总额（元）</v>
      </c>
      <c r="I106" s="1044">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38"/>
      <c r="B107" s="2939"/>
      <c r="C107" s="2284" t="s">
        <v>1929</v>
      </c>
      <c r="D107" s="1046">
        <f ca="1">I121</f>
        <v>46357</v>
      </c>
      <c r="E107" s="2188"/>
      <c r="F107" s="2899" t="s">
        <v>1936</v>
      </c>
      <c r="G107" s="2900"/>
      <c r="H107" s="2287" t="str">
        <f>C110</f>
        <v>总额（元）</v>
      </c>
      <c r="I107" s="1044">
        <f>C37</f>
        <v>0</v>
      </c>
      <c r="K107" s="2288"/>
    </row>
    <row r="108" spans="1:35" ht="15">
      <c r="A108" s="2981" t="s">
        <v>1937</v>
      </c>
      <c r="B108" s="2982"/>
      <c r="C108" s="2287" t="str">
        <f>IF(H19="元","总额（元）","总额（万元）")</f>
        <v>总额（元）</v>
      </c>
      <c r="D108" s="1045">
        <f>IF(D36="正常操作",I106+I107+I108,I107+I108)</f>
        <v>0</v>
      </c>
      <c r="E108" s="2188"/>
      <c r="F108" s="2899" t="s">
        <v>1938</v>
      </c>
      <c r="G108" s="2900"/>
      <c r="H108" s="2287" t="str">
        <f>C111</f>
        <v>总额（元）</v>
      </c>
      <c r="I108" s="1044">
        <f>C38</f>
        <v>0</v>
      </c>
    </row>
    <row r="109" spans="1:35" ht="15.75">
      <c r="A109" s="2899" t="s">
        <v>1935</v>
      </c>
      <c r="B109" s="2900"/>
      <c r="C109" s="2287" t="str">
        <f>C108</f>
        <v>总额（元）</v>
      </c>
      <c r="D109" s="636">
        <f>IF(D36="同一抵押权人同一抵押物续贷",C36&amp;"（未扣减，详见特别提示）",C36)</f>
        <v>0</v>
      </c>
      <c r="E109" s="2188"/>
      <c r="F109" s="2897"/>
      <c r="G109" s="2898"/>
      <c r="H109" s="2934"/>
      <c r="I109" s="2935"/>
    </row>
    <row r="110" spans="1:35" ht="28.5" customHeight="1">
      <c r="A110" s="2899" t="s">
        <v>1936</v>
      </c>
      <c r="B110" s="2900"/>
      <c r="C110" s="2287" t="str">
        <f>C108</f>
        <v>总额（元）</v>
      </c>
      <c r="D110" s="636">
        <f>C37</f>
        <v>0</v>
      </c>
      <c r="E110" s="2188"/>
      <c r="F110" s="2879" t="str">
        <f>IF(项目基本情况!F5="已注销","——","3.房地产抵押价值")</f>
        <v>——</v>
      </c>
      <c r="G110" s="2880"/>
      <c r="H110" s="2289" t="str">
        <f>C112</f>
        <v>总价（元）</v>
      </c>
      <c r="I110" s="1856" t="str">
        <f>IF(F110="——","——",I102-I105)</f>
        <v>——</v>
      </c>
    </row>
    <row r="111" spans="1:35" ht="15">
      <c r="A111" s="2899" t="s">
        <v>1938</v>
      </c>
      <c r="B111" s="2900"/>
      <c r="C111" s="2287" t="str">
        <f>C108</f>
        <v>总额（元）</v>
      </c>
      <c r="D111" s="636">
        <f>C38</f>
        <v>0</v>
      </c>
      <c r="E111" s="2188"/>
      <c r="F111" s="2881"/>
      <c r="G111" s="2882"/>
      <c r="H111" s="2284" t="s">
        <v>1929</v>
      </c>
      <c r="I111" s="2290" t="e">
        <f ca="1">D113</f>
        <v>#VALUE!</v>
      </c>
    </row>
    <row r="112" spans="1:35" ht="26.25" customHeight="1">
      <c r="A112" s="2938" t="str">
        <f>IF(项目基本情况!F5="已注销","——","3.房地产抵押价值")</f>
        <v>——</v>
      </c>
      <c r="B112" s="2939"/>
      <c r="C112" s="2284" t="str">
        <f>B101</f>
        <v>总价（元）</v>
      </c>
      <c r="D112" s="1045" t="str">
        <f>IF(A112="——","——",D106-D108)</f>
        <v>——</v>
      </c>
      <c r="E112" s="2188"/>
      <c r="F112" s="2879" t="str">
        <f>IF(项目基本情况!F5="已注销及未注销","4.抵押担保权已注销时的房地产抵押价值",IF(项目基本情况!F5="已注销","3.抵押担保权已注销时的房地产抵押价值","——"))</f>
        <v>3.抵押担保权已注销时的房地产抵押价值</v>
      </c>
      <c r="G112" s="2880"/>
      <c r="H112" s="2289" t="str">
        <f>C114</f>
        <v>总价（元）</v>
      </c>
      <c r="I112" s="1856">
        <f ca="1">IF(F112="——","——",I102-I107-I108)</f>
        <v>16392299</v>
      </c>
    </row>
    <row r="113" spans="1:15" ht="15">
      <c r="A113" s="2938"/>
      <c r="B113" s="2939"/>
      <c r="C113" s="2284" t="s">
        <v>1929</v>
      </c>
      <c r="D113" s="1046" t="e">
        <f ca="1">ROUND(IF(D112=D106,D107,IF(H19="元",D112/项目基本情况!C12,D112*10000/项目基本情况!C12)),0)</f>
        <v>#VALUE!</v>
      </c>
      <c r="E113" s="2188"/>
      <c r="F113" s="2881"/>
      <c r="G113" s="2882"/>
      <c r="H113" s="2284" t="s">
        <v>1929</v>
      </c>
      <c r="I113" s="2291">
        <f ca="1">D115</f>
        <v>46357</v>
      </c>
    </row>
    <row r="114" spans="1:15" ht="15.75">
      <c r="A114" s="2938" t="str">
        <f>IF(项目基本情况!F5="已注销及未注销","4.抵押担保权已注销时的房地产抵押价值",IF(项目基本情况!F5="已注销","3.抵押担保权已注销时的房地产抵押价值","——"))</f>
        <v>3.抵押担保权已注销时的房地产抵押价值</v>
      </c>
      <c r="B114" s="2939"/>
      <c r="C114" s="2284" t="str">
        <f>B101</f>
        <v>总价（元）</v>
      </c>
      <c r="D114" s="1045">
        <f ca="1">IF(A114="——","——",D106-D110-D111)</f>
        <v>16392299</v>
      </c>
      <c r="E114" s="2188"/>
      <c r="F114" s="2879" t="str">
        <f>IF(项目基本情况!G5="抵押净值",IF(OR(项目基本情况!F5="已注销",项目基本情况!F5="房地产抵押价值"),"4.抵押净值","5.抵押净值"),"——")</f>
        <v>——</v>
      </c>
      <c r="G114" s="2880"/>
      <c r="H114" s="2284" t="str">
        <f>C116</f>
        <v>总价（元）</v>
      </c>
      <c r="I114" s="1855" t="str">
        <f>IF(F114="——","——",N59)</f>
        <v>——</v>
      </c>
    </row>
    <row r="115" spans="1:15" ht="15.75" thickBot="1">
      <c r="A115" s="2938"/>
      <c r="B115" s="2939"/>
      <c r="C115" s="2284" t="s">
        <v>1929</v>
      </c>
      <c r="D115" s="1046">
        <f ca="1">IF(A114="——","——",ROUND(IF(D114=D106,D107,IF(H19="元",D114/项目基本情况!C12,D114*10000/项目基本情况!C12)),0))</f>
        <v>46357</v>
      </c>
      <c r="E115" s="2188"/>
      <c r="F115" s="2972"/>
      <c r="G115" s="2973"/>
      <c r="H115" s="2292" t="s">
        <v>1929</v>
      </c>
      <c r="I115" s="1857" t="e">
        <f ca="1">D117</f>
        <v>#VALUE!</v>
      </c>
    </row>
    <row r="116" spans="1:15" ht="15.75">
      <c r="A116" s="2938" t="str">
        <f>IF(项目基本情况!G5="抵押净值",IF(OR(项目基本情况!F5="已注销",项目基本情况!F5="房地产抵押价值"),"4.抵押净值","5.抵押净值"),"——")</f>
        <v>——</v>
      </c>
      <c r="B116" s="2939"/>
      <c r="C116" s="2284" t="str">
        <f>B101</f>
        <v>总价（元）</v>
      </c>
      <c r="D116" s="1045" t="str">
        <f>IF(A116="——","——",N59)</f>
        <v>——</v>
      </c>
      <c r="E116" s="2188"/>
      <c r="F116" s="2875"/>
      <c r="G116" s="2875"/>
      <c r="H116" s="2917"/>
      <c r="I116" s="2917"/>
      <c r="N116" s="54"/>
      <c r="O116" s="54"/>
    </row>
    <row r="117" spans="1:15" ht="15.75" thickBot="1">
      <c r="A117" s="2979"/>
      <c r="B117" s="2980"/>
      <c r="C117" s="2292" t="s">
        <v>1929</v>
      </c>
      <c r="D117" s="1047" t="e">
        <f ca="1">IF(D116=D112,D113,IF(A116="——","——",N61))</f>
        <v>#VALUE!</v>
      </c>
      <c r="E117" s="2188"/>
      <c r="F117" s="2969" t="str">
        <f>IF(B32="总价","（以上估价结果中单价为总价除以建筑面积得出）","（以上估价结果中总价为楼面单价乘以建筑面积得出）")</f>
        <v>（以上估价结果中总价为楼面单价乘以建筑面积得出）</v>
      </c>
      <c r="G117" s="2969"/>
      <c r="H117" s="2969"/>
      <c r="I117" s="2969"/>
      <c r="N117" s="54"/>
      <c r="O117" s="54"/>
    </row>
    <row r="118" spans="1:15" ht="15">
      <c r="A118" s="2918" t="s">
        <v>1939</v>
      </c>
      <c r="B118" s="2919"/>
      <c r="C118" s="2919"/>
      <c r="D118" s="2919"/>
      <c r="E118" s="2919"/>
      <c r="F118" s="2919"/>
      <c r="G118" s="2919"/>
      <c r="H118" s="2919"/>
      <c r="I118" s="2919"/>
    </row>
    <row r="119" spans="1:15" ht="14.25">
      <c r="A119" s="2890" t="s">
        <v>1940</v>
      </c>
      <c r="B119" s="2888" t="s">
        <v>1941</v>
      </c>
      <c r="C119" s="2888" t="s">
        <v>1942</v>
      </c>
      <c r="D119" s="2895" t="s">
        <v>1943</v>
      </c>
      <c r="E119" s="2896"/>
      <c r="F119" s="2886" t="s">
        <v>1801</v>
      </c>
      <c r="G119" s="2886"/>
      <c r="H119" s="2886" t="s">
        <v>1944</v>
      </c>
      <c r="I119" s="2887"/>
    </row>
    <row r="120" spans="1:15" ht="14.25">
      <c r="A120" s="2890"/>
      <c r="B120" s="2889"/>
      <c r="C120" s="2889"/>
      <c r="D120" s="1879" t="s">
        <v>1945</v>
      </c>
      <c r="E120" s="1879" t="s">
        <v>1946</v>
      </c>
      <c r="F120" s="1879" t="s">
        <v>1945</v>
      </c>
      <c r="G120" s="1879" t="s">
        <v>1947</v>
      </c>
      <c r="H120" s="1879" t="s">
        <v>1945</v>
      </c>
      <c r="I120" s="636" t="s">
        <v>1947</v>
      </c>
    </row>
    <row r="121" spans="1:15" ht="71.25">
      <c r="A121" s="2174" t="str">
        <f>项目基本情况!I1</f>
        <v>北京市北京市昌平区小汤山镇橘郡花园水印长滩9-13号房地产</v>
      </c>
      <c r="B121" s="1879">
        <f>项目基本情况!C12</f>
        <v>353.61</v>
      </c>
      <c r="C121" s="1879">
        <f>项目基本情况!C13</f>
        <v>0</v>
      </c>
      <c r="D121" s="1879">
        <f ca="1">ROUND(IF(B32="总价",C34,IF('数据-取费表'!B3="万元",E121*B121/10000,E121*B121)),0)</f>
        <v>12245161</v>
      </c>
      <c r="E121" s="1879">
        <f ca="1">ROUND(IF(B32="楼面单价",C34,IF(H19="元",D121/B121,D121*10000/B121)),0)</f>
        <v>34629</v>
      </c>
      <c r="F121" s="1879">
        <f ca="1">ROUND(IF(B32="总价",C35,IF('数据-取费表'!B3="万元",G121*B121/10000,G121*B121)),0)</f>
        <v>4147138</v>
      </c>
      <c r="G121" s="1879">
        <f ca="1">ROUND(IF(B32="楼面单价",C35,IF(H19="元",F121/B121,F121*10000/B121)),0)</f>
        <v>11728</v>
      </c>
      <c r="H121" s="1879">
        <f ca="1">ROUND(IF(B32="总价",C32,IF('数据-取费表'!B3="万元",I121*B121/10000,I121*B121)),0)</f>
        <v>16392299</v>
      </c>
      <c r="I121" s="636">
        <f ca="1">ROUND(IF(B32="楼面单价",C32,IF(H19="元",H121/B121,H121*10000/B121)),0)</f>
        <v>46357</v>
      </c>
    </row>
    <row r="122" spans="1:15" ht="14.25">
      <c r="A122" s="2890" t="s">
        <v>1948</v>
      </c>
      <c r="B122" s="2886"/>
      <c r="C122" s="2886"/>
      <c r="D122" s="2922" t="str">
        <f ca="1">IF(H19="元",NUMBERSTRING(INT(D121),2)&amp;"元整",NUMBERSTRING(INT(D121*10000),2)&amp;"元整")</f>
        <v>壹仟贰佰贰拾肆万伍仟壹佰陆拾壹元整</v>
      </c>
      <c r="E122" s="2923"/>
      <c r="F122" s="2922" t="str">
        <f ca="1">IF(H19="元",NUMBERSTRING(INT(F121),2)&amp;"元整",NUMBERSTRING(INT(F121*10000),2)&amp;"元整")</f>
        <v>肆佰壹拾肆万柒仟壹佰叁拾捌元整</v>
      </c>
      <c r="G122" s="2923"/>
      <c r="H122" s="2922" t="str">
        <f ca="1">IF(H19="元",NUMBERSTRING(INT(H121),2)&amp;"元整",NUMBERSTRING(INT(H121*10000),2)&amp;"元整")</f>
        <v>壹仟陆佰叁拾玖万贰仟贰佰玖拾玖元整</v>
      </c>
      <c r="I122" s="2987"/>
    </row>
    <row r="123" spans="1:15" ht="15">
      <c r="A123" s="2924" t="str">
        <f>IF(项目基本情况!D5="房地产市场价值","——",MID(A108,3,LEN(A108)-2))</f>
        <v>估价师所知悉的法定优先受偿款</v>
      </c>
      <c r="B123" s="2925"/>
      <c r="C123" s="2926"/>
      <c r="D123" s="2915">
        <f>I105</f>
        <v>0</v>
      </c>
      <c r="E123" s="2925"/>
      <c r="F123" s="2925"/>
      <c r="G123" s="2925"/>
      <c r="H123" s="2925"/>
      <c r="I123" s="2974"/>
    </row>
    <row r="124" spans="1:15" ht="14.25">
      <c r="A124" s="2927" t="s">
        <v>1948</v>
      </c>
      <c r="B124" s="2928"/>
      <c r="C124" s="2929"/>
      <c r="D124" s="2975">
        <f>H109</f>
        <v>0</v>
      </c>
      <c r="E124" s="2976"/>
      <c r="F124" s="2976"/>
      <c r="G124" s="2976"/>
      <c r="H124" s="2976"/>
      <c r="I124" s="2977"/>
    </row>
    <row r="125" spans="1:15" ht="15">
      <c r="A125" s="2913" t="str">
        <f>IF(项目基本情况!D5="房地产市场价值","——",MID(A112,3,LEN(A112)-2))</f>
        <v/>
      </c>
      <c r="B125" s="2914"/>
      <c r="C125" s="2914"/>
      <c r="D125" s="2915" t="str">
        <f>I110</f>
        <v>——</v>
      </c>
      <c r="E125" s="2925"/>
      <c r="F125" s="2925"/>
      <c r="G125" s="2925"/>
      <c r="H125" s="2925"/>
      <c r="I125" s="2974"/>
    </row>
    <row r="126" spans="1:15" ht="14.25">
      <c r="A126" s="2890" t="s">
        <v>1948</v>
      </c>
      <c r="B126" s="2886"/>
      <c r="C126" s="2886"/>
      <c r="D126" s="2975" t="e">
        <f ca="1">I111</f>
        <v>#VALUE!</v>
      </c>
      <c r="E126" s="2976"/>
      <c r="F126" s="2976"/>
      <c r="G126" s="2976"/>
      <c r="H126" s="2976"/>
      <c r="I126" s="2977"/>
    </row>
    <row r="127" spans="1:15" ht="15.75" thickBot="1">
      <c r="A127" s="2913" t="str">
        <f>IF(项目基本情况!D5="房地产市场价值","——",MID(A114,3,LEN(A114)-2))</f>
        <v>抵押担保权已注销时的房地产抵押价值</v>
      </c>
      <c r="B127" s="2914"/>
      <c r="C127" s="2914"/>
      <c r="D127" s="2870">
        <f ca="1">I112</f>
        <v>16392299</v>
      </c>
      <c r="E127" s="2871"/>
      <c r="F127" s="2871"/>
      <c r="G127" s="2871"/>
      <c r="H127" s="2871"/>
      <c r="I127" s="2872"/>
    </row>
    <row r="128" spans="1:15" ht="15.75" thickTop="1" thickBot="1">
      <c r="A128" s="2890" t="s">
        <v>1948</v>
      </c>
      <c r="B128" s="2886"/>
      <c r="C128" s="2970"/>
      <c r="D128" s="2916">
        <f ca="1">I113</f>
        <v>46357</v>
      </c>
      <c r="E128" s="2916"/>
      <c r="F128" s="2916"/>
      <c r="G128" s="2916"/>
      <c r="H128" s="2916"/>
      <c r="I128" s="2916"/>
    </row>
    <row r="129" spans="1:9" ht="16.5" thickTop="1" thickBot="1">
      <c r="A129" s="2913" t="str">
        <f>IF(项目基本情况!D5="房地产市场价值","——",MID(F114,3,LEN(F114)-2))</f>
        <v/>
      </c>
      <c r="B129" s="2914"/>
      <c r="C129" s="2915"/>
      <c r="D129" s="2978" t="str">
        <f>I114</f>
        <v>——</v>
      </c>
      <c r="E129" s="2978"/>
      <c r="F129" s="2978"/>
      <c r="G129" s="2978"/>
      <c r="H129" s="2978"/>
      <c r="I129" s="2978"/>
    </row>
    <row r="130" spans="1:9" ht="15.75" thickTop="1" thickBot="1">
      <c r="A130" s="2983" t="s">
        <v>1948</v>
      </c>
      <c r="B130" s="2984"/>
      <c r="C130" s="2984"/>
      <c r="D130" s="2988">
        <f>H116</f>
        <v>0</v>
      </c>
      <c r="E130" s="2989"/>
      <c r="F130" s="2989"/>
      <c r="G130" s="2989"/>
      <c r="H130" s="2989"/>
      <c r="I130" s="2990"/>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68" t="str">
        <f>IF(B32="总价","（以上估价结果中楼面单价为总价除以建筑面积得出）","（以上估价结果中总价为楼面单价乘以建筑面积得出）")</f>
        <v>（以上估价结果中总价为楼面单价乘以建筑面积得出）</v>
      </c>
      <c r="B132" s="2968"/>
      <c r="C132" s="2968"/>
      <c r="D132" s="2968"/>
      <c r="E132" s="2968"/>
      <c r="F132" s="2968"/>
      <c r="G132" s="2968"/>
      <c r="H132" s="2968"/>
      <c r="I132" s="2968"/>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4"/>
      <c r="G136" s="54"/>
      <c r="H136" s="54"/>
      <c r="I136" s="54"/>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1951</v>
      </c>
      <c r="G139" s="2307"/>
      <c r="H139" s="2307"/>
      <c r="I139" s="2308" t="s">
        <v>1952</v>
      </c>
    </row>
    <row r="140" spans="1:9" ht="21.75" customHeight="1">
      <c r="A140" s="796"/>
      <c r="B140" s="2309" t="s">
        <v>1953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1954</v>
      </c>
    </row>
    <row r="143" spans="1:9" ht="21.75" customHeight="1">
      <c r="A143" s="796"/>
      <c r="B143" s="2309" t="s">
        <v>1955</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1954</v>
      </c>
    </row>
    <row r="146" spans="1:35" ht="21.75" customHeight="1">
      <c r="A146" s="796"/>
      <c r="B146" s="2309"/>
      <c r="C146" s="2310"/>
      <c r="D146" s="2311"/>
      <c r="E146" s="2311"/>
      <c r="F146" s="2312"/>
      <c r="G146" s="796"/>
      <c r="H146" s="796"/>
      <c r="I146" s="796"/>
    </row>
    <row r="147" spans="1:35" s="54"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38"/>
    <col min="36" max="16384" width="12.625" style="2189"/>
  </cols>
  <sheetData>
    <row r="1" spans="1:12" ht="21.75" customHeight="1">
      <c r="A1" s="2187" t="s">
        <v>1956</v>
      </c>
      <c r="B1" s="2188"/>
      <c r="C1" s="2188"/>
      <c r="D1" s="2188"/>
      <c r="E1" s="2188"/>
      <c r="F1" s="2188"/>
      <c r="G1" s="2188"/>
      <c r="H1" s="2188"/>
      <c r="I1" s="2188"/>
    </row>
    <row r="2" spans="1:12" ht="21.75" customHeight="1">
      <c r="A2" s="2992" t="s">
        <v>1957</v>
      </c>
      <c r="B2" s="2992"/>
      <c r="C2" s="2992"/>
      <c r="D2" s="2992"/>
      <c r="E2" s="2992"/>
      <c r="F2" s="2992"/>
      <c r="G2" s="2992"/>
      <c r="H2" s="2992"/>
      <c r="I2" s="2992"/>
    </row>
    <row r="3" spans="1:12" ht="12.75">
      <c r="A3" s="2946" t="s">
        <v>1761</v>
      </c>
      <c r="B3" s="2947"/>
      <c r="C3" s="2947"/>
      <c r="D3" s="2947"/>
      <c r="E3" s="2947"/>
      <c r="F3" s="2947"/>
      <c r="G3" s="2947"/>
      <c r="H3" s="2947"/>
      <c r="I3" s="2947"/>
    </row>
    <row r="4" spans="1:12" ht="14.25">
      <c r="A4" s="2190" t="s">
        <v>1762</v>
      </c>
      <c r="B4" s="2191" t="s">
        <v>1763</v>
      </c>
      <c r="C4" s="2192"/>
      <c r="D4" s="2192"/>
      <c r="E4" s="2951" t="s">
        <v>1958</v>
      </c>
      <c r="F4" s="2952"/>
      <c r="G4" s="2952"/>
      <c r="H4" s="2952"/>
      <c r="I4" s="295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1" t="s">
        <v>1765</v>
      </c>
      <c r="B5" s="2886">
        <v>25</v>
      </c>
      <c r="C5" s="2948"/>
      <c r="D5" s="2945"/>
      <c r="E5" s="55" t="s">
        <v>1766</v>
      </c>
      <c r="F5" s="2193"/>
      <c r="G5" s="2193"/>
      <c r="H5" s="2193"/>
      <c r="I5" s="2194"/>
    </row>
    <row r="6" spans="1:12" ht="12.75">
      <c r="A6" s="2941"/>
      <c r="B6" s="2886"/>
      <c r="C6" s="2949"/>
      <c r="D6" s="2945"/>
      <c r="E6" s="55" t="s">
        <v>1767</v>
      </c>
      <c r="F6" s="2193"/>
      <c r="G6" s="2193"/>
      <c r="H6" s="2193"/>
      <c r="I6" s="2194"/>
    </row>
    <row r="7" spans="1:12" ht="12.75">
      <c r="A7" s="2941"/>
      <c r="B7" s="2886"/>
      <c r="C7" s="2950"/>
      <c r="D7" s="2945"/>
      <c r="E7" s="55" t="s">
        <v>1768</v>
      </c>
      <c r="F7" s="2193"/>
      <c r="G7" s="2193"/>
      <c r="H7" s="2193"/>
      <c r="I7" s="2194"/>
    </row>
    <row r="8" spans="1:12" ht="12.75">
      <c r="A8" s="2941" t="s">
        <v>1769</v>
      </c>
      <c r="B8" s="2886">
        <v>15</v>
      </c>
      <c r="C8" s="2948"/>
      <c r="D8" s="2945"/>
      <c r="E8" s="55" t="s">
        <v>1770</v>
      </c>
      <c r="F8" s="2193"/>
      <c r="G8" s="2193"/>
      <c r="H8" s="2193"/>
      <c r="I8" s="2194"/>
    </row>
    <row r="9" spans="1:12" ht="12.75">
      <c r="A9" s="2941"/>
      <c r="B9" s="2886"/>
      <c r="C9" s="2950"/>
      <c r="D9" s="2945"/>
      <c r="E9" s="55" t="s">
        <v>1771</v>
      </c>
      <c r="F9" s="2193"/>
      <c r="G9" s="2193"/>
      <c r="H9" s="2193"/>
      <c r="I9" s="2194"/>
    </row>
    <row r="10" spans="1:12" ht="12.75">
      <c r="A10" s="2941" t="s">
        <v>1772</v>
      </c>
      <c r="B10" s="2886">
        <v>15</v>
      </c>
      <c r="C10" s="2948"/>
      <c r="D10" s="2945"/>
      <c r="E10" s="55" t="s">
        <v>1773</v>
      </c>
      <c r="F10" s="2193"/>
      <c r="G10" s="2193"/>
      <c r="H10" s="2193"/>
      <c r="I10" s="2194"/>
    </row>
    <row r="11" spans="1:12" ht="12.75">
      <c r="A11" s="2941"/>
      <c r="B11" s="2886"/>
      <c r="C11" s="2950"/>
      <c r="D11" s="2945"/>
      <c r="E11" s="55" t="s">
        <v>1774</v>
      </c>
      <c r="F11" s="2193"/>
      <c r="G11" s="2193"/>
      <c r="H11" s="2193"/>
      <c r="I11" s="2194"/>
    </row>
    <row r="12" spans="1:12" ht="12.75">
      <c r="A12" s="2941" t="s">
        <v>1775</v>
      </c>
      <c r="B12" s="2886">
        <v>15</v>
      </c>
      <c r="C12" s="2948"/>
      <c r="D12" s="2945"/>
      <c r="E12" s="55" t="s">
        <v>1776</v>
      </c>
      <c r="F12" s="2193"/>
      <c r="G12" s="2193"/>
      <c r="H12" s="2193"/>
      <c r="I12" s="2194"/>
    </row>
    <row r="13" spans="1:12" ht="12.75">
      <c r="A13" s="2941"/>
      <c r="B13" s="2886"/>
      <c r="C13" s="2950"/>
      <c r="D13" s="2945"/>
      <c r="E13" s="55" t="s">
        <v>1777</v>
      </c>
      <c r="F13" s="2193"/>
      <c r="G13" s="2193"/>
      <c r="H13" s="2193"/>
      <c r="I13" s="2194"/>
    </row>
    <row r="14" spans="1:12" ht="12.75">
      <c r="A14" s="2941" t="s">
        <v>1778</v>
      </c>
      <c r="B14" s="2886">
        <v>30</v>
      </c>
      <c r="C14" s="2948"/>
      <c r="D14" s="2945"/>
      <c r="E14" s="55" t="s">
        <v>1779</v>
      </c>
      <c r="F14" s="2193"/>
      <c r="G14" s="2193"/>
      <c r="H14" s="2193"/>
      <c r="I14" s="2194"/>
    </row>
    <row r="15" spans="1:12" ht="12.75">
      <c r="A15" s="2941"/>
      <c r="B15" s="2886"/>
      <c r="C15" s="2949"/>
      <c r="D15" s="2945"/>
      <c r="E15" s="55" t="s">
        <v>1780</v>
      </c>
      <c r="F15" s="2193"/>
      <c r="G15" s="2193"/>
      <c r="H15" s="2193"/>
      <c r="I15" s="2194"/>
    </row>
    <row r="16" spans="1:12" ht="12.75">
      <c r="A16" s="2941"/>
      <c r="B16" s="2886"/>
      <c r="C16" s="2950"/>
      <c r="D16" s="2945"/>
      <c r="E16" s="55" t="s">
        <v>1781</v>
      </c>
      <c r="F16" s="2193"/>
      <c r="G16" s="2193"/>
      <c r="H16" s="2193"/>
      <c r="I16" s="2194"/>
    </row>
    <row r="17" spans="1:35" ht="15">
      <c r="A17" s="2195" t="s">
        <v>1782</v>
      </c>
      <c r="B17" s="2196"/>
      <c r="C17" s="56">
        <f>SUM(C5:C16)</f>
        <v>0</v>
      </c>
      <c r="D17" s="56">
        <f>SUM(D5:D16)</f>
        <v>0</v>
      </c>
      <c r="E17" s="2188"/>
      <c r="F17" s="2188"/>
      <c r="G17" s="2188"/>
      <c r="H17" s="2188"/>
      <c r="I17" s="2188"/>
    </row>
    <row r="18" spans="1:35" ht="15.75" thickBot="1">
      <c r="A18" s="2197" t="s">
        <v>1783</v>
      </c>
      <c r="B18" s="2198"/>
      <c r="C18" s="57" t="e">
        <f>ROUND(C17/SUM(C17:D17),2)</f>
        <v>#DIV/0!</v>
      </c>
      <c r="D18" s="57" t="e">
        <f>1-C18</f>
        <v>#DIV/0!</v>
      </c>
      <c r="E18" s="2188"/>
      <c r="F18" s="2188"/>
      <c r="G18" s="2188"/>
      <c r="H18" s="2188"/>
      <c r="I18" s="2188"/>
    </row>
    <row r="19" spans="1:35" ht="15">
      <c r="A19" s="2199" t="s">
        <v>1784</v>
      </c>
      <c r="B19" s="2200" t="s">
        <v>1785</v>
      </c>
      <c r="C19" s="58" t="e">
        <f ca="1">SUMIF(INDIRECT("'"&amp;C4&amp;"'"&amp;"!A:A"),'结果表 (1修多)'!B19,INDIRECT("'"&amp;C4&amp;"'"&amp;"!B:B"))</f>
        <v>#REF!</v>
      </c>
      <c r="D19" s="59" t="e">
        <f ca="1">SUMIF(INDIRECT("'"&amp;D4&amp;"'"&amp;"!A:A"),'结果表 (1修多)'!B19,INDIRECT("'"&amp;D4&amp;"'"&amp;"!B:B"))</f>
        <v>#REF!</v>
      </c>
      <c r="E19" s="2199" t="s">
        <v>1786</v>
      </c>
      <c r="F19" s="2200" t="s">
        <v>1785</v>
      </c>
      <c r="G19" s="60" t="e">
        <f ca="1">ROUND(C19*$C$18+D19*$D$18,0)</f>
        <v>#REF!</v>
      </c>
      <c r="H19" s="2201" t="str">
        <f>'数据-取费表'!B3</f>
        <v>元</v>
      </c>
      <c r="I19" s="2188"/>
    </row>
    <row r="20" spans="1:35" ht="15">
      <c r="A20" s="2202"/>
      <c r="B20" s="2203" t="s">
        <v>1787</v>
      </c>
      <c r="C20" s="61" t="e">
        <f ca="1">SUMIF(INDIRECT("'"&amp;C4&amp;"'"&amp;"!A:A"),'结果表 (1修多)'!B20,INDIRECT("'"&amp;C4&amp;"'"&amp;"!B:B"))</f>
        <v>#REF!</v>
      </c>
      <c r="D20" s="62" t="e">
        <f ca="1">SUMIF(INDIRECT("'"&amp;D4&amp;"'"&amp;"!A:A"),'结果表 (1修多)'!B20,INDIRECT("'"&amp;D4&amp;"'"&amp;"!B:B"))</f>
        <v>#REF!</v>
      </c>
      <c r="E20" s="2202"/>
      <c r="F20" s="2203" t="s">
        <v>1787</v>
      </c>
      <c r="G20" s="63" t="e">
        <f ca="1">ROUND(C20*$C$18+D20*$D$18,0)</f>
        <v>#REF!</v>
      </c>
      <c r="H20" s="2204" t="s">
        <v>1788</v>
      </c>
      <c r="I20" s="2188"/>
    </row>
    <row r="21" spans="1:35" ht="15" customHeight="1" thickBot="1">
      <c r="A21" s="2205"/>
      <c r="B21" s="2206"/>
      <c r="C21" s="768"/>
      <c r="D21" s="769"/>
      <c r="E21" s="2205"/>
      <c r="F21" s="2206"/>
      <c r="G21" s="64"/>
      <c r="H21" s="2207"/>
      <c r="I21" s="2188"/>
    </row>
    <row r="22" spans="1:35" ht="15" thickBot="1">
      <c r="A22" s="2208" t="s">
        <v>1789</v>
      </c>
      <c r="B22" s="2209"/>
      <c r="C22" s="2210"/>
      <c r="D22" s="770"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54" t="s">
        <v>1790</v>
      </c>
      <c r="B24" s="2200" t="s">
        <v>1785</v>
      </c>
      <c r="C24" s="60">
        <f>D30</f>
        <v>0</v>
      </c>
      <c r="D24" s="988"/>
      <c r="E24" s="2188"/>
      <c r="F24" s="2188"/>
      <c r="G24" s="2188"/>
      <c r="H24" s="2188"/>
      <c r="I24" s="2188"/>
    </row>
    <row r="25" spans="1:35" ht="21.75" customHeight="1">
      <c r="A25" s="2955"/>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4.25">
      <c r="A27" s="2213" t="s">
        <v>1959</v>
      </c>
      <c r="B27" s="66">
        <v>0</v>
      </c>
      <c r="C27" s="66">
        <v>0</v>
      </c>
      <c r="D27" s="67">
        <f>ROUND(C27*B27/10000,0)</f>
        <v>0</v>
      </c>
      <c r="E27" s="2188"/>
      <c r="F27" s="2188"/>
      <c r="G27" s="2188"/>
      <c r="H27" s="2188"/>
      <c r="I27" s="2188"/>
    </row>
    <row r="28" spans="1:35" ht="14.25">
      <c r="A28" s="2212"/>
      <c r="B28" s="66"/>
      <c r="C28" s="66"/>
      <c r="D28" s="67">
        <f>ROUND(C28*B28/10000,0)</f>
        <v>0</v>
      </c>
      <c r="E28" s="2188"/>
      <c r="F28" s="2188"/>
      <c r="G28" s="2188"/>
      <c r="H28" s="2188"/>
      <c r="I28" s="2188"/>
    </row>
    <row r="29" spans="1:35" ht="14.25">
      <c r="A29" s="2212"/>
      <c r="B29" s="66"/>
      <c r="C29" s="66"/>
      <c r="D29" s="67">
        <f t="shared" ref="D29" si="0">ROUND(C29*B29/10000,0)</f>
        <v>0</v>
      </c>
      <c r="E29" s="2188"/>
      <c r="F29" s="2188"/>
      <c r="G29" s="2188"/>
      <c r="H29" s="2188"/>
      <c r="I29" s="2188"/>
    </row>
    <row r="30" spans="1:35" ht="15" thickBot="1">
      <c r="A30" s="2697" t="s">
        <v>1960</v>
      </c>
      <c r="B30" s="2698"/>
      <c r="C30" s="2698"/>
      <c r="D30" s="2698"/>
      <c r="E30" s="2696" t="s">
        <v>2795</v>
      </c>
      <c r="F30" s="2188"/>
      <c r="G30" s="2188"/>
      <c r="H30" s="2188"/>
      <c r="I30" s="2188"/>
    </row>
    <row r="31" spans="1:35" s="2215" customFormat="1" ht="15.75" thickBot="1">
      <c r="A31" s="3002" t="s">
        <v>1961</v>
      </c>
      <c r="B31" s="3002"/>
      <c r="C31" s="3002"/>
      <c r="D31" s="3002"/>
      <c r="E31" s="3002"/>
      <c r="F31" s="3002"/>
      <c r="G31" s="3002"/>
      <c r="H31" s="3002"/>
      <c r="I31" s="3002"/>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3"/>
      <c r="B32" s="2314" t="s">
        <v>1962</v>
      </c>
      <c r="C32" s="1302">
        <f>典型户型修正!R27</f>
        <v>0</v>
      </c>
      <c r="D32" s="2188" t="s">
        <v>1963</v>
      </c>
      <c r="E32" s="2188"/>
      <c r="F32" s="2188"/>
      <c r="G32" s="2188"/>
      <c r="H32" s="2188"/>
      <c r="I32" s="2188"/>
    </row>
    <row r="33" spans="1:16" ht="15">
      <c r="A33" s="2315" t="s">
        <v>1964</v>
      </c>
      <c r="B33" s="2316" t="s">
        <v>1965</v>
      </c>
      <c r="C33" s="1303">
        <f>典型户型修正!B2</f>
        <v>0</v>
      </c>
      <c r="D33" s="2317" t="str">
        <f>IF('数据-取费表'!B3="万元","万元","元")</f>
        <v>元</v>
      </c>
      <c r="E33" s="2188"/>
      <c r="F33" s="2188"/>
      <c r="G33" s="2188"/>
      <c r="H33" s="2188"/>
      <c r="I33" s="2188"/>
    </row>
    <row r="34" spans="1:16" ht="15.75" thickBot="1">
      <c r="A34" s="2318"/>
      <c r="B34" s="2319" t="s">
        <v>1966</v>
      </c>
      <c r="C34" s="769" t="e">
        <f>典型户型修正!B3</f>
        <v>#DIV/0!</v>
      </c>
      <c r="D34" s="2188" t="s">
        <v>1967</v>
      </c>
      <c r="E34" s="2188"/>
      <c r="F34" s="2188"/>
      <c r="G34" s="2188"/>
      <c r="H34" s="2188"/>
      <c r="I34" s="2188"/>
    </row>
    <row r="35" spans="1:16" ht="15">
      <c r="A35" s="2320"/>
      <c r="B35" s="2321" t="s">
        <v>1968</v>
      </c>
      <c r="C35" s="1310">
        <f>IF('数据-取费表'!B3="万元",典型户型修正!V25,典型户型修正!U25)</f>
        <v>0</v>
      </c>
      <c r="D35" s="2188" t="str">
        <f>D33</f>
        <v>元</v>
      </c>
      <c r="E35" s="2188"/>
      <c r="F35" s="2188"/>
      <c r="G35" s="2188"/>
      <c r="H35" s="2188"/>
      <c r="I35" s="2188"/>
    </row>
    <row r="36" spans="1:16" ht="15.75" thickBot="1">
      <c r="A36" s="2227"/>
      <c r="B36" s="2322" t="s">
        <v>1969</v>
      </c>
      <c r="C36" s="1311">
        <f>IF('数据-取费表'!B3="万元",典型户型修正!Y25,典型户型修正!X25)</f>
        <v>0</v>
      </c>
      <c r="D36" s="2188" t="str">
        <f>D33</f>
        <v>元</v>
      </c>
      <c r="E36" s="2188"/>
      <c r="F36" s="2188"/>
      <c r="G36" s="2188"/>
      <c r="H36" s="2188"/>
      <c r="I36" s="2188"/>
    </row>
    <row r="37" spans="1:16" ht="15.75" thickBot="1">
      <c r="A37" s="2959" t="s">
        <v>1970</v>
      </c>
      <c r="B37" s="2230" t="s">
        <v>1971</v>
      </c>
      <c r="C37" s="68"/>
      <c r="D37" s="2231"/>
      <c r="E37" s="2232"/>
      <c r="F37" s="2232"/>
      <c r="G37" s="2188"/>
      <c r="H37" s="2188"/>
      <c r="I37" s="2188"/>
    </row>
    <row r="38" spans="1:16" ht="15.75" thickBot="1">
      <c r="A38" s="2960"/>
      <c r="B38" s="2233" t="s">
        <v>1972</v>
      </c>
      <c r="C38" s="70"/>
      <c r="D38" s="2198"/>
      <c r="E38" s="2198"/>
      <c r="F38" s="2232"/>
      <c r="G38" s="2198"/>
      <c r="H38" s="2198"/>
      <c r="I38" s="2198"/>
    </row>
    <row r="39" spans="1:16" ht="15.75" thickBot="1">
      <c r="A39" s="2961"/>
      <c r="B39" s="2234" t="s">
        <v>1973</v>
      </c>
      <c r="C39" s="710"/>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3"/>
      <c r="C41" s="74"/>
      <c r="D41" s="74"/>
      <c r="E41" s="75"/>
      <c r="F41" s="2232"/>
      <c r="G41" s="2198"/>
      <c r="H41" s="2198"/>
      <c r="I41" s="2198"/>
    </row>
    <row r="42" spans="1:16" ht="14.25">
      <c r="A42" s="2239" t="s">
        <v>1981</v>
      </c>
      <c r="B42" s="73"/>
      <c r="C42" s="74"/>
      <c r="D42" s="74"/>
      <c r="E42" s="75"/>
      <c r="F42" s="2232"/>
      <c r="G42" s="2198"/>
      <c r="H42" s="2198"/>
      <c r="I42" s="2198"/>
    </row>
    <row r="43" spans="1:16" ht="15" thickBot="1">
      <c r="A43" s="2240"/>
      <c r="B43" s="76"/>
      <c r="C43" s="77"/>
      <c r="D43" s="77"/>
      <c r="E43" s="78"/>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38"/>
    </row>
    <row r="46" spans="1:16" ht="14.25" customHeight="1" thickBot="1">
      <c r="A46" s="2964" t="s">
        <v>1983</v>
      </c>
      <c r="B46" s="2965"/>
      <c r="C46" s="2966"/>
      <c r="D46" s="79">
        <f>ROUND(I103*F46,0)</f>
        <v>0</v>
      </c>
      <c r="E46" s="80" t="s">
        <v>1984</v>
      </c>
      <c r="F46" s="81">
        <v>1</v>
      </c>
      <c r="G46" s="82" t="s">
        <v>1985</v>
      </c>
      <c r="H46" s="2188"/>
      <c r="I46" s="2188"/>
      <c r="J46" s="2876" t="s">
        <v>1817</v>
      </c>
      <c r="K46" s="2876"/>
      <c r="L46" s="2876"/>
      <c r="M46" s="2876"/>
      <c r="N46" s="2876"/>
      <c r="O46" s="2876"/>
      <c r="P46" s="1838"/>
    </row>
    <row r="47" spans="1:16" ht="14.25" customHeight="1">
      <c r="A47" s="2956" t="s">
        <v>1818</v>
      </c>
      <c r="B47" s="2957"/>
      <c r="C47" s="2957"/>
      <c r="D47" s="2957"/>
      <c r="E47" s="2957"/>
      <c r="F47" s="2957"/>
      <c r="G47" s="2958"/>
      <c r="H47" s="2250"/>
      <c r="I47" s="1138"/>
      <c r="J47" s="1875">
        <v>1</v>
      </c>
      <c r="K47" s="2876" t="s">
        <v>1819</v>
      </c>
      <c r="L47" s="2876"/>
      <c r="M47" s="2991"/>
      <c r="N47" s="2991"/>
      <c r="O47" s="2991"/>
      <c r="P47" s="1838"/>
    </row>
    <row r="48" spans="1:16" ht="12" customHeight="1">
      <c r="A48" s="84" t="s">
        <v>1820</v>
      </c>
      <c r="B48" s="85"/>
      <c r="C48" s="86"/>
      <c r="D48" s="87" t="s">
        <v>1821</v>
      </c>
      <c r="E48" s="14" t="s">
        <v>1822</v>
      </c>
      <c r="F48" s="88" t="s">
        <v>1823</v>
      </c>
      <c r="G48" s="89" t="s">
        <v>1824</v>
      </c>
      <c r="H48" s="2250"/>
      <c r="I48" s="1138"/>
      <c r="J48" s="1875">
        <v>2</v>
      </c>
      <c r="K48" s="2876" t="s">
        <v>1825</v>
      </c>
      <c r="L48" s="2876"/>
      <c r="M48" s="2878">
        <f>'数据-取费表'!B2</f>
        <v>43888</v>
      </c>
      <c r="N48" s="2878"/>
      <c r="O48" s="2878"/>
      <c r="P48" s="1838"/>
    </row>
    <row r="49" spans="1:16" ht="25.5">
      <c r="A49" s="2962" t="s">
        <v>1826</v>
      </c>
      <c r="B49" s="2963"/>
      <c r="C49" s="2963"/>
      <c r="D49" s="55">
        <f>IF(H49="情况1",0,IF(H49="情况2",D53,IF(H49="情况3",D54,IF(H49="情况4",D55))))</f>
        <v>0</v>
      </c>
      <c r="E49" s="1885" t="str">
        <f>IF(H49="情况4","(销售额-原购置价)×税（费）率","销售额×税（费）率")</f>
        <v>销售额×税（费）率</v>
      </c>
      <c r="F49" s="90">
        <f>IF(H49="情况1","免征",'数据-取费表'!E29)</f>
        <v>5.5000000000000007E-2</v>
      </c>
      <c r="G49" s="2251" t="s">
        <v>1827</v>
      </c>
      <c r="H49" s="2252" t="s">
        <v>1828</v>
      </c>
      <c r="I49" s="2250"/>
      <c r="J49" s="1875">
        <v>3</v>
      </c>
      <c r="K49" s="2876" t="s">
        <v>1829</v>
      </c>
      <c r="L49" s="2876"/>
      <c r="M49" s="2877">
        <f>I103</f>
        <v>0</v>
      </c>
      <c r="N49" s="2877"/>
      <c r="O49" s="2877"/>
      <c r="P49" s="1838"/>
    </row>
    <row r="50" spans="1:16" ht="25.5" customHeight="1">
      <c r="A50" s="91" t="s">
        <v>1830</v>
      </c>
      <c r="B50" s="2943" t="s">
        <v>1831</v>
      </c>
      <c r="C50" s="2943"/>
      <c r="D50" s="92">
        <v>0</v>
      </c>
      <c r="E50" s="13" t="s">
        <v>1832</v>
      </c>
      <c r="F50" s="18" t="s">
        <v>48</v>
      </c>
      <c r="G50" s="2867"/>
      <c r="H50" s="2188"/>
      <c r="I50" s="2253"/>
      <c r="J50" s="1875">
        <v>4</v>
      </c>
      <c r="K50" s="2876" t="str">
        <f>IF(项目基本情况!F5="房地产抵押价值","房地产抵押价值","抵押担保权已注销时的房地产抵押价值")</f>
        <v>抵押担保权已注销时的房地产抵押价值</v>
      </c>
      <c r="L50" s="2876"/>
      <c r="M50" s="2877">
        <f>IF(项目基本情况!F5="房地产抵押价值",I111,I113)</f>
        <v>0</v>
      </c>
      <c r="N50" s="2877"/>
      <c r="O50" s="2877"/>
      <c r="P50" s="1838"/>
    </row>
    <row r="51" spans="1:16" ht="25.5" customHeight="1">
      <c r="A51" s="93"/>
      <c r="B51" s="2943" t="s">
        <v>1833</v>
      </c>
      <c r="C51" s="2943"/>
      <c r="D51" s="94"/>
      <c r="E51" s="21"/>
      <c r="F51" s="95"/>
      <c r="G51" s="2868"/>
      <c r="H51" s="2188"/>
      <c r="I51" s="2253"/>
      <c r="J51" s="2876" t="s">
        <v>1834</v>
      </c>
      <c r="K51" s="2876"/>
      <c r="L51" s="2876"/>
      <c r="M51" s="2876"/>
      <c r="N51" s="2876"/>
      <c r="O51" s="2876"/>
      <c r="P51" s="1838"/>
    </row>
    <row r="52" spans="1:16" ht="12" customHeight="1">
      <c r="A52" s="96"/>
      <c r="B52" s="2943" t="s">
        <v>1835</v>
      </c>
      <c r="C52" s="2943"/>
      <c r="D52" s="97"/>
      <c r="E52" s="20"/>
      <c r="F52" s="95"/>
      <c r="G52" s="2869"/>
      <c r="H52" s="2188"/>
      <c r="I52" s="2253"/>
      <c r="J52" s="2254" t="s">
        <v>1836</v>
      </c>
      <c r="K52" s="2876" t="s">
        <v>1837</v>
      </c>
      <c r="L52" s="2876"/>
      <c r="M52" s="2254" t="s">
        <v>1838</v>
      </c>
      <c r="N52" s="2254" t="s">
        <v>1839</v>
      </c>
      <c r="O52" s="2254" t="s">
        <v>1840</v>
      </c>
      <c r="P52" s="1838"/>
    </row>
    <row r="53" spans="1:16" ht="24" customHeight="1">
      <c r="A53" s="98" t="s">
        <v>1841</v>
      </c>
      <c r="B53" s="2943" t="s">
        <v>1842</v>
      </c>
      <c r="C53" s="2943"/>
      <c r="D53" s="97">
        <f>ROUND(D46*'数据-取费表'!E29/(1+'数据-取费表'!F30),0)</f>
        <v>0</v>
      </c>
      <c r="E53" s="10" t="s">
        <v>1843</v>
      </c>
      <c r="F53" s="99">
        <f>'数据-取费表'!E29</f>
        <v>5.5000000000000007E-2</v>
      </c>
      <c r="G53" s="2255"/>
      <c r="H53" s="2188"/>
      <c r="I53" s="2253"/>
      <c r="J53" s="1875">
        <v>1</v>
      </c>
      <c r="K53" s="2866" t="s">
        <v>1844</v>
      </c>
      <c r="L53" s="2866"/>
      <c r="M53" s="776">
        <f>D49</f>
        <v>0</v>
      </c>
      <c r="N53" s="1875" t="str">
        <f>E49</f>
        <v>销售额×税（费）率</v>
      </c>
      <c r="O53" s="777">
        <f>F49</f>
        <v>5.5000000000000007E-2</v>
      </c>
      <c r="P53" s="1838"/>
    </row>
    <row r="54" spans="1:16" ht="12" customHeight="1">
      <c r="A54" s="98" t="s">
        <v>1845</v>
      </c>
      <c r="B54" s="2942" t="s">
        <v>1846</v>
      </c>
      <c r="C54" s="2836"/>
      <c r="D54" s="97">
        <f>ROUND(D46*'数据-取费表'!E29/(1+'数据-取费表'!F30),0)</f>
        <v>0</v>
      </c>
      <c r="E54" s="10" t="s">
        <v>1843</v>
      </c>
      <c r="F54" s="99">
        <f>'数据-取费表'!E29</f>
        <v>5.5000000000000007E-2</v>
      </c>
      <c r="G54" s="2255"/>
      <c r="H54" s="2188"/>
      <c r="I54" s="2253"/>
      <c r="J54" s="1875">
        <v>2</v>
      </c>
      <c r="K54" s="2866" t="s">
        <v>1847</v>
      </c>
      <c r="L54" s="2866"/>
      <c r="M54" s="776">
        <f t="shared" ref="M54:O55" si="1">D56</f>
        <v>0</v>
      </c>
      <c r="N54" s="1875" t="str">
        <f t="shared" si="1"/>
        <v>销售额×税（费）率</v>
      </c>
      <c r="O54" s="777">
        <f t="shared" si="1"/>
        <v>5.0000000000000001E-4</v>
      </c>
      <c r="P54" s="1838"/>
    </row>
    <row r="55" spans="1:16" ht="12" customHeight="1">
      <c r="A55" s="98" t="s">
        <v>1848</v>
      </c>
      <c r="B55" s="2942" t="s">
        <v>1849</v>
      </c>
      <c r="C55" s="2836"/>
      <c r="D55" s="97">
        <f>C69</f>
        <v>0</v>
      </c>
      <c r="E55" s="20" t="s">
        <v>1850</v>
      </c>
      <c r="F55" s="99">
        <f>'数据-取费表'!E29</f>
        <v>5.5000000000000007E-2</v>
      </c>
      <c r="G55" s="2255"/>
      <c r="H55" s="2256"/>
      <c r="I55" s="2253"/>
      <c r="J55" s="1875">
        <v>3</v>
      </c>
      <c r="K55" s="2866" t="s">
        <v>1851</v>
      </c>
      <c r="L55" s="2866"/>
      <c r="M55" s="776">
        <f t="shared" si="1"/>
        <v>0</v>
      </c>
      <c r="N55" s="1875" t="str">
        <f t="shared" si="1"/>
        <v>增值额×税（费）率</v>
      </c>
      <c r="O55" s="778" t="str">
        <f t="shared" si="1"/>
        <v>——</v>
      </c>
      <c r="P55" s="1838"/>
    </row>
    <row r="56" spans="1:16" ht="24" customHeight="1">
      <c r="A56" s="2828" t="s">
        <v>1852</v>
      </c>
      <c r="B56" s="2963"/>
      <c r="C56" s="2963"/>
      <c r="D56" s="100">
        <f>IF(H56="个人住宅",0,ROUND(D46*I56,0))</f>
        <v>0</v>
      </c>
      <c r="E56" s="10" t="s">
        <v>1853</v>
      </c>
      <c r="F56" s="99">
        <f>IF(H56="正常",I56,"免征")</f>
        <v>5.0000000000000001E-4</v>
      </c>
      <c r="G56" s="2255"/>
      <c r="H56" s="2252" t="s">
        <v>1854</v>
      </c>
      <c r="I56" s="101">
        <f>'数据-取费表'!E37</f>
        <v>5.0000000000000001E-4</v>
      </c>
      <c r="J56" s="1875" t="str">
        <f>IF(H60="非个人房产","",4)</f>
        <v/>
      </c>
      <c r="K56" s="2866" t="str">
        <f>IF(H60="非个人房产","——","个人所得税")</f>
        <v>——</v>
      </c>
      <c r="L56" s="2866"/>
      <c r="M56" s="779" t="str">
        <f>D60</f>
        <v>——</v>
      </c>
      <c r="N56" s="1878" t="str">
        <f>E60</f>
        <v>——</v>
      </c>
      <c r="O56" s="780" t="str">
        <f>F60</f>
        <v>——</v>
      </c>
      <c r="P56" s="1838"/>
    </row>
    <row r="57" spans="1:16" ht="24.75">
      <c r="A57" s="2828" t="s">
        <v>1855</v>
      </c>
      <c r="B57" s="2963"/>
      <c r="C57" s="2963"/>
      <c r="D57" s="100">
        <f>IF(H57="个人住宅",D58,D59)</f>
        <v>0</v>
      </c>
      <c r="E57" s="10" t="s">
        <v>1856</v>
      </c>
      <c r="F57" s="99" t="str">
        <f>IF(H57="正常",F59,"免征")</f>
        <v>——</v>
      </c>
      <c r="G57" s="2257" t="s">
        <v>1857</v>
      </c>
      <c r="H57" s="2258" t="s">
        <v>1854</v>
      </c>
      <c r="I57" s="1016"/>
      <c r="J57" s="1875" t="str">
        <f>IF(项目基本情况!I6="上海银行",IF(J56="",4,J56+1),"")</f>
        <v/>
      </c>
      <c r="K57" s="2883" t="str">
        <f>IF(项目基本情况!I6="上海银行","其他处置费用","")</f>
        <v/>
      </c>
      <c r="L57" s="2884"/>
      <c r="M57" s="776" t="str">
        <f>IF(项目基本情况!I6="上海银行",M70,"")</f>
        <v/>
      </c>
      <c r="N57" s="2864" t="str">
        <f>IF(项目基本情况!I6="上海银行","包含处置中涉及的律师、诉讼、拍卖、评估等费用","")</f>
        <v/>
      </c>
      <c r="O57" s="2865"/>
      <c r="P57" s="1838"/>
    </row>
    <row r="58" spans="1:16" ht="12.75">
      <c r="A58" s="98" t="s">
        <v>1830</v>
      </c>
      <c r="B58" s="2951" t="s">
        <v>1858</v>
      </c>
      <c r="C58" s="2953"/>
      <c r="D58" s="102">
        <v>0</v>
      </c>
      <c r="E58" s="13" t="s">
        <v>1832</v>
      </c>
      <c r="F58" s="69"/>
      <c r="G58" s="2255"/>
      <c r="H58" s="1016"/>
      <c r="I58" s="1016"/>
      <c r="J58" s="2866">
        <f>IF(AND(J56="",J57=""),4,IF(项目基本情况!I6="上海银行",J57+1,J56+1))</f>
        <v>4</v>
      </c>
      <c r="K58" s="2866" t="s">
        <v>1859</v>
      </c>
      <c r="L58" s="2259" t="s">
        <v>1860</v>
      </c>
      <c r="M58" s="781"/>
      <c r="N58" s="782">
        <f>SUMIF(M53:M57,"&lt;9e307")</f>
        <v>0</v>
      </c>
      <c r="O58" s="2260"/>
      <c r="P58" s="1834" t="e">
        <f>N58/M50</f>
        <v>#DIV/0!</v>
      </c>
    </row>
    <row r="59" spans="1:16" ht="24.75">
      <c r="A59" s="98" t="s">
        <v>1841</v>
      </c>
      <c r="B59" s="2951" t="s">
        <v>1861</v>
      </c>
      <c r="C59" s="2952"/>
      <c r="D59" s="100">
        <f>IF(H59="转让取得",C82,C98)</f>
        <v>0</v>
      </c>
      <c r="E59" s="10" t="s">
        <v>1856</v>
      </c>
      <c r="F59" s="14" t="s">
        <v>48</v>
      </c>
      <c r="G59" s="2255"/>
      <c r="H59" s="2258" t="s">
        <v>1862</v>
      </c>
      <c r="I59" s="1016"/>
      <c r="J59" s="2866"/>
      <c r="K59" s="2866"/>
      <c r="L59" s="2259" t="s">
        <v>1863</v>
      </c>
      <c r="M59" s="783"/>
      <c r="N59" s="2261" t="str">
        <f>IF(H19="元",NUMBERSTRING(INT(N58),2)&amp;"元整",NUMBERSTRING(INT(N58*10000),2)&amp;"元整")</f>
        <v>零元整</v>
      </c>
      <c r="O59" s="2262"/>
      <c r="P59" s="1838"/>
    </row>
    <row r="60" spans="1:16" ht="24.75" thickBot="1">
      <c r="A60" s="2829" t="s">
        <v>1864</v>
      </c>
      <c r="B60" s="2832"/>
      <c r="C60" s="2832"/>
      <c r="D60" s="103" t="str">
        <f>IF(H60="非个人房产","——",IF(H60="个人住宅",0,ROUND(D46*I60,0)))</f>
        <v>——</v>
      </c>
      <c r="E60" s="104" t="str">
        <f>IF(H60="非个人房产","——","销售额×税（费）率")</f>
        <v>——</v>
      </c>
      <c r="F60" s="105" t="str">
        <f>IF(H60="非个人房产","——",IF(H60="个人住宅","免征",I60))</f>
        <v>——</v>
      </c>
      <c r="G60" s="2263" t="s">
        <v>1857</v>
      </c>
      <c r="H60" s="2258" t="s">
        <v>1986</v>
      </c>
      <c r="I60" s="106">
        <v>0.01</v>
      </c>
      <c r="J60" s="2920">
        <f>J58+1</f>
        <v>5</v>
      </c>
      <c r="K60" s="2866" t="s">
        <v>1866</v>
      </c>
      <c r="L60" s="1875" t="s">
        <v>1860</v>
      </c>
      <c r="M60" s="784"/>
      <c r="N60" s="785">
        <f>M50-N58</f>
        <v>0</v>
      </c>
      <c r="O60" s="2264"/>
      <c r="P60" s="1838"/>
    </row>
    <row r="61" spans="1:16" ht="12" customHeight="1">
      <c r="A61" s="2059"/>
      <c r="B61" s="2188"/>
      <c r="C61" s="2188"/>
      <c r="D61" s="2188"/>
      <c r="E61" s="1016"/>
      <c r="F61" s="1016"/>
      <c r="G61" s="1016"/>
      <c r="H61" s="2241"/>
      <c r="I61" s="2188"/>
      <c r="J61" s="2921"/>
      <c r="K61" s="2866"/>
      <c r="L61" s="2259" t="s">
        <v>1863</v>
      </c>
      <c r="M61" s="783"/>
      <c r="N61" s="2261" t="str">
        <f>IF(H19="元",NUMBERSTRING(INT(N60),2)&amp;"元整",NUMBERSTRING(INT(N60*10000),2)&amp;"元整")</f>
        <v>零元整</v>
      </c>
      <c r="O61" s="2262"/>
      <c r="P61" s="1838"/>
    </row>
    <row r="62" spans="1:16" ht="13.5" thickBot="1">
      <c r="A62" s="2967" t="s">
        <v>1867</v>
      </c>
      <c r="B62" s="2967"/>
      <c r="C62" s="2967"/>
      <c r="D62" s="2967"/>
      <c r="E62" s="2967"/>
      <c r="F62" s="1016"/>
      <c r="G62" s="1016"/>
      <c r="H62" s="2241"/>
      <c r="I62" s="2188"/>
      <c r="J62" s="1875">
        <f>J60+1</f>
        <v>6</v>
      </c>
      <c r="K62" s="2866" t="s">
        <v>1868</v>
      </c>
      <c r="L62" s="2866"/>
      <c r="M62" s="786"/>
      <c r="N62" s="787">
        <f>IF(H19="元",ROUND(N60/项目基本情况!C12,0),ROUND(N60*10000/项目基本情况!C12,0))</f>
        <v>0</v>
      </c>
      <c r="O62" s="2265"/>
      <c r="P62" s="1838"/>
    </row>
    <row r="63" spans="1:16" ht="12.75">
      <c r="A63" s="2904" t="s">
        <v>1869</v>
      </c>
      <c r="B63" s="2905"/>
      <c r="C63" s="1877"/>
      <c r="D63" s="1877" t="s">
        <v>1870</v>
      </c>
      <c r="E63" s="107" t="s">
        <v>1871</v>
      </c>
      <c r="F63" s="1016"/>
      <c r="G63" s="1016"/>
      <c r="H63" s="2241"/>
      <c r="I63" s="2188"/>
      <c r="J63" s="1838"/>
      <c r="K63" s="1838"/>
      <c r="L63" s="1838"/>
      <c r="M63" s="1838"/>
      <c r="N63" s="1838"/>
      <c r="O63" s="1838"/>
      <c r="P63" s="1838"/>
    </row>
    <row r="64" spans="1:16" ht="12.75">
      <c r="A64" s="108">
        <v>1</v>
      </c>
      <c r="B64" s="109" t="s">
        <v>1872</v>
      </c>
      <c r="C64" s="110">
        <f>ROUND((C65+C66)/(1+'数据-取费表'!F30),0)</f>
        <v>0</v>
      </c>
      <c r="D64" s="111"/>
      <c r="E64" s="112"/>
      <c r="F64" s="1016"/>
      <c r="G64" s="1016"/>
      <c r="H64" s="2241"/>
      <c r="I64" s="2188"/>
      <c r="J64" s="2885" t="s">
        <v>1873</v>
      </c>
      <c r="K64" s="2266" t="s">
        <v>1874</v>
      </c>
      <c r="L64" s="1837">
        <f>IF(M50&gt;10000,M50*0.5%,IF(AND(M50&gt;1000,M50&lt;=10000),M50*1%,IF(AND(M50&gt;100,M50&lt;=1000),M50*3%,IF(AND(M50&gt;10,M50&lt;=100),M50*5%,M50*8%))))</f>
        <v>0</v>
      </c>
      <c r="M64" s="14">
        <f>ROUND(L64,1)</f>
        <v>0</v>
      </c>
      <c r="N64" s="1838"/>
      <c r="O64" s="1838"/>
      <c r="P64" s="1838"/>
    </row>
    <row r="65" spans="1:35" ht="12.75">
      <c r="A65" s="113" t="s">
        <v>71</v>
      </c>
      <c r="B65" s="114" t="s">
        <v>1875</v>
      </c>
      <c r="C65" s="115">
        <f>D46</f>
        <v>0</v>
      </c>
      <c r="D65" s="116" t="s">
        <v>41</v>
      </c>
      <c r="E65" s="117"/>
      <c r="F65" s="1016"/>
      <c r="G65" s="1016"/>
      <c r="H65" s="2241"/>
      <c r="I65" s="2188"/>
      <c r="J65" s="2885"/>
      <c r="K65" s="2266" t="s">
        <v>1876</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1877</v>
      </c>
      <c r="O65" s="1838"/>
      <c r="P65" s="1838"/>
    </row>
    <row r="66" spans="1:35" ht="12.75">
      <c r="A66" s="113" t="s">
        <v>72</v>
      </c>
      <c r="B66" s="114" t="s">
        <v>1878</v>
      </c>
      <c r="C66" s="118"/>
      <c r="D66" s="116"/>
      <c r="E66" s="117"/>
      <c r="F66" s="1016"/>
      <c r="G66" s="1016"/>
      <c r="H66" s="2241"/>
      <c r="I66" s="2188"/>
      <c r="J66" s="2885"/>
      <c r="K66" s="2266" t="s">
        <v>1879</v>
      </c>
      <c r="L66" s="1837" t="b">
        <f>IF(M50&gt;1000,M50*0.1%,IF(AND(M50&gt;500,M50&lt;=1000),M50*0.5%,IF(AND(M50&gt;50,M50&lt;=500),M50*1%,IF(AND(M50&gt;1,M50&lt;=50),M50*1.5%))))</f>
        <v>0</v>
      </c>
      <c r="M66" s="14">
        <f t="shared" si="2"/>
        <v>0</v>
      </c>
      <c r="N66" s="1838" t="s">
        <v>1877</v>
      </c>
      <c r="O66" s="1838"/>
      <c r="P66" s="1838"/>
    </row>
    <row r="67" spans="1:35" ht="12.75">
      <c r="A67" s="119" t="s">
        <v>47</v>
      </c>
      <c r="B67" s="120" t="s">
        <v>1880</v>
      </c>
      <c r="C67" s="121"/>
      <c r="D67" s="122" t="s">
        <v>41</v>
      </c>
      <c r="E67" s="1854" t="s">
        <v>1881</v>
      </c>
      <c r="F67" s="1016"/>
      <c r="G67" s="1016"/>
      <c r="H67" s="2241"/>
      <c r="I67" s="2188"/>
      <c r="J67" s="2885"/>
      <c r="K67" s="2266" t="s">
        <v>1882</v>
      </c>
      <c r="L67" s="1837">
        <f>M50*0.5%</f>
        <v>0</v>
      </c>
      <c r="M67" s="14">
        <f>IF(L67&gt;0.5,0.5,ROUND(L67,0))</f>
        <v>0</v>
      </c>
      <c r="N67" s="1838" t="s">
        <v>1883</v>
      </c>
      <c r="O67" s="1838"/>
      <c r="P67" s="1838"/>
    </row>
    <row r="68" spans="1:35" ht="12.75">
      <c r="A68" s="119" t="s">
        <v>42</v>
      </c>
      <c r="B68" s="120" t="s">
        <v>1884</v>
      </c>
      <c r="C68" s="123">
        <f>C64-C67</f>
        <v>0</v>
      </c>
      <c r="D68" s="116" t="s">
        <v>41</v>
      </c>
      <c r="E68" s="117"/>
      <c r="F68" s="1016"/>
      <c r="G68" s="1016"/>
      <c r="H68" s="2241"/>
      <c r="I68" s="2188"/>
      <c r="J68" s="2885"/>
      <c r="K68" s="2266" t="s">
        <v>1885</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4" t="s">
        <v>46</v>
      </c>
      <c r="B69" s="125" t="s">
        <v>1886</v>
      </c>
      <c r="C69" s="126">
        <f>IF(C68&lt;=0,0,ROUND(C68*D69,0))</f>
        <v>0</v>
      </c>
      <c r="D69" s="127">
        <f>'数据-取费表'!E29</f>
        <v>5.5000000000000007E-2</v>
      </c>
      <c r="E69" s="128"/>
      <c r="F69" s="1016"/>
      <c r="G69" s="1016"/>
      <c r="H69" s="2241"/>
      <c r="I69" s="2188"/>
      <c r="J69" s="2885"/>
      <c r="K69" s="2266" t="s">
        <v>1887</v>
      </c>
      <c r="L69" s="1837">
        <f>IF(M50&gt;10000,M50*0.5%,IF(AND(M50&gt;5000,M50&lt;=10000),M50*1%,IF(AND(M50&gt;1000,M50&lt;=5000),M50*2%,IF(AND(M50&gt;200,M50&lt;=1000),M50*3%,M50*5%))))</f>
        <v>0</v>
      </c>
      <c r="M69" s="14">
        <f>ROUND(L69,1)</f>
        <v>0</v>
      </c>
      <c r="N69" s="1838"/>
      <c r="O69" s="1838"/>
      <c r="P69" s="1838"/>
    </row>
    <row r="70" spans="1:35" s="2215" customFormat="1" ht="7.5" customHeight="1">
      <c r="A70" s="2267"/>
      <c r="B70" s="2268"/>
      <c r="C70" s="2269"/>
      <c r="D70" s="2270"/>
      <c r="E70" s="2271"/>
      <c r="F70" s="1016"/>
      <c r="G70" s="1016"/>
      <c r="H70" s="2241"/>
      <c r="I70" s="2188"/>
      <c r="J70" s="2885"/>
      <c r="K70" s="2266" t="s">
        <v>1888</v>
      </c>
      <c r="L70" s="2272"/>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4" customFormat="1" ht="15" thickBot="1">
      <c r="A71" s="2906" t="s">
        <v>1889</v>
      </c>
      <c r="B71" s="2907"/>
      <c r="C71" s="2907"/>
      <c r="D71" s="2907"/>
      <c r="E71" s="2907"/>
      <c r="F71" s="2907"/>
      <c r="G71" s="2907"/>
      <c r="H71" s="2907"/>
      <c r="I71" s="2273"/>
      <c r="J71" s="1280"/>
      <c r="K71" s="1280"/>
      <c r="L71" s="1280"/>
      <c r="M71" s="1280"/>
      <c r="N71" s="1280"/>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4.25">
      <c r="A72" s="2904" t="s">
        <v>1869</v>
      </c>
      <c r="B72" s="2905"/>
      <c r="C72" s="1877"/>
      <c r="D72" s="1877" t="s">
        <v>1870</v>
      </c>
      <c r="E72" s="129" t="s">
        <v>1871</v>
      </c>
      <c r="F72" s="130"/>
      <c r="G72" s="130"/>
      <c r="H72" s="131"/>
      <c r="I72" s="2276"/>
      <c r="J72" s="1280"/>
      <c r="K72" s="1280"/>
      <c r="L72" s="1280"/>
      <c r="M72" s="1280"/>
      <c r="N72" s="1280"/>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4.25">
      <c r="A73" s="132">
        <v>1</v>
      </c>
      <c r="B73" s="120" t="s">
        <v>1890</v>
      </c>
      <c r="C73" s="123">
        <f>ROUND(D46/(1+'数据-取费表'!F30),0)</f>
        <v>0</v>
      </c>
      <c r="D73" s="116" t="s">
        <v>41</v>
      </c>
      <c r="E73" s="1880"/>
      <c r="F73" s="1881"/>
      <c r="G73" s="1881"/>
      <c r="H73" s="133"/>
      <c r="I73" s="2276"/>
      <c r="J73" s="1280"/>
      <c r="K73" s="1280"/>
      <c r="L73" s="1280"/>
      <c r="M73" s="1280"/>
      <c r="N73" s="1280"/>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14.25">
      <c r="A74" s="134">
        <v>2</v>
      </c>
      <c r="B74" s="88" t="s">
        <v>1892</v>
      </c>
      <c r="C74" s="123">
        <f>C75+C79</f>
        <v>0</v>
      </c>
      <c r="D74" s="116" t="s">
        <v>41</v>
      </c>
      <c r="E74" s="1880"/>
      <c r="F74" s="1881"/>
      <c r="G74" s="1881"/>
      <c r="H74" s="133"/>
      <c r="I74" s="2276"/>
      <c r="J74" s="1280"/>
      <c r="K74" s="1280"/>
      <c r="L74" s="1280"/>
      <c r="M74" s="1280"/>
      <c r="N74" s="1280"/>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14.25">
      <c r="A75" s="135" t="s">
        <v>73</v>
      </c>
      <c r="B75" s="114" t="s">
        <v>1893</v>
      </c>
      <c r="C75" s="116">
        <f>ROUND(IF(G78="2016年5月1日后购买",C76/(1+'数据-取费表'!F30)+C77+C78,C76+C77+C78),0)</f>
        <v>0</v>
      </c>
      <c r="D75" s="116" t="s">
        <v>41</v>
      </c>
      <c r="E75" s="1880"/>
      <c r="F75" s="1881"/>
      <c r="G75" s="1881"/>
      <c r="H75" s="133"/>
      <c r="I75" s="2276"/>
      <c r="J75" s="1280"/>
      <c r="K75" s="1280"/>
      <c r="L75" s="1280"/>
      <c r="M75" s="1280"/>
      <c r="N75" s="1280"/>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14.25">
      <c r="A76" s="135" t="s">
        <v>74</v>
      </c>
      <c r="B76" s="114" t="s">
        <v>1894</v>
      </c>
      <c r="C76" s="136"/>
      <c r="D76" s="116" t="s">
        <v>41</v>
      </c>
      <c r="E76" s="137" t="s">
        <v>1895</v>
      </c>
      <c r="F76" s="2277" t="s">
        <v>1896</v>
      </c>
      <c r="G76" s="137" t="s">
        <v>1897</v>
      </c>
      <c r="H76" s="138"/>
      <c r="I76" s="9"/>
      <c r="J76" s="1280"/>
      <c r="K76" s="1280"/>
      <c r="L76" s="1280"/>
      <c r="M76" s="1280"/>
      <c r="N76" s="1280"/>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75</v>
      </c>
      <c r="B77" s="139" t="s">
        <v>1898</v>
      </c>
      <c r="C77" s="116">
        <f>IF(F76="购房发票",ROUND(C76*H76*D77,0),0)</f>
        <v>0</v>
      </c>
      <c r="D77" s="140">
        <v>0.05</v>
      </c>
      <c r="E77" s="2942" t="s">
        <v>1899</v>
      </c>
      <c r="F77" s="2943"/>
      <c r="G77" s="2943"/>
      <c r="H77" s="2944"/>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8" t="s">
        <v>1902</v>
      </c>
      <c r="H78" s="1882" t="str">
        <f>IF(G78="个人买卖住房","免征印花税"," ")</f>
        <v xml:space="preserve"> </v>
      </c>
      <c r="I78" s="2276"/>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24.75" customHeight="1">
      <c r="A79" s="135" t="s">
        <v>77</v>
      </c>
      <c r="B79" s="114" t="s">
        <v>1903</v>
      </c>
      <c r="C79" s="143">
        <f>ROUND(D46*D79/(1+'数据-取费表'!F30),0)</f>
        <v>0</v>
      </c>
      <c r="D79" s="144">
        <f>'数据-取费表'!E31</f>
        <v>5.000000000000001E-3</v>
      </c>
      <c r="E79" s="2873" t="s">
        <v>1904</v>
      </c>
      <c r="F79" s="2874"/>
      <c r="G79" s="2874"/>
      <c r="H79" s="2894"/>
      <c r="I79" s="2279"/>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14.25">
      <c r="A80" s="145" t="s">
        <v>42</v>
      </c>
      <c r="B80" s="120" t="s">
        <v>1905</v>
      </c>
      <c r="C80" s="123">
        <f>C73-C74</f>
        <v>0</v>
      </c>
      <c r="D80" s="116" t="s">
        <v>41</v>
      </c>
      <c r="E80" s="1880"/>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14.25">
      <c r="A81" s="145" t="s">
        <v>43</v>
      </c>
      <c r="B81" s="120" t="s">
        <v>1906</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15" thickBot="1">
      <c r="A82" s="147" t="s">
        <v>44</v>
      </c>
      <c r="B82" s="125" t="s">
        <v>1907</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6"/>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5" thickBot="1">
      <c r="A84" s="2906" t="s">
        <v>1908</v>
      </c>
      <c r="B84" s="2907"/>
      <c r="C84" s="2907"/>
      <c r="D84" s="2907"/>
      <c r="E84" s="2907"/>
      <c r="F84" s="2907"/>
      <c r="G84" s="2907"/>
      <c r="H84" s="2907"/>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14.25">
      <c r="A85" s="2904" t="s">
        <v>1869</v>
      </c>
      <c r="B85" s="2905"/>
      <c r="C85" s="1877"/>
      <c r="D85" s="1877" t="s">
        <v>1870</v>
      </c>
      <c r="E85" s="129" t="s">
        <v>1871</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4.25">
      <c r="A86" s="132">
        <v>1</v>
      </c>
      <c r="B86" s="120" t="s">
        <v>1890</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4.25">
      <c r="A87" s="134">
        <v>2</v>
      </c>
      <c r="B87" s="88" t="s">
        <v>1892</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4.25">
      <c r="A88" s="135" t="s">
        <v>73</v>
      </c>
      <c r="B88" s="114" t="s">
        <v>1909</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4.25">
      <c r="A89" s="135" t="s">
        <v>74</v>
      </c>
      <c r="B89" s="114" t="s">
        <v>1910</v>
      </c>
      <c r="C89" s="156"/>
      <c r="D89" s="144"/>
      <c r="E89" s="157" t="s">
        <v>1911</v>
      </c>
      <c r="F89" s="1874"/>
      <c r="G89" s="158" t="s">
        <v>1912</v>
      </c>
      <c r="H89" s="2280"/>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4.25">
      <c r="A90" s="135" t="s">
        <v>75</v>
      </c>
      <c r="B90" s="114" t="s">
        <v>1900</v>
      </c>
      <c r="C90" s="143">
        <f>ROUND(C89*D90,0)</f>
        <v>0</v>
      </c>
      <c r="D90" s="144">
        <f>'数据-取费表'!E36+'数据-取费表'!E37</f>
        <v>3.0499999999999999E-2</v>
      </c>
      <c r="E90" s="157" t="s">
        <v>1913</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14.25">
      <c r="A91" s="135" t="s">
        <v>77</v>
      </c>
      <c r="B91" s="114" t="s">
        <v>1914</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30.75" customHeight="1">
      <c r="A92" s="135" t="s">
        <v>78</v>
      </c>
      <c r="B92" s="114" t="s">
        <v>1915</v>
      </c>
      <c r="C92" s="143">
        <f>IF(H92="——",成本法!C33,I92)</f>
        <v>0</v>
      </c>
      <c r="D92" s="144"/>
      <c r="E92" s="2873" t="s">
        <v>1916</v>
      </c>
      <c r="F92" s="2874"/>
      <c r="G92" s="2874"/>
      <c r="H92" s="2281" t="s">
        <v>1917</v>
      </c>
      <c r="I92" s="2282"/>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79</v>
      </c>
      <c r="B93" s="114" t="s">
        <v>1918</v>
      </c>
      <c r="C93" s="143">
        <f>ROUND((C88+C91+C92)*D93,0)</f>
        <v>0</v>
      </c>
      <c r="D93" s="144">
        <v>0.1</v>
      </c>
      <c r="E93" s="2873" t="s">
        <v>1919</v>
      </c>
      <c r="F93" s="2874"/>
      <c r="G93" s="2874"/>
      <c r="H93" s="2894"/>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80</v>
      </c>
      <c r="B94" s="114" t="s">
        <v>1903</v>
      </c>
      <c r="C94" s="143">
        <f>ROUND(D46*D94/(1+'数据-取费表'!F30),0)</f>
        <v>0</v>
      </c>
      <c r="D94" s="144">
        <f>'数据-取费表'!E31</f>
        <v>5.000000000000001E-3</v>
      </c>
      <c r="E94" s="2873" t="s">
        <v>1904</v>
      </c>
      <c r="F94" s="2874"/>
      <c r="G94" s="2874"/>
      <c r="H94" s="2894"/>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25.5" customHeight="1">
      <c r="A95" s="135" t="s">
        <v>81</v>
      </c>
      <c r="B95" s="114" t="s">
        <v>1920</v>
      </c>
      <c r="C95" s="143">
        <f>ROUND((C88+C91+C92)*D95,0)</f>
        <v>0</v>
      </c>
      <c r="D95" s="144">
        <v>0.2</v>
      </c>
      <c r="E95" s="2873" t="s">
        <v>1921</v>
      </c>
      <c r="F95" s="2874"/>
      <c r="G95" s="2874"/>
      <c r="H95" s="2894"/>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14.25">
      <c r="A96" s="145" t="s">
        <v>42</v>
      </c>
      <c r="B96" s="120" t="s">
        <v>1905</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14.25">
      <c r="A97" s="145" t="s">
        <v>43</v>
      </c>
      <c r="B97" s="120" t="s">
        <v>1906</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s="2274" customFormat="1" ht="15" thickBot="1">
      <c r="A98" s="147" t="s">
        <v>44</v>
      </c>
      <c r="B98" s="125" t="s">
        <v>1907</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5"/>
      <c r="AB98" s="2275"/>
      <c r="AC98" s="2275"/>
      <c r="AD98" s="2275"/>
      <c r="AE98" s="2275"/>
      <c r="AF98" s="2275"/>
      <c r="AG98" s="2275"/>
      <c r="AH98" s="2275"/>
      <c r="AI98" s="2275"/>
    </row>
    <row r="99" spans="1:35" ht="21.75" customHeight="1" thickBot="1">
      <c r="A99" s="2244" t="s">
        <v>1922</v>
      </c>
      <c r="B99" s="2188"/>
      <c r="C99" s="2188"/>
      <c r="D99" s="2188"/>
      <c r="E99" s="1016"/>
      <c r="F99" s="1016"/>
      <c r="G99" s="1016"/>
      <c r="H99" s="2241"/>
      <c r="I99" s="2188"/>
    </row>
    <row r="100" spans="1:35" ht="15.75">
      <c r="A100" s="2891" t="s">
        <v>1923</v>
      </c>
      <c r="B100" s="2892"/>
      <c r="C100" s="2892"/>
      <c r="D100" s="2893"/>
      <c r="E100" s="2188"/>
      <c r="F100" s="2901" t="s">
        <v>1924</v>
      </c>
      <c r="G100" s="2902"/>
      <c r="H100" s="2902"/>
      <c r="I100" s="2903"/>
    </row>
    <row r="101" spans="1:35" ht="15.75">
      <c r="A101" s="2908" t="s">
        <v>1925</v>
      </c>
      <c r="B101" s="2909"/>
      <c r="C101" s="718">
        <f>C4</f>
        <v>0</v>
      </c>
      <c r="D101" s="719">
        <f>D4</f>
        <v>0</v>
      </c>
      <c r="E101" s="2188"/>
      <c r="F101" s="2910" t="s">
        <v>1926</v>
      </c>
      <c r="G101" s="2912"/>
      <c r="H101" s="2993" t="s">
        <v>1927</v>
      </c>
      <c r="I101" s="2911"/>
    </row>
    <row r="102" spans="1:35" ht="15.75">
      <c r="A102" s="2994" t="s">
        <v>1987</v>
      </c>
      <c r="B102" s="2283" t="str">
        <f>IF(H19="元","总价（元）","总价（万元）")</f>
        <v>总价（元）</v>
      </c>
      <c r="C102" s="718" t="e">
        <f ca="1">C19</f>
        <v>#REF!</v>
      </c>
      <c r="D102" s="719" t="e">
        <f ca="1">D19</f>
        <v>#REF!</v>
      </c>
      <c r="E102" s="2188"/>
      <c r="F102" s="2995"/>
      <c r="G102" s="2996"/>
      <c r="H102" s="2971">
        <f>典型户型修正!B25</f>
        <v>0</v>
      </c>
      <c r="I102" s="2911"/>
    </row>
    <row r="103" spans="1:35" ht="15.75">
      <c r="A103" s="2994"/>
      <c r="B103" s="2283" t="s">
        <v>1929</v>
      </c>
      <c r="C103" s="720" t="e">
        <f ca="1">C20</f>
        <v>#REF!</v>
      </c>
      <c r="D103" s="721" t="e">
        <f ca="1">D20</f>
        <v>#REF!</v>
      </c>
      <c r="E103" s="2188"/>
      <c r="F103" s="2985" t="s">
        <v>1930</v>
      </c>
      <c r="G103" s="2986"/>
      <c r="H103" s="2284" t="str">
        <f>C109</f>
        <v>总价（元）</v>
      </c>
      <c r="I103" s="1855">
        <f>H124</f>
        <v>0</v>
      </c>
    </row>
    <row r="104" spans="1:35" ht="15">
      <c r="A104" s="2994" t="s">
        <v>1988</v>
      </c>
      <c r="B104" s="2285" t="str">
        <f>B102</f>
        <v>总价（元）</v>
      </c>
      <c r="C104" s="1184" t="e">
        <f ca="1">ROUND(IF('数据-取费表'!B4="总价",G19,IF(H19="元",G20*'数据-取费表'!E5,G20*'数据-取费表'!E5/10000)),0)</f>
        <v>#REF!</v>
      </c>
      <c r="D104" s="723"/>
      <c r="E104" s="2188"/>
      <c r="F104" s="2985"/>
      <c r="G104" s="2986"/>
      <c r="H104" s="2284" t="s">
        <v>1929</v>
      </c>
      <c r="I104" s="1044" t="e">
        <f>I124</f>
        <v>#DIV/0!</v>
      </c>
    </row>
    <row r="105" spans="1:35" ht="15.75">
      <c r="A105" s="2994"/>
      <c r="B105" s="2283" t="s">
        <v>1929</v>
      </c>
      <c r="C105" s="1185" t="e">
        <f ca="1">ROUND(IF('数据-取费表'!B4="楼面单价",G20,IF(H19="元",G19/'数据-取费表'!E5,G19*10000/'数据-取费表'!E5)),0)</f>
        <v>#REF!</v>
      </c>
      <c r="D105" s="723"/>
      <c r="E105" s="2188"/>
      <c r="F105" s="2897"/>
      <c r="G105" s="2898"/>
      <c r="H105" s="2932"/>
      <c r="I105" s="2933"/>
    </row>
    <row r="106" spans="1:35" ht="15.75">
      <c r="A106" s="3001" t="s">
        <v>1989</v>
      </c>
      <c r="B106" s="2323" t="str">
        <f>B102</f>
        <v>总价（元）</v>
      </c>
      <c r="C106" s="722">
        <f>H124</f>
        <v>0</v>
      </c>
      <c r="D106" s="1183"/>
      <c r="E106" s="2188"/>
      <c r="F106" s="2936" t="s">
        <v>1933</v>
      </c>
      <c r="G106" s="2937"/>
      <c r="H106" s="2287" t="str">
        <f>C111</f>
        <v>总额（元）</v>
      </c>
      <c r="I106" s="1855">
        <f>SUMIF(I107:I109,"&lt;9E307")</f>
        <v>0</v>
      </c>
    </row>
    <row r="107" spans="1:35" ht="15.75" thickBot="1">
      <c r="A107" s="2931"/>
      <c r="B107" s="2286" t="s">
        <v>1929</v>
      </c>
      <c r="C107" s="724" t="e">
        <f>I124</f>
        <v>#DIV/0!</v>
      </c>
      <c r="D107" s="725"/>
      <c r="E107" s="2188"/>
      <c r="F107" s="2899" t="s">
        <v>1935</v>
      </c>
      <c r="G107" s="2900"/>
      <c r="H107" s="2287" t="str">
        <f>C112</f>
        <v>总额（元）</v>
      </c>
      <c r="I107" s="1044">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7" t="s">
        <v>1932</v>
      </c>
      <c r="B108" s="2998"/>
      <c r="C108" s="2998"/>
      <c r="D108" s="2999"/>
      <c r="E108" s="2188"/>
      <c r="F108" s="2899" t="s">
        <v>1936</v>
      </c>
      <c r="G108" s="2900"/>
      <c r="H108" s="2287" t="str">
        <f>C113</f>
        <v>总额（元）</v>
      </c>
      <c r="I108" s="1044">
        <f>C38</f>
        <v>0</v>
      </c>
      <c r="K108" s="2288"/>
    </row>
    <row r="109" spans="1:35" ht="15">
      <c r="A109" s="2938" t="s">
        <v>1990</v>
      </c>
      <c r="B109" s="2939"/>
      <c r="C109" s="2284" t="str">
        <f>B102</f>
        <v>总价（元）</v>
      </c>
      <c r="D109" s="1045">
        <f>H124</f>
        <v>0</v>
      </c>
      <c r="E109" s="2188"/>
      <c r="F109" s="2899" t="s">
        <v>1938</v>
      </c>
      <c r="G109" s="2900"/>
      <c r="H109" s="2287" t="str">
        <f>C114</f>
        <v>总额（元）</v>
      </c>
      <c r="I109" s="1044">
        <f>C39</f>
        <v>0</v>
      </c>
    </row>
    <row r="110" spans="1:35" ht="15.75">
      <c r="A110" s="2938"/>
      <c r="B110" s="2939"/>
      <c r="C110" s="2284" t="s">
        <v>1929</v>
      </c>
      <c r="D110" s="1046" t="e">
        <f>I124</f>
        <v>#DIV/0!</v>
      </c>
      <c r="E110" s="2188"/>
      <c r="F110" s="2897"/>
      <c r="G110" s="2898"/>
      <c r="H110" s="2934"/>
      <c r="I110" s="2935"/>
    </row>
    <row r="111" spans="1:35" ht="28.5" customHeight="1">
      <c r="A111" s="2981" t="s">
        <v>1937</v>
      </c>
      <c r="B111" s="2982"/>
      <c r="C111" s="2287" t="str">
        <f>IF(H19="元","总额（元）","总额（万元）")</f>
        <v>总额（元）</v>
      </c>
      <c r="D111" s="1045">
        <f>IF(D37="正常操作",I107+I108+I109,I108+I109)</f>
        <v>0</v>
      </c>
      <c r="E111" s="2188"/>
      <c r="F111" s="2879" t="str">
        <f>IF(项目基本情况!F5="已注销","——","3.房地产抵押价值")</f>
        <v>——</v>
      </c>
      <c r="G111" s="2880"/>
      <c r="H111" s="2324" t="str">
        <f>C115</f>
        <v>总价（元）</v>
      </c>
      <c r="I111" s="1855" t="str">
        <f>IF(F111="——","——",I103-I106)</f>
        <v>——</v>
      </c>
    </row>
    <row r="112" spans="1:35" ht="15">
      <c r="A112" s="2899" t="s">
        <v>1935</v>
      </c>
      <c r="B112" s="2900"/>
      <c r="C112" s="2287" t="str">
        <f>C111</f>
        <v>总额（元）</v>
      </c>
      <c r="D112" s="636">
        <f>IF(D37="同一抵押权人同一抵押物续贷",C37&amp;"（未扣减，详见特别提示）",C37)</f>
        <v>0</v>
      </c>
      <c r="E112" s="2188"/>
      <c r="F112" s="2881"/>
      <c r="G112" s="2882"/>
      <c r="H112" s="2284" t="s">
        <v>1929</v>
      </c>
      <c r="I112" s="2290" t="e">
        <f>D116</f>
        <v>#VALUE!</v>
      </c>
    </row>
    <row r="113" spans="1:26" ht="15.75">
      <c r="A113" s="2899" t="s">
        <v>1936</v>
      </c>
      <c r="B113" s="2900"/>
      <c r="C113" s="2287" t="str">
        <f>C111</f>
        <v>总额（元）</v>
      </c>
      <c r="D113" s="636">
        <f>C38</f>
        <v>0</v>
      </c>
      <c r="E113" s="2188"/>
      <c r="F113" s="2879" t="str">
        <f>IF(项目基本情况!F5="已注销及未注销","4.抵押担保权已注销时的房地产抵押价值",IF(项目基本情况!F5="已注销","3.抵押担保权已注销时的房地产抵押价值","——"))</f>
        <v>3.抵押担保权已注销时的房地产抵押价值</v>
      </c>
      <c r="G113" s="2880"/>
      <c r="H113" s="2324" t="str">
        <f>C117</f>
        <v>总价（元）</v>
      </c>
      <c r="I113" s="1855">
        <f>IF(F113="——","——",I103-I108-I109)</f>
        <v>0</v>
      </c>
    </row>
    <row r="114" spans="1:26" ht="15">
      <c r="A114" s="2899" t="s">
        <v>1938</v>
      </c>
      <c r="B114" s="2900"/>
      <c r="C114" s="2287" t="str">
        <f>C111</f>
        <v>总额（元）</v>
      </c>
      <c r="D114" s="636">
        <f>C39</f>
        <v>0</v>
      </c>
      <c r="E114" s="2188"/>
      <c r="F114" s="2881"/>
      <c r="G114" s="2882"/>
      <c r="H114" s="2284" t="s">
        <v>1929</v>
      </c>
      <c r="I114" s="1044" t="e">
        <f>D118</f>
        <v>#DIV/0!</v>
      </c>
    </row>
    <row r="115" spans="1:26" ht="15.75">
      <c r="A115" s="2938" t="str">
        <f>IF(项目基本情况!F5="已注销","——","3.房地产抵押价值")</f>
        <v>——</v>
      </c>
      <c r="B115" s="2939"/>
      <c r="C115" s="2284" t="str">
        <f>B102</f>
        <v>总价（元）</v>
      </c>
      <c r="D115" s="1045" t="str">
        <f>IF(A115="——","——",D109-D111)</f>
        <v>——</v>
      </c>
      <c r="E115" s="2188"/>
      <c r="F115" s="2879" t="str">
        <f>IF(项目基本情况!G5="抵押净值",IF(OR(项目基本情况!F5="已注销",项目基本情况!F5="房地产抵押价值"),"4.抵押净值","5.抵押净值"),"——")</f>
        <v>——</v>
      </c>
      <c r="G115" s="2880"/>
      <c r="H115" s="2284" t="str">
        <f>C119</f>
        <v>总价（元）</v>
      </c>
      <c r="I115" s="1855" t="str">
        <f>IF(F115="——","——",N60)</f>
        <v>——</v>
      </c>
    </row>
    <row r="116" spans="1:26" ht="15.75" thickBot="1">
      <c r="A116" s="2938"/>
      <c r="B116" s="2939"/>
      <c r="C116" s="2284" t="s">
        <v>1991</v>
      </c>
      <c r="D116" s="1046" t="e">
        <f>ROUND(IF(D115=D109,D110,IF(H19="元",D115/B124,D115*10000/B124)),0)</f>
        <v>#VALUE!</v>
      </c>
      <c r="E116" s="2188"/>
      <c r="F116" s="2972"/>
      <c r="G116" s="2973"/>
      <c r="H116" s="2292" t="s">
        <v>1991</v>
      </c>
      <c r="I116" s="1857" t="str">
        <f>D120</f>
        <v>——</v>
      </c>
    </row>
    <row r="117" spans="1:26" ht="15.75">
      <c r="A117" s="2938" t="str">
        <f>IF(项目基本情况!F5="已注销及未注销","4.抵押担保权已注销时的房地产抵押价值",IF(项目基本情况!F5="已注销","3.抵押担保权已注销时的房地产抵押价值","——"))</f>
        <v>3.抵押担保权已注销时的房地产抵押价值</v>
      </c>
      <c r="B117" s="2939"/>
      <c r="C117" s="2284" t="str">
        <f>B102</f>
        <v>总价（元）</v>
      </c>
      <c r="D117" s="1045">
        <f>IF(A117="——","——",D109-D113-D114)</f>
        <v>0</v>
      </c>
      <c r="E117" s="2188"/>
      <c r="F117" s="2875"/>
      <c r="G117" s="2875"/>
      <c r="H117" s="2917"/>
      <c r="I117" s="2917"/>
      <c r="N117" s="54"/>
      <c r="O117" s="54"/>
    </row>
    <row r="118" spans="1:26" s="1838" customFormat="1" ht="15">
      <c r="A118" s="2938"/>
      <c r="B118" s="2939"/>
      <c r="C118" s="2284" t="s">
        <v>1991</v>
      </c>
      <c r="D118" s="1046" t="e">
        <f>IF(A117="——","——",IF(H19="元",ROUND(D117/B124,0),ROUND(D117*10000/B124,0)))</f>
        <v>#DIV/0!</v>
      </c>
      <c r="E118" s="2188"/>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6"/>
      <c r="K118" s="796"/>
      <c r="L118" s="796"/>
      <c r="M118" s="796"/>
      <c r="N118" s="54"/>
      <c r="O118" s="54"/>
      <c r="P118" s="796"/>
      <c r="Q118" s="796"/>
      <c r="R118" s="796"/>
      <c r="S118" s="796"/>
      <c r="T118" s="796"/>
      <c r="U118" s="796"/>
      <c r="V118" s="796"/>
      <c r="W118" s="796"/>
      <c r="X118" s="796"/>
      <c r="Y118" s="796"/>
      <c r="Z118" s="796"/>
    </row>
    <row r="119" spans="1:26" s="1838" customFormat="1" ht="15">
      <c r="A119" s="2938" t="str">
        <f>IF(项目基本情况!G5="抵押净值",IF(OR(项目基本情况!F5="已注销",项目基本情况!F5="房地产抵押价值"),"4.抵押净值","5.抵押净值"),"——")</f>
        <v>——</v>
      </c>
      <c r="B119" s="2939"/>
      <c r="C119" s="2284" t="str">
        <f>B102</f>
        <v>总价（元）</v>
      </c>
      <c r="D119" s="1045" t="str">
        <f>IF(A119="——","——",N60)</f>
        <v>——</v>
      </c>
      <c r="E119" s="2188"/>
      <c r="F119" s="2325"/>
      <c r="G119" s="2325"/>
      <c r="H119" s="2325"/>
      <c r="I119" s="2325"/>
      <c r="J119" s="796"/>
      <c r="K119" s="796"/>
      <c r="L119" s="796"/>
      <c r="M119" s="796"/>
      <c r="N119" s="54"/>
      <c r="O119" s="54"/>
      <c r="P119" s="796"/>
      <c r="Q119" s="796"/>
      <c r="R119" s="796"/>
      <c r="S119" s="796"/>
      <c r="T119" s="796"/>
      <c r="U119" s="796"/>
      <c r="V119" s="796"/>
      <c r="W119" s="796"/>
      <c r="X119" s="796"/>
      <c r="Y119" s="796"/>
      <c r="Z119" s="796"/>
    </row>
    <row r="120" spans="1:26" s="1838" customFormat="1" ht="15.75" thickBot="1">
      <c r="A120" s="2979"/>
      <c r="B120" s="2980"/>
      <c r="C120" s="2292" t="s">
        <v>1991</v>
      </c>
      <c r="D120" s="1047" t="str">
        <f>IF(D119=D109,D110,IF(A119="——","——",N62))</f>
        <v>——</v>
      </c>
      <c r="E120" s="2188"/>
      <c r="F120" s="2325"/>
      <c r="G120" s="2325"/>
      <c r="H120" s="2325"/>
      <c r="I120" s="2325"/>
      <c r="J120" s="796"/>
      <c r="K120" s="796"/>
      <c r="L120" s="796"/>
      <c r="M120" s="796"/>
      <c r="N120" s="54"/>
      <c r="O120" s="54"/>
      <c r="P120" s="796"/>
      <c r="Q120" s="796"/>
      <c r="R120" s="796"/>
      <c r="S120" s="796"/>
      <c r="T120" s="796"/>
      <c r="U120" s="796"/>
      <c r="V120" s="796"/>
      <c r="W120" s="796"/>
      <c r="X120" s="796"/>
      <c r="Y120" s="796"/>
      <c r="Z120" s="796"/>
    </row>
    <row r="121" spans="1:26" s="1838" customFormat="1" ht="15">
      <c r="A121" s="2918" t="s">
        <v>1992</v>
      </c>
      <c r="B121" s="2919"/>
      <c r="C121" s="2919"/>
      <c r="D121" s="2919"/>
      <c r="E121" s="2919"/>
      <c r="F121" s="2919"/>
      <c r="G121" s="2919"/>
      <c r="H121" s="2919"/>
      <c r="I121" s="2919"/>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90" t="s">
        <v>1940</v>
      </c>
      <c r="B122" s="2888" t="s">
        <v>1993</v>
      </c>
      <c r="C122" s="2888" t="s">
        <v>1994</v>
      </c>
      <c r="D122" s="2895" t="s">
        <v>1943</v>
      </c>
      <c r="E122" s="2896"/>
      <c r="F122" s="2886" t="s">
        <v>1995</v>
      </c>
      <c r="G122" s="2886"/>
      <c r="H122" s="2886" t="s">
        <v>1944</v>
      </c>
      <c r="I122" s="2887"/>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90"/>
      <c r="B123" s="2889"/>
      <c r="C123" s="2889"/>
      <c r="D123" s="1879" t="s">
        <v>1945</v>
      </c>
      <c r="E123" s="1879" t="s">
        <v>1946</v>
      </c>
      <c r="F123" s="1879" t="s">
        <v>1945</v>
      </c>
      <c r="G123" s="1879" t="s">
        <v>1947</v>
      </c>
      <c r="H123" s="1879" t="s">
        <v>1945</v>
      </c>
      <c r="I123" s="636" t="s">
        <v>1947</v>
      </c>
      <c r="J123" s="796"/>
      <c r="K123" s="796"/>
      <c r="L123" s="796"/>
      <c r="M123" s="796"/>
      <c r="N123" s="796"/>
      <c r="O123" s="796"/>
      <c r="P123" s="796"/>
      <c r="Q123" s="796"/>
      <c r="R123" s="796"/>
      <c r="S123" s="796"/>
      <c r="T123" s="796"/>
      <c r="U123" s="796"/>
      <c r="V123" s="796"/>
      <c r="W123" s="796"/>
      <c r="X123" s="796"/>
      <c r="Y123" s="796"/>
      <c r="Z123" s="796"/>
    </row>
    <row r="124" spans="1:26" s="1838" customFormat="1" ht="71.25">
      <c r="A124" s="2174" t="str">
        <f>项目基本情况!I1</f>
        <v>北京市北京市昌平区小汤山镇橘郡花园水印长滩9-13号房地产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90" t="s">
        <v>1948</v>
      </c>
      <c r="B125" s="2886"/>
      <c r="C125" s="2886"/>
      <c r="D125" s="2922" t="str">
        <f>IF(H19="元",NUMBERSTRING(INT(D124),2)&amp;"元整",NUMBERSTRING(INT(D124*10000),2)&amp;"元整")</f>
        <v>零元整</v>
      </c>
      <c r="E125" s="2923"/>
      <c r="F125" s="2922" t="str">
        <f>IF(H19="元",NUMBERSTRING(INT(F124),2)&amp;"元整",NUMBERSTRING(INT(F124*10000),2)&amp;"元整")</f>
        <v>零元整</v>
      </c>
      <c r="G125" s="2923"/>
      <c r="H125" s="2922" t="str">
        <f>IF(H19="元",NUMBERSTRING(INT(H124),2)&amp;"元整",NUMBERSTRING(INT(H124*10000),2)&amp;"元整")</f>
        <v>零元整</v>
      </c>
      <c r="I125" s="2987"/>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24" t="str">
        <f>IF(项目基本情况!D5="房地产市场价值","——",MID(A111,3,LEN(A111)-2))</f>
        <v>估价师所知悉的法定优先受偿款</v>
      </c>
      <c r="B126" s="2925"/>
      <c r="C126" s="2926"/>
      <c r="D126" s="2915">
        <f>I106</f>
        <v>0</v>
      </c>
      <c r="E126" s="2925"/>
      <c r="F126" s="2925"/>
      <c r="G126" s="2925"/>
      <c r="H126" s="2925"/>
      <c r="I126" s="2974"/>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27" t="s">
        <v>1948</v>
      </c>
      <c r="B127" s="2928"/>
      <c r="C127" s="2929"/>
      <c r="D127" s="2975">
        <f>H110</f>
        <v>0</v>
      </c>
      <c r="E127" s="2976"/>
      <c r="F127" s="2976"/>
      <c r="G127" s="2976"/>
      <c r="H127" s="2976"/>
      <c r="I127" s="2977"/>
      <c r="J127" s="796"/>
      <c r="K127" s="796"/>
      <c r="L127" s="796"/>
      <c r="M127" s="796"/>
      <c r="N127" s="796"/>
      <c r="O127" s="796"/>
      <c r="P127" s="796"/>
      <c r="Q127" s="796"/>
      <c r="R127" s="796"/>
      <c r="S127" s="796"/>
      <c r="T127" s="796"/>
      <c r="U127" s="796"/>
      <c r="V127" s="796"/>
      <c r="W127" s="796"/>
      <c r="X127" s="796"/>
      <c r="Y127" s="796"/>
      <c r="Z127" s="796"/>
    </row>
    <row r="128" spans="1:26" s="1838" customFormat="1" ht="15">
      <c r="A128" s="2913" t="str">
        <f>IF(项目基本情况!D5="房地产市场价值","——",MID(A115,3,LEN(A115)-2))</f>
        <v/>
      </c>
      <c r="B128" s="2914"/>
      <c r="C128" s="2914"/>
      <c r="D128" s="2915" t="str">
        <f>I111</f>
        <v>——</v>
      </c>
      <c r="E128" s="2925"/>
      <c r="F128" s="2925"/>
      <c r="G128" s="2925"/>
      <c r="H128" s="2925"/>
      <c r="I128" s="2974"/>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90" t="s">
        <v>1948</v>
      </c>
      <c r="B129" s="2886"/>
      <c r="C129" s="2886"/>
      <c r="D129" s="2975" t="e">
        <f>I112</f>
        <v>#VALUE!</v>
      </c>
      <c r="E129" s="2976"/>
      <c r="F129" s="2976"/>
      <c r="G129" s="2976"/>
      <c r="H129" s="2976"/>
      <c r="I129" s="2977"/>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913" t="str">
        <f>IF(项目基本情况!D5="房地产市场价值","——",MID(A117,3,LEN(A117)-2))</f>
        <v>抵押担保权已注销时的房地产抵押价值</v>
      </c>
      <c r="B130" s="2914"/>
      <c r="C130" s="2914"/>
      <c r="D130" s="2870">
        <f>I113</f>
        <v>0</v>
      </c>
      <c r="E130" s="2871"/>
      <c r="F130" s="2871"/>
      <c r="G130" s="2871"/>
      <c r="H130" s="2871"/>
      <c r="I130" s="2872"/>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90" t="s">
        <v>1948</v>
      </c>
      <c r="B131" s="2886"/>
      <c r="C131" s="2970"/>
      <c r="D131" s="2916" t="e">
        <f>I114</f>
        <v>#DIV/0!</v>
      </c>
      <c r="E131" s="2916"/>
      <c r="F131" s="2916"/>
      <c r="G131" s="2916"/>
      <c r="H131" s="2916"/>
      <c r="I131" s="2916"/>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913" t="str">
        <f>IF(项目基本情况!D5="房地产市场价值","——",MID(F115,3,LEN(F115)-2))</f>
        <v/>
      </c>
      <c r="B132" s="2914"/>
      <c r="C132" s="2915"/>
      <c r="D132" s="2978" t="str">
        <f>I115</f>
        <v>——</v>
      </c>
      <c r="E132" s="2978"/>
      <c r="F132" s="2978"/>
      <c r="G132" s="2978"/>
      <c r="H132" s="2978"/>
      <c r="I132" s="2978"/>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983" t="s">
        <v>1948</v>
      </c>
      <c r="B133" s="2984"/>
      <c r="C133" s="2984"/>
      <c r="D133" s="2988">
        <f>H117</f>
        <v>0</v>
      </c>
      <c r="E133" s="2989"/>
      <c r="F133" s="2989"/>
      <c r="G133" s="2989"/>
      <c r="H133" s="2989"/>
      <c r="I133" s="2990"/>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968" t="str">
        <f>IF(B32="总价","（以上估价结果中楼面单价为总价除以建筑面积得出）","（以上估价结果中总价为楼面单价乘以建筑面积得出）")</f>
        <v>（以上估价结果中总价为楼面单价乘以建筑面积得出）</v>
      </c>
      <c r="B135" s="2968"/>
      <c r="C135" s="2968"/>
      <c r="D135" s="2968"/>
      <c r="E135" s="2968"/>
      <c r="F135" s="2968"/>
      <c r="G135" s="2968"/>
      <c r="H135" s="2968"/>
      <c r="I135" s="2968"/>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3" t="s">
        <v>1949</v>
      </c>
      <c r="B136" s="2294"/>
      <c r="C136" s="2295" t="s">
        <v>1950</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9">
        <v>3</v>
      </c>
      <c r="B139" s="2300"/>
      <c r="C139" s="2300"/>
      <c r="D139" s="2296"/>
      <c r="E139" s="2296"/>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6" t="s">
        <v>1951</v>
      </c>
      <c r="G142" s="2307"/>
      <c r="H142" s="2307"/>
      <c r="I142" s="2308" t="s">
        <v>1952</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9" t="s">
        <v>1953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7"/>
      <c r="C145" s="2307"/>
      <c r="D145" s="2307"/>
      <c r="E145" s="2307"/>
      <c r="F145" s="2307"/>
      <c r="G145" s="2307"/>
      <c r="H145" s="2307"/>
      <c r="I145" s="2308" t="s">
        <v>1954</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9" t="s">
        <v>1955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7"/>
      <c r="C148" s="2307"/>
      <c r="D148" s="2307"/>
      <c r="E148" s="2307"/>
      <c r="F148" s="2307"/>
      <c r="G148" s="2307"/>
      <c r="H148" s="2307"/>
      <c r="I148" s="2308" t="s">
        <v>1954</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d="3" sqref="A38:XFD1048576 J37:XFD37 A37:H37 A1:XFD3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1996</v>
      </c>
      <c r="B1" s="1315"/>
      <c r="C1" s="161"/>
      <c r="D1" s="161"/>
      <c r="E1" s="161"/>
      <c r="F1" s="161"/>
      <c r="G1" s="162"/>
    </row>
    <row r="2" spans="1:7" s="163" customFormat="1" ht="18" customHeight="1">
      <c r="A2" s="164" t="s">
        <v>1997</v>
      </c>
      <c r="B2" s="165">
        <f ca="1">IF(D2="——",IF(C2="元",C52,ROUND(C52/10000,0)),IF(C2="元",C52,ROUND(C52/10000,0))-E2)</f>
        <v>3071521</v>
      </c>
      <c r="C2" s="162" t="str">
        <f>'数据-取费表'!B3</f>
        <v>元</v>
      </c>
      <c r="D2" s="2326" t="s">
        <v>1247</v>
      </c>
      <c r="E2" s="1540" t="e">
        <f ca="1">SUMIF(INDIRECT("'"&amp;G2&amp;"'"&amp;"!A:A"),"承租人权益价值",INDIRECT("'"&amp;G2&amp;"'"&amp;"!c:c"))</f>
        <v>#REF!</v>
      </c>
      <c r="F2" s="2327" t="str">
        <f>C2</f>
        <v>元</v>
      </c>
      <c r="G2" s="1898"/>
    </row>
    <row r="3" spans="1:7" s="163" customFormat="1" ht="18" customHeight="1" thickBot="1">
      <c r="A3" s="166" t="s">
        <v>1998</v>
      </c>
      <c r="B3" s="167">
        <f ca="1">ROUND(C52/IF(B1="仅计算典型户型",'数据-取费表'!E5,'数据-取费表'!B5),0)</f>
        <v>8686</v>
      </c>
      <c r="C3" s="162" t="s">
        <v>1999</v>
      </c>
      <c r="D3" s="162"/>
      <c r="E3" s="162"/>
      <c r="F3" s="162"/>
      <c r="G3" s="162"/>
    </row>
    <row r="4" spans="1:7" s="171" customFormat="1" ht="15.75">
      <c r="A4" s="168" t="s">
        <v>2000</v>
      </c>
      <c r="B4" s="169"/>
      <c r="C4" s="169"/>
      <c r="D4" s="169"/>
      <c r="E4" s="169"/>
      <c r="F4" s="169"/>
      <c r="G4" s="170"/>
    </row>
    <row r="5" spans="1:7" s="174" customFormat="1" ht="13.5" customHeight="1">
      <c r="A5" s="203" t="s">
        <v>2001</v>
      </c>
      <c r="B5" s="172" t="s">
        <v>2002</v>
      </c>
      <c r="C5" s="194">
        <f>C6+C7+C8</f>
        <v>1030500</v>
      </c>
      <c r="D5" s="194" t="s">
        <v>2003</v>
      </c>
      <c r="E5" s="1526" t="s">
        <v>2004</v>
      </c>
      <c r="F5" s="1526" t="s">
        <v>2005</v>
      </c>
      <c r="G5" s="173"/>
    </row>
    <row r="6" spans="1:7" s="174" customFormat="1" ht="13.5" customHeight="1">
      <c r="A6" s="175" t="s">
        <v>2006</v>
      </c>
      <c r="B6" s="176" t="s">
        <v>2007</v>
      </c>
      <c r="C6" s="1525">
        <v>1000000</v>
      </c>
      <c r="D6" s="1527"/>
      <c r="E6" s="1528"/>
      <c r="F6" s="1528"/>
      <c r="G6" s="178"/>
    </row>
    <row r="7" spans="1:7" s="174" customFormat="1" ht="13.5" customHeight="1">
      <c r="A7" s="175" t="s">
        <v>2008</v>
      </c>
      <c r="B7" s="176" t="s">
        <v>2009</v>
      </c>
      <c r="C7" s="198">
        <f>ROUND(C6*F7,0)</f>
        <v>30500</v>
      </c>
      <c r="D7" s="198"/>
      <c r="E7" s="1528"/>
      <c r="F7" s="1529">
        <f>'数据-取费表'!E36+'数据-取费表'!E37</f>
        <v>3.0499999999999999E-2</v>
      </c>
      <c r="G7" s="178"/>
    </row>
    <row r="8" spans="1:7" s="179" customFormat="1">
      <c r="A8" s="175" t="s">
        <v>2010</v>
      </c>
      <c r="B8" s="176" t="s">
        <v>2011</v>
      </c>
      <c r="C8" s="198">
        <f>IF(G8="已包含在土地购买价格中","0",'数据-取费表'!E13)</f>
        <v>0</v>
      </c>
      <c r="D8" s="1530"/>
      <c r="E8" s="198"/>
      <c r="F8" s="1529"/>
      <c r="G8" s="2328"/>
    </row>
    <row r="9" spans="1:7" s="174" customFormat="1" ht="13.5" customHeight="1">
      <c r="A9" s="1298" t="s">
        <v>949</v>
      </c>
      <c r="B9" s="180" t="s">
        <v>2012</v>
      </c>
      <c r="C9" s="1531">
        <f>ROUND(D9*E9,0)</f>
        <v>70722</v>
      </c>
      <c r="D9" s="1532">
        <f>IF('数据-取费表'!B10="住宅",IF(B1="仅计算典型户型",'数据-取费表'!E5,'数据-取费表'!B5),0)</f>
        <v>353.61</v>
      </c>
      <c r="E9" s="1531">
        <f>'数据-取费表'!E11</f>
        <v>200</v>
      </c>
      <c r="F9" s="1529"/>
      <c r="G9" s="181"/>
    </row>
    <row r="10" spans="1:7" s="174" customFormat="1" ht="13.5" customHeight="1">
      <c r="A10" s="1298" t="s">
        <v>950</v>
      </c>
      <c r="B10" s="180" t="s">
        <v>2013</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2014</v>
      </c>
      <c r="C11" s="194"/>
      <c r="D11" s="198"/>
      <c r="E11" s="1528"/>
      <c r="F11" s="1528"/>
      <c r="G11" s="178"/>
    </row>
    <row r="12" spans="1:7" s="174" customFormat="1" ht="13.5" hidden="1" customHeight="1">
      <c r="A12" s="175" t="s">
        <v>5</v>
      </c>
      <c r="B12" s="176" t="s">
        <v>2015</v>
      </c>
      <c r="C12" s="194">
        <v>0</v>
      </c>
      <c r="D12" s="198"/>
      <c r="E12" s="1533"/>
      <c r="F12" s="1529">
        <v>3.0499999999999999E-2</v>
      </c>
      <c r="G12" s="178"/>
    </row>
    <row r="13" spans="1:7" s="174" customFormat="1" ht="13.5" hidden="1" customHeight="1">
      <c r="A13" s="175" t="s">
        <v>6</v>
      </c>
      <c r="B13" s="176" t="s">
        <v>2016</v>
      </c>
      <c r="C13" s="194"/>
      <c r="D13" s="198"/>
      <c r="E13" s="1528"/>
      <c r="F13" s="1528"/>
      <c r="G13" s="178"/>
    </row>
    <row r="14" spans="1:7" s="174" customFormat="1" ht="13.5" hidden="1" customHeight="1">
      <c r="A14" s="175" t="s">
        <v>7</v>
      </c>
      <c r="B14" s="176" t="s">
        <v>2011</v>
      </c>
      <c r="C14" s="194"/>
      <c r="D14" s="198"/>
      <c r="E14" s="1528"/>
      <c r="F14" s="1528"/>
      <c r="G14" s="178" t="s">
        <v>2017</v>
      </c>
    </row>
    <row r="15" spans="1:7" s="174" customFormat="1" ht="13.5" hidden="1" customHeight="1">
      <c r="A15" s="175" t="s">
        <v>8</v>
      </c>
      <c r="B15" s="176" t="s">
        <v>2018</v>
      </c>
      <c r="C15" s="198"/>
      <c r="D15" s="198"/>
      <c r="E15" s="1528"/>
      <c r="F15" s="1528"/>
      <c r="G15" s="178" t="s">
        <v>2019</v>
      </c>
    </row>
    <row r="16" spans="1:7" s="174" customFormat="1" ht="13.5" hidden="1" customHeight="1">
      <c r="A16" s="175" t="s">
        <v>9</v>
      </c>
      <c r="B16" s="176" t="s">
        <v>2011</v>
      </c>
      <c r="C16" s="198"/>
      <c r="D16" s="198"/>
      <c r="E16" s="1528"/>
      <c r="F16" s="1528"/>
      <c r="G16" s="178"/>
    </row>
    <row r="17" spans="1:7" s="174" customFormat="1" ht="13.5" hidden="1" customHeight="1">
      <c r="A17" s="175" t="s">
        <v>10</v>
      </c>
      <c r="B17" s="176" t="s">
        <v>2020</v>
      </c>
      <c r="C17" s="1534"/>
      <c r="D17" s="1534"/>
      <c r="E17" s="1534"/>
      <c r="F17" s="1534"/>
      <c r="G17" s="178" t="s">
        <v>2019</v>
      </c>
    </row>
    <row r="18" spans="1:7" s="174" customFormat="1" ht="13.5" hidden="1" customHeight="1">
      <c r="A18" s="175" t="s">
        <v>11</v>
      </c>
      <c r="B18" s="176" t="s">
        <v>2021</v>
      </c>
      <c r="C18" s="198">
        <v>0</v>
      </c>
      <c r="D18" s="198"/>
      <c r="E18" s="1528"/>
      <c r="F18" s="1529">
        <v>3.0499999999999999E-2</v>
      </c>
      <c r="G18" s="178" t="s">
        <v>2022</v>
      </c>
    </row>
    <row r="19" spans="1:7" s="179" customFormat="1" ht="13.5" customHeight="1">
      <c r="A19" s="203" t="s">
        <v>2023</v>
      </c>
      <c r="B19" s="172" t="s">
        <v>2024</v>
      </c>
      <c r="C19" s="194">
        <f>IF(G19="已包含在土地取得成本中","0",ROUND(D19*E19,0))</f>
        <v>70722</v>
      </c>
      <c r="D19" s="1535">
        <f>IF(B1="仅计算典型户型",'数据-取费表'!E5,'数据-取费表'!B5)</f>
        <v>353.61</v>
      </c>
      <c r="E19" s="194">
        <f>'数据-取费表'!E15</f>
        <v>200</v>
      </c>
      <c r="F19" s="195"/>
      <c r="G19" s="2328"/>
    </row>
    <row r="20" spans="1:7" s="174" customFormat="1" ht="13.5" customHeight="1">
      <c r="A20" s="203" t="s">
        <v>2025</v>
      </c>
      <c r="B20" s="172" t="s">
        <v>2026</v>
      </c>
      <c r="C20" s="182">
        <f>ROUND((C5+C19)*F20,0)</f>
        <v>22024</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48382</v>
      </c>
      <c r="D22" s="184">
        <f ca="1">C26</f>
        <v>4.0000000000000002E-4</v>
      </c>
      <c r="E22" s="185" t="s">
        <v>2030</v>
      </c>
      <c r="F22" s="186">
        <f ca="1">'数据-取费表'!E27</f>
        <v>4.3499999999999997E-2</v>
      </c>
      <c r="G22" s="183" t="str">
        <f>IF('数据-取费表'!B23&lt;=1,"单利计息。","复利计息。")</f>
        <v>单利计息。</v>
      </c>
    </row>
    <row r="23" spans="1:7" s="174" customFormat="1" ht="13.5" customHeight="1">
      <c r="A23" s="175" t="s">
        <v>2034</v>
      </c>
      <c r="B23" s="176" t="s">
        <v>2035</v>
      </c>
      <c r="C23" s="1449">
        <f ca="1">ROUND(IF('数据-取费表'!B23&lt;=1,C5*F22*'数据-取费表'!B24,C5*(POWER((1+F22),'数据-取费表'!B24)-1)),0)</f>
        <v>44827</v>
      </c>
      <c r="D23" s="187"/>
      <c r="E23" s="187"/>
      <c r="F23" s="188"/>
      <c r="G23" s="189" t="s">
        <v>2036</v>
      </c>
    </row>
    <row r="24" spans="1:7" s="174" customFormat="1" ht="13.5" customHeight="1">
      <c r="A24" s="175" t="s">
        <v>2008</v>
      </c>
      <c r="B24" s="176" t="s">
        <v>2037</v>
      </c>
      <c r="C24" s="1449">
        <f ca="1">ROUND(IF('数据-取费表'!B23&lt;=1,C19*F22*('数据-取费表'!B20/2+'数据-取费表'!B22),C19*(POWER((1+F22),('数据-取费表'!B20/2+'数据-取费表'!B22))-1)),0)</f>
        <v>3076</v>
      </c>
      <c r="D24" s="187"/>
      <c r="E24" s="187"/>
      <c r="F24" s="188"/>
      <c r="G24" s="189" t="s">
        <v>2038</v>
      </c>
    </row>
    <row r="25" spans="1:7" s="174" customFormat="1" ht="24">
      <c r="A25" s="175" t="s">
        <v>2010</v>
      </c>
      <c r="B25" s="176" t="s">
        <v>2039</v>
      </c>
      <c r="C25" s="1449">
        <f ca="1">ROUND(IF('数据-取费表'!B23&lt;=1,C20*F22*'数据-取费表'!B24/2,C20*(POWER((1+F22),'数据-取费表'!B24/2)-1)),0)</f>
        <v>479</v>
      </c>
      <c r="D25" s="187"/>
      <c r="E25" s="190"/>
      <c r="F25" s="188"/>
      <c r="G25" s="191" t="s">
        <v>2040</v>
      </c>
    </row>
    <row r="26" spans="1:7" s="174" customFormat="1">
      <c r="A26" s="175" t="s">
        <v>2041</v>
      </c>
      <c r="B26" s="176" t="s">
        <v>2042</v>
      </c>
      <c r="C26" s="187">
        <f ca="1">ROUND(IF('数据-取费表'!B23&lt;=1,F21*F22*'数据-取费表'!B24/2,F21*(POWER((1+F22),'数据-取费表'!B24/2)-1)),4)</f>
        <v>4.0000000000000002E-4</v>
      </c>
      <c r="D26" s="187"/>
      <c r="E26" s="190"/>
      <c r="F26" s="188"/>
      <c r="G26" s="192"/>
    </row>
    <row r="27" spans="1:7" s="174" customFormat="1" ht="25.5">
      <c r="A27" s="1299" t="s">
        <v>2043</v>
      </c>
      <c r="B27" s="193" t="s">
        <v>2044</v>
      </c>
      <c r="C27" s="194">
        <f>C28</f>
        <v>224649</v>
      </c>
      <c r="D27" s="184">
        <f>C29</f>
        <v>4.0000000000000001E-3</v>
      </c>
      <c r="E27" s="185" t="s">
        <v>2030</v>
      </c>
      <c r="F27" s="195">
        <f>'数据-取费表'!E28</f>
        <v>0.2</v>
      </c>
      <c r="G27" s="196" t="s">
        <v>2045</v>
      </c>
    </row>
    <row r="28" spans="1:7" s="174" customFormat="1" ht="13.5" customHeight="1">
      <c r="A28" s="175" t="s">
        <v>2034</v>
      </c>
      <c r="B28" s="197" t="s">
        <v>2046</v>
      </c>
      <c r="C28" s="198">
        <f>ROUND((C5+C19+C20)*F27*'数据-取费表'!B22/'数据-取费表'!B21,0)</f>
        <v>224649</v>
      </c>
      <c r="D28" s="184"/>
      <c r="E28" s="185"/>
      <c r="F28" s="195"/>
      <c r="G28" s="196"/>
    </row>
    <row r="29" spans="1:7" s="174" customFormat="1" ht="13.5" customHeight="1">
      <c r="A29" s="175" t="s">
        <v>2008</v>
      </c>
      <c r="B29" s="197" t="s">
        <v>2047</v>
      </c>
      <c r="C29" s="187">
        <f>ROUND(C21*F27*'数据-取费表'!B22/'数据-取费表'!B21,4)</f>
        <v>4.0000000000000001E-3</v>
      </c>
      <c r="D29" s="184"/>
      <c r="E29" s="185"/>
      <c r="F29" s="195"/>
      <c r="G29" s="196"/>
    </row>
    <row r="30" spans="1:7" s="174" customFormat="1" ht="13.5" customHeight="1">
      <c r="A30" s="1299" t="s">
        <v>2048</v>
      </c>
      <c r="B30" s="172" t="s">
        <v>2049</v>
      </c>
      <c r="C30" s="184">
        <f>ROUND(F30/(1+'数据-取费表'!F30),4)</f>
        <v>5.2400000000000002E-2</v>
      </c>
      <c r="D30" s="185" t="s">
        <v>2030</v>
      </c>
      <c r="E30" s="190"/>
      <c r="F30" s="186">
        <f>'数据-取费表'!E29</f>
        <v>5.5000000000000007E-2</v>
      </c>
      <c r="G30" s="183" t="s">
        <v>2050</v>
      </c>
    </row>
    <row r="31" spans="1:7" ht="16.5" customHeight="1">
      <c r="A31" s="203">
        <v>1</v>
      </c>
      <c r="B31" s="172" t="s">
        <v>2051</v>
      </c>
      <c r="C31" s="194">
        <f ca="1">ROUND((C5+C19+C20+C22+C27)/(1-C21-D22-D27-C30),0)</f>
        <v>1512432</v>
      </c>
      <c r="D31" s="1535"/>
      <c r="E31" s="194"/>
      <c r="F31" s="1536"/>
      <c r="G31" s="183" t="s">
        <v>2052</v>
      </c>
    </row>
    <row r="32" spans="1:7" s="171" customFormat="1" ht="15.75">
      <c r="A32" s="200" t="s">
        <v>2053</v>
      </c>
      <c r="B32" s="201"/>
      <c r="C32" s="1537"/>
      <c r="D32" s="1537"/>
      <c r="E32" s="1537"/>
      <c r="F32" s="1537"/>
      <c r="G32" s="202"/>
    </row>
    <row r="33" spans="1:7" s="174" customFormat="1" ht="13.5" customHeight="1">
      <c r="A33" s="203" t="s">
        <v>2054</v>
      </c>
      <c r="B33" s="172" t="s">
        <v>2055</v>
      </c>
      <c r="C33" s="204">
        <f>SUM(C34:C38)</f>
        <v>1425933</v>
      </c>
      <c r="D33" s="182"/>
      <c r="E33" s="1526"/>
      <c r="F33" s="190"/>
      <c r="G33" s="183"/>
    </row>
    <row r="34" spans="1:7" s="205" customFormat="1" ht="13.5" customHeight="1">
      <c r="A34" s="175" t="s">
        <v>2034</v>
      </c>
      <c r="B34" s="176" t="s">
        <v>2056</v>
      </c>
      <c r="C34" s="198">
        <f>IF(B1="仅计算典型户型",'数据-取费表'!F18,'数据-取费表'!E18)</f>
        <v>1237635</v>
      </c>
      <c r="D34" s="1527"/>
      <c r="E34" s="198"/>
      <c r="F34" s="1538" t="str">
        <f>IF('数据-取费表'!B25=0,"",'数据-取费表'!E20)</f>
        <v/>
      </c>
      <c r="G34" s="178"/>
    </row>
    <row r="35" spans="1:7" ht="13.5" customHeight="1">
      <c r="A35" s="175" t="s">
        <v>2008</v>
      </c>
      <c r="B35" s="176" t="s">
        <v>2057</v>
      </c>
      <c r="C35" s="198">
        <f>ROUND(C34*F35,0)</f>
        <v>37129</v>
      </c>
      <c r="D35" s="198"/>
      <c r="E35" s="198"/>
      <c r="F35" s="1539">
        <f>'数据-取费表'!E21</f>
        <v>0.03</v>
      </c>
      <c r="G35" s="178" t="s">
        <v>2058</v>
      </c>
    </row>
    <row r="36" spans="1:7" ht="24">
      <c r="A36" s="175" t="s">
        <v>2010</v>
      </c>
      <c r="B36" s="176" t="s">
        <v>2059</v>
      </c>
      <c r="C36" s="198">
        <f>ROUND(IF('数据-取费表'!B10="住宅",C34*F36,0),0)</f>
        <v>61882</v>
      </c>
      <c r="D36" s="198"/>
      <c r="E36" s="198"/>
      <c r="F36" s="1539">
        <f>'数据-取费表'!E22</f>
        <v>0.05</v>
      </c>
      <c r="G36" s="206" t="s">
        <v>2060</v>
      </c>
    </row>
    <row r="37" spans="1:7" s="205" customFormat="1" ht="13.5" customHeight="1">
      <c r="A37" s="175" t="s">
        <v>2041</v>
      </c>
      <c r="B37" s="176" t="s">
        <v>2061</v>
      </c>
      <c r="C37" s="198">
        <f>ROUND(E37*D37,0)</f>
        <v>70722</v>
      </c>
      <c r="D37" s="1527">
        <f>IF(B1="仅计算典型户型",'数据-取费表'!E5,'数据-取费表'!B5)</f>
        <v>353.61</v>
      </c>
      <c r="E37" s="198">
        <f>'数据-取费表'!E23</f>
        <v>200</v>
      </c>
      <c r="F37" s="1539"/>
      <c r="G37" s="207" t="s">
        <v>2062</v>
      </c>
    </row>
    <row r="38" spans="1:7" ht="13.5" customHeight="1">
      <c r="A38" s="175" t="s">
        <v>2063</v>
      </c>
      <c r="B38" s="176" t="s">
        <v>2064</v>
      </c>
      <c r="C38" s="198">
        <f>ROUND(C34*F38,0)</f>
        <v>18565</v>
      </c>
      <c r="D38" s="198"/>
      <c r="E38" s="198"/>
      <c r="F38" s="1539">
        <f>'数据-取费表'!E24</f>
        <v>1.4999999999999999E-2</v>
      </c>
      <c r="G38" s="178" t="s">
        <v>2058</v>
      </c>
    </row>
    <row r="39" spans="1:7" s="174" customFormat="1" ht="13.5" customHeight="1">
      <c r="A39" s="203" t="s">
        <v>2023</v>
      </c>
      <c r="B39" s="172" t="s">
        <v>2026</v>
      </c>
      <c r="C39" s="182">
        <f>ROUND(C33*F20,0)</f>
        <v>28519</v>
      </c>
      <c r="D39" s="182"/>
      <c r="E39" s="182"/>
      <c r="F39" s="186"/>
      <c r="G39" s="183" t="s">
        <v>2065</v>
      </c>
    </row>
    <row r="40" spans="1:7" s="174" customFormat="1" ht="13.5" customHeight="1">
      <c r="A40" s="203" t="s">
        <v>2025</v>
      </c>
      <c r="B40" s="172" t="s">
        <v>2029</v>
      </c>
      <c r="C40" s="1812">
        <f>F21</f>
        <v>0.02</v>
      </c>
      <c r="D40" s="185" t="s">
        <v>2066</v>
      </c>
      <c r="E40" s="182"/>
      <c r="F40" s="186"/>
      <c r="G40" s="183" t="s">
        <v>2067</v>
      </c>
    </row>
    <row r="41" spans="1:7" s="174" customFormat="1" ht="13.5" customHeight="1">
      <c r="A41" s="203" t="s">
        <v>2028</v>
      </c>
      <c r="B41" s="172" t="s">
        <v>2033</v>
      </c>
      <c r="C41" s="182">
        <f ca="1">ROUND(SUM(C42:C43),0)</f>
        <v>31634</v>
      </c>
      <c r="D41" s="184">
        <f ca="1">C44</f>
        <v>4.0000000000000002E-4</v>
      </c>
      <c r="E41" s="185" t="s">
        <v>2066</v>
      </c>
      <c r="F41" s="186"/>
      <c r="G41" s="183" t="str">
        <f>IF('数据-取费表'!B23&lt;=1,"单利计息。","复利计息。")</f>
        <v>单利计息。</v>
      </c>
    </row>
    <row r="42" spans="1:7" ht="13.5" customHeight="1">
      <c r="A42" s="175" t="s">
        <v>2034</v>
      </c>
      <c r="B42" s="176" t="s">
        <v>2035</v>
      </c>
      <c r="C42" s="187">
        <f ca="1">ROUND(IF('数据-取费表'!B23&lt;=1,C33*F22*'数据-取费表'!B22/2,C33*(POWER((1+F22),'数据-取费表'!B22/2)-1)),0)</f>
        <v>31014</v>
      </c>
      <c r="D42" s="187"/>
      <c r="E42" s="187"/>
      <c r="F42" s="188"/>
      <c r="G42" s="3003" t="s">
        <v>2068</v>
      </c>
    </row>
    <row r="43" spans="1:7" ht="13.5" customHeight="1">
      <c r="A43" s="175" t="s">
        <v>2008</v>
      </c>
      <c r="B43" s="176" t="s">
        <v>2037</v>
      </c>
      <c r="C43" s="187">
        <f ca="1">ROUND(IF('数据-取费表'!B23&lt;=1,C39*F22*'数据-取费表'!B22/2,C39*(POWER((1+F22),'数据-取费表'!B22/2)-1)),0)</f>
        <v>620</v>
      </c>
      <c r="D43" s="187"/>
      <c r="E43" s="187"/>
      <c r="F43" s="188"/>
      <c r="G43" s="3004"/>
    </row>
    <row r="44" spans="1:7" ht="13.5" customHeight="1">
      <c r="A44" s="175" t="s">
        <v>2010</v>
      </c>
      <c r="B44" s="176" t="s">
        <v>2039</v>
      </c>
      <c r="C44" s="187">
        <f ca="1">ROUND(IF('数据-取费表'!B23&lt;=1,C40*F22*'数据-取费表'!B22/2,C40*(POWER((1+F22),'数据-取费表'!B22/2)-1)),4)</f>
        <v>4.0000000000000002E-4</v>
      </c>
      <c r="D44" s="187"/>
      <c r="E44" s="187"/>
      <c r="F44" s="188"/>
      <c r="G44" s="3005"/>
    </row>
    <row r="45" spans="1:7" s="174" customFormat="1" ht="13.5" customHeight="1">
      <c r="A45" s="203" t="s">
        <v>2032</v>
      </c>
      <c r="B45" s="193" t="s">
        <v>2044</v>
      </c>
      <c r="C45" s="194">
        <f>C46</f>
        <v>290890</v>
      </c>
      <c r="D45" s="184">
        <f>C47</f>
        <v>4.0000000000000001E-3</v>
      </c>
      <c r="E45" s="185" t="s">
        <v>2066</v>
      </c>
      <c r="F45" s="195"/>
      <c r="G45" s="196" t="s">
        <v>2069</v>
      </c>
    </row>
    <row r="46" spans="1:7" s="174" customFormat="1" ht="13.5" customHeight="1">
      <c r="A46" s="175" t="s">
        <v>2034</v>
      </c>
      <c r="B46" s="197" t="s">
        <v>2070</v>
      </c>
      <c r="C46" s="198">
        <f>ROUND((C33+C39)*F27,0)</f>
        <v>290890</v>
      </c>
      <c r="D46" s="208"/>
      <c r="E46" s="185"/>
      <c r="F46" s="195"/>
      <c r="G46" s="196"/>
    </row>
    <row r="47" spans="1:7" s="174" customFormat="1" ht="13.5" customHeight="1">
      <c r="A47" s="175" t="s">
        <v>2008</v>
      </c>
      <c r="B47" s="197" t="s">
        <v>2071</v>
      </c>
      <c r="C47" s="187">
        <f>ROUND(C40*F27,4)</f>
        <v>4.0000000000000001E-3</v>
      </c>
      <c r="D47" s="208"/>
      <c r="E47" s="185"/>
      <c r="F47" s="195"/>
      <c r="G47" s="196"/>
    </row>
    <row r="48" spans="1:7" s="174" customFormat="1" ht="13.5" customHeight="1">
      <c r="A48" s="1299" t="s">
        <v>2043</v>
      </c>
      <c r="B48" s="172" t="s">
        <v>2072</v>
      </c>
      <c r="C48" s="1812">
        <f>ROUND(F30/(1+'数据-取费表'!F30),4)</f>
        <v>5.2400000000000002E-2</v>
      </c>
      <c r="D48" s="185" t="s">
        <v>2066</v>
      </c>
      <c r="E48" s="182"/>
      <c r="F48" s="186"/>
      <c r="G48" s="183" t="s">
        <v>2073</v>
      </c>
    </row>
    <row r="49" spans="1:7" ht="16.5" customHeight="1">
      <c r="A49" s="1299" t="s">
        <v>2074</v>
      </c>
      <c r="B49" s="172" t="s">
        <v>2075</v>
      </c>
      <c r="C49" s="182">
        <f ca="1">ROUND((C33+C39+C41+C45)/(1-C40-D41-D45-C48),0)</f>
        <v>1924801</v>
      </c>
      <c r="D49" s="182"/>
      <c r="E49" s="182"/>
      <c r="F49" s="209"/>
      <c r="G49" s="183" t="s">
        <v>2076</v>
      </c>
    </row>
    <row r="50" spans="1:7" s="205" customFormat="1" ht="24">
      <c r="A50" s="1299" t="s">
        <v>2077</v>
      </c>
      <c r="B50" s="172" t="s">
        <v>2078</v>
      </c>
      <c r="C50" s="182"/>
      <c r="D50" s="182"/>
      <c r="E50" s="182"/>
      <c r="F50" s="209">
        <f>IF('数据-取费表'!B25=0,'数据-取费表'!E20,1)</f>
        <v>0.81</v>
      </c>
      <c r="G50" s="196" t="s">
        <v>2079</v>
      </c>
    </row>
    <row r="51" spans="1:7" ht="16.5" customHeight="1">
      <c r="A51" s="1299" t="s">
        <v>2080</v>
      </c>
      <c r="B51" s="172" t="s">
        <v>2081</v>
      </c>
      <c r="C51" s="182">
        <f ca="1">ROUND(C49*F50,0)</f>
        <v>1559089</v>
      </c>
      <c r="D51" s="182"/>
      <c r="E51" s="182"/>
      <c r="F51" s="209"/>
      <c r="G51" s="183" t="s">
        <v>2082</v>
      </c>
    </row>
    <row r="52" spans="1:7" s="171" customFormat="1" ht="16.5" thickBot="1">
      <c r="A52" s="210" t="s">
        <v>2083</v>
      </c>
      <c r="B52" s="211"/>
      <c r="C52" s="212">
        <f ca="1">C31+C51</f>
        <v>3071521</v>
      </c>
      <c r="D52" s="211"/>
      <c r="E52" s="211"/>
      <c r="F52" s="211"/>
      <c r="G52" s="213"/>
    </row>
    <row r="55" spans="1:7" ht="15">
      <c r="B55" s="215" t="s">
        <v>2084</v>
      </c>
      <c r="C55" s="216"/>
    </row>
    <row r="56" spans="1:7">
      <c r="B56" s="218" t="s">
        <v>2085</v>
      </c>
      <c r="C56" s="219">
        <f ca="1">ROUND(C51/C52,3)</f>
        <v>0.50800000000000001</v>
      </c>
    </row>
    <row r="57" spans="1:7">
      <c r="B57" s="218" t="s">
        <v>2086</v>
      </c>
      <c r="C57" s="220">
        <f ca="1">1-C56</f>
        <v>0.49199999999999999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0.18999999999999995</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0.05</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0.20580000000000001</v>
      </c>
      <c r="E28" s="272" t="s">
        <v>12</v>
      </c>
      <c r="F28" s="283">
        <f>'数据-取费表'!E28</f>
        <v>0.2</v>
      </c>
      <c r="G28" s="268"/>
      <c r="H28" s="269"/>
      <c r="I28" s="269"/>
      <c r="J28" s="269"/>
      <c r="K28" s="270"/>
    </row>
    <row r="29" spans="1:33" s="287" customFormat="1" ht="13.5" customHeight="1">
      <c r="A29" s="1301" t="s">
        <v>1350</v>
      </c>
      <c r="B29" s="285" t="s">
        <v>1351</v>
      </c>
      <c r="C29" s="276">
        <f>ROUND((1+C24)*F28,4)</f>
        <v>0.20580000000000001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L56" sqref="L5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2087</v>
      </c>
      <c r="B1" s="305"/>
      <c r="C1" s="728"/>
      <c r="D1" s="2689" t="s">
        <v>2887</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1997</v>
      </c>
      <c r="B2" s="763">
        <f ca="1">IF(C2="元",IF('数据-取费表'!B28="租赁期内按合同租金",C40+L47+J29,C40+L47),ROUND(IF('数据-取费表'!B28="租赁期内按合同租金",(C40+L47+J29)/10000,(C40+L47)/10000),0))</f>
        <v>6159422</v>
      </c>
      <c r="C2" s="2329" t="str">
        <f>'数据-取费表'!B3</f>
        <v>元</v>
      </c>
      <c r="D2" s="1208"/>
      <c r="E2" s="1209"/>
      <c r="F2" s="1209"/>
      <c r="G2" s="1234"/>
      <c r="H2" s="727"/>
      <c r="I2" s="1210"/>
      <c r="J2" s="1210"/>
      <c r="K2" s="1211"/>
      <c r="L2" s="1210"/>
      <c r="M2" s="1210"/>
    </row>
    <row r="3" spans="1:37" ht="18" customHeight="1" thickBot="1">
      <c r="A3" s="309" t="s">
        <v>1998</v>
      </c>
      <c r="B3" s="764">
        <f ca="1">ROUND(IF('数据-取费表'!B28="租赁期内按合同租金",(C40+L47+J29)/F43,(C40+L47)/F43),0)</f>
        <v>17419</v>
      </c>
      <c r="C3" s="2329" t="s">
        <v>2088</v>
      </c>
      <c r="D3" s="1208"/>
      <c r="E3" s="1209"/>
      <c r="F3" s="1209"/>
      <c r="G3" s="1234"/>
      <c r="H3" s="310" t="s">
        <v>2089</v>
      </c>
      <c r="I3" s="1210"/>
      <c r="J3" s="1210"/>
      <c r="K3" s="1211"/>
      <c r="L3" s="1210"/>
      <c r="M3" s="1210"/>
    </row>
    <row r="4" spans="1:37" ht="18" customHeight="1">
      <c r="A4" s="311" t="s">
        <v>2090</v>
      </c>
      <c r="B4" s="312" t="s">
        <v>2091</v>
      </c>
      <c r="C4" s="312" t="s">
        <v>2092</v>
      </c>
      <c r="D4" s="312" t="s">
        <v>2093</v>
      </c>
      <c r="E4" s="313" t="s">
        <v>2094</v>
      </c>
      <c r="F4" s="314"/>
      <c r="G4" s="1232"/>
      <c r="H4" s="311" t="s">
        <v>2090</v>
      </c>
      <c r="I4" s="312" t="s">
        <v>2091</v>
      </c>
      <c r="J4" s="312" t="s">
        <v>2092</v>
      </c>
      <c r="K4" s="312" t="s">
        <v>2093</v>
      </c>
      <c r="L4" s="313" t="s">
        <v>2094</v>
      </c>
      <c r="M4" s="314"/>
    </row>
    <row r="5" spans="1:37" ht="18" customHeight="1">
      <c r="A5" s="315">
        <v>1</v>
      </c>
      <c r="B5" s="316" t="s">
        <v>2095</v>
      </c>
      <c r="C5" s="317">
        <f ca="1">C6+C10+C12</f>
        <v>216270</v>
      </c>
      <c r="D5" s="2743" t="s">
        <v>2819</v>
      </c>
      <c r="E5" s="1208"/>
      <c r="F5" s="1377"/>
      <c r="G5" s="1232"/>
      <c r="H5" s="315">
        <v>1</v>
      </c>
      <c r="I5" s="316" t="s">
        <v>2095</v>
      </c>
      <c r="J5" s="317">
        <f ca="1">J6+J10+J12</f>
        <v>0</v>
      </c>
      <c r="K5" s="2330" t="s">
        <v>2096</v>
      </c>
      <c r="L5" s="1208"/>
      <c r="M5" s="1377"/>
    </row>
    <row r="6" spans="1:37" ht="18" customHeight="1">
      <c r="A6" s="1378" t="s">
        <v>2097</v>
      </c>
      <c r="B6" s="2017" t="s">
        <v>2098</v>
      </c>
      <c r="C6" s="317">
        <f>ROUND(F6*F8*F7*(1-F9),0)</f>
        <v>216000</v>
      </c>
      <c r="D6" s="79" t="s">
        <v>2791</v>
      </c>
      <c r="E6" s="318" t="s">
        <v>2099</v>
      </c>
      <c r="F6" s="319">
        <f>'数据-取费表'!B29</f>
        <v>20000</v>
      </c>
      <c r="G6" s="1232"/>
      <c r="H6" s="1378" t="s">
        <v>2097</v>
      </c>
      <c r="I6" s="2017" t="s">
        <v>2098</v>
      </c>
      <c r="J6" s="317">
        <f>ROUND(M6*M8*M7*(1-M9),0)</f>
        <v>0</v>
      </c>
      <c r="K6" s="79" t="s">
        <v>2791</v>
      </c>
      <c r="L6" s="318" t="s">
        <v>2099</v>
      </c>
      <c r="M6" s="319">
        <f>'数据-取费表'!B36</f>
        <v>0</v>
      </c>
    </row>
    <row r="7" spans="1:37" ht="18" customHeight="1">
      <c r="A7" s="1441"/>
      <c r="B7" s="321"/>
      <c r="C7" s="322"/>
      <c r="D7" s="323"/>
      <c r="E7" s="318" t="s">
        <v>2100</v>
      </c>
      <c r="F7" s="319">
        <f>IF('数据-取费表'!B41="",IF(D1="仅计算典型户型",'数据-取费表'!E5,'数据-取费表'!B5),'数据-取费表'!B41)</f>
        <v>1</v>
      </c>
      <c r="G7" s="1232"/>
      <c r="H7" s="320"/>
      <c r="I7" s="321"/>
      <c r="J7" s="322"/>
      <c r="K7" s="323"/>
      <c r="L7" s="318" t="s">
        <v>2100</v>
      </c>
      <c r="M7" s="319">
        <f>IF('数据-取费表'!B41="",IF(D1="仅计算典型户型",'数据-取费表'!E5,'数据-取费表'!B5),'数据-取费表'!B41)</f>
        <v>1</v>
      </c>
    </row>
    <row r="8" spans="1:37" ht="18" customHeight="1">
      <c r="A8" s="1441"/>
      <c r="B8" s="321"/>
      <c r="C8" s="322"/>
      <c r="D8" s="323"/>
      <c r="E8" s="318" t="s">
        <v>2101</v>
      </c>
      <c r="F8" s="319">
        <f>'数据-取费表'!B42</f>
        <v>12</v>
      </c>
      <c r="G8" s="1232"/>
      <c r="H8" s="320"/>
      <c r="I8" s="321"/>
      <c r="J8" s="322"/>
      <c r="K8" s="323"/>
      <c r="L8" s="318" t="s">
        <v>2102</v>
      </c>
      <c r="M8" s="319">
        <f>'数据-取费表'!B42</f>
        <v>12</v>
      </c>
    </row>
    <row r="9" spans="1:37" ht="18" customHeight="1">
      <c r="A9" s="1441"/>
      <c r="B9" s="321"/>
      <c r="C9" s="322"/>
      <c r="D9" s="327"/>
      <c r="E9" s="318" t="s">
        <v>2103</v>
      </c>
      <c r="F9" s="328">
        <f>'数据-取费表'!B32</f>
        <v>0.1</v>
      </c>
      <c r="G9" s="1232"/>
      <c r="H9" s="320"/>
      <c r="I9" s="321"/>
      <c r="J9" s="1380"/>
      <c r="K9" s="94"/>
      <c r="L9" s="329" t="s">
        <v>2103</v>
      </c>
      <c r="M9" s="328">
        <f>'数据-取费表'!B38</f>
        <v>0</v>
      </c>
    </row>
    <row r="10" spans="1:37" ht="18" customHeight="1">
      <c r="A10" s="1378" t="s">
        <v>2104</v>
      </c>
      <c r="B10" s="2331" t="s">
        <v>2105</v>
      </c>
      <c r="C10" s="1379">
        <f ca="1">ROUND(IF(F10="押一",C6/12*F11,IF(F10="押二",C6/12*2*F11,IF(F10="押三",C6/12*3*F11,C11*F11))),0)</f>
        <v>270</v>
      </c>
      <c r="D10" s="2332" t="s">
        <v>2799</v>
      </c>
      <c r="E10" s="329" t="s">
        <v>2106</v>
      </c>
      <c r="F10" s="2333" t="s">
        <v>2107</v>
      </c>
      <c r="G10" s="1232"/>
      <c r="H10" s="1378" t="s">
        <v>2104</v>
      </c>
      <c r="I10" s="2331" t="s">
        <v>2105</v>
      </c>
      <c r="J10" s="1379">
        <f ca="1">ROUND(IF(M10="押一",J6/12*M11,IF(M10="押二",J6/12*2*M11,IF(M10="押三",J6/12*3*M11,J11*M11))),0)</f>
        <v>0</v>
      </c>
      <c r="K10" s="79" t="s">
        <v>2799</v>
      </c>
      <c r="L10" s="329" t="s">
        <v>2106</v>
      </c>
      <c r="M10" s="2333"/>
    </row>
    <row r="11" spans="1:37" s="340" customFormat="1" ht="18" customHeight="1">
      <c r="A11" s="347"/>
      <c r="B11" s="2334" t="s">
        <v>2108</v>
      </c>
      <c r="C11" s="1412"/>
      <c r="D11" s="323"/>
      <c r="E11" s="329" t="s">
        <v>2109</v>
      </c>
      <c r="F11" s="330">
        <f ca="1">'数据-取费表'!B30</f>
        <v>1.4999999999999999E-2</v>
      </c>
      <c r="G11" s="1233"/>
      <c r="H11" s="324"/>
      <c r="I11" s="2334" t="s">
        <v>2110</v>
      </c>
      <c r="J11" s="1412"/>
      <c r="K11" s="323"/>
      <c r="L11" s="329" t="s">
        <v>2109</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2111</v>
      </c>
      <c r="B12" s="2335" t="s">
        <v>2112</v>
      </c>
      <c r="C12" s="1419"/>
      <c r="D12" s="2336"/>
      <c r="E12" s="1425"/>
      <c r="F12" s="1420"/>
      <c r="G12" s="1232"/>
      <c r="H12" s="1418" t="s">
        <v>2111</v>
      </c>
      <c r="I12" s="2335" t="s">
        <v>2112</v>
      </c>
      <c r="J12" s="1419"/>
      <c r="K12" s="1435"/>
      <c r="L12" s="1425"/>
      <c r="M12" s="1436"/>
    </row>
    <row r="13" spans="1:37" s="340" customFormat="1" ht="18" customHeight="1" thickTop="1">
      <c r="A13" s="1414">
        <v>2</v>
      </c>
      <c r="B13" s="1415" t="s">
        <v>2113</v>
      </c>
      <c r="C13" s="326">
        <f ca="1">ROUND(C29*F13,0)</f>
        <v>1559089</v>
      </c>
      <c r="D13" s="1416" t="s">
        <v>2114</v>
      </c>
      <c r="E13" s="1416" t="s">
        <v>2115</v>
      </c>
      <c r="F13" s="1417">
        <f>'数据-取费表'!E20</f>
        <v>0.81</v>
      </c>
      <c r="G13" s="1233"/>
      <c r="H13" s="1414">
        <v>2</v>
      </c>
      <c r="I13" s="1415" t="s">
        <v>2113</v>
      </c>
      <c r="J13" s="1380">
        <f ca="1">ROUND(J14*J15,0)</f>
        <v>0</v>
      </c>
      <c r="K13" s="1421" t="s">
        <v>2114</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2116</v>
      </c>
      <c r="B14" s="318" t="s">
        <v>2117</v>
      </c>
      <c r="C14" s="337">
        <f>IF(D1="仅计算典型户型",'数据-取费表'!F18,'数据-取费表'!E18)</f>
        <v>1237635</v>
      </c>
      <c r="D14" s="1880" t="s">
        <v>2118</v>
      </c>
      <c r="E14" s="1881"/>
      <c r="F14" s="973"/>
      <c r="G14" s="1233"/>
      <c r="H14" s="336" t="s">
        <v>2097</v>
      </c>
      <c r="I14" s="318" t="s">
        <v>2119</v>
      </c>
      <c r="J14" s="14">
        <f ca="1">C29</f>
        <v>1924801</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2120</v>
      </c>
      <c r="B15" s="318" t="s">
        <v>2121</v>
      </c>
      <c r="C15" s="14">
        <f>ROUND(C14*F15,0)</f>
        <v>37129</v>
      </c>
      <c r="D15" s="338" t="s">
        <v>2122</v>
      </c>
      <c r="E15" s="338" t="s">
        <v>2123</v>
      </c>
      <c r="F15" s="339">
        <f>'数据-取费表'!E21</f>
        <v>0.03</v>
      </c>
      <c r="G15" s="1232"/>
      <c r="H15" s="1424" t="s">
        <v>2124</v>
      </c>
      <c r="I15" s="1425" t="s">
        <v>2125</v>
      </c>
      <c r="J15" s="1437">
        <f>'数据-取费表'!B39</f>
        <v>0</v>
      </c>
      <c r="K15" s="1438"/>
      <c r="L15" s="1439"/>
      <c r="M15" s="1440"/>
    </row>
    <row r="16" spans="1:37" s="340" customFormat="1" ht="18" customHeight="1" thickTop="1">
      <c r="A16" s="336" t="s">
        <v>2126</v>
      </c>
      <c r="B16" s="318" t="s">
        <v>2127</v>
      </c>
      <c r="C16" s="14">
        <f>ROUND(C14*F16,0)</f>
        <v>61882</v>
      </c>
      <c r="D16" s="318" t="s">
        <v>2122</v>
      </c>
      <c r="E16" s="318" t="s">
        <v>2123</v>
      </c>
      <c r="F16" s="341">
        <f>IF('数据-取费表'!B10="住宅",'数据-取费表'!E22,0)</f>
        <v>0.05</v>
      </c>
      <c r="G16" s="1233"/>
      <c r="H16" s="1414" t="s">
        <v>14</v>
      </c>
      <c r="I16" s="1415" t="s">
        <v>2128</v>
      </c>
      <c r="J16" s="326">
        <f ca="1">ROUND(J17+J22+J23+J24,0)</f>
        <v>28872</v>
      </c>
      <c r="K16" s="1421" t="s">
        <v>2129</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2130</v>
      </c>
      <c r="B17" s="318" t="s">
        <v>2131</v>
      </c>
      <c r="C17" s="14">
        <f>ROUND(F17*IF(D1="仅计算典型户型",'数据-取费表'!E5,'数据-取费表'!B5),0)</f>
        <v>70722</v>
      </c>
      <c r="D17" s="318" t="s">
        <v>2132</v>
      </c>
      <c r="E17" s="318" t="s">
        <v>2133</v>
      </c>
      <c r="F17" s="16">
        <f>'数据-取费表'!E23</f>
        <v>200</v>
      </c>
      <c r="G17" s="1233"/>
      <c r="H17" s="336" t="s">
        <v>2134</v>
      </c>
      <c r="I17" s="318" t="s">
        <v>2135</v>
      </c>
      <c r="J17" s="14">
        <f>ROUND(IF(项目基本情况!B7="自然人",J6*M17/(1+'数据-取费表'!F30),J18+J19+J20),0)</f>
        <v>0</v>
      </c>
      <c r="K17" s="1880" t="s">
        <v>2136</v>
      </c>
      <c r="L17" s="1885" t="s">
        <v>2137</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2138</v>
      </c>
      <c r="B18" s="318" t="s">
        <v>2139</v>
      </c>
      <c r="C18" s="14">
        <f>ROUND(C14*F18,0)</f>
        <v>18565</v>
      </c>
      <c r="D18" s="318" t="s">
        <v>2122</v>
      </c>
      <c r="E18" s="318" t="s">
        <v>2123</v>
      </c>
      <c r="F18" s="341">
        <f>'数据-取费表'!E24</f>
        <v>1.4999999999999999E-2</v>
      </c>
      <c r="G18" s="1232"/>
      <c r="H18" s="336" t="s">
        <v>2140</v>
      </c>
      <c r="I18" s="318" t="s">
        <v>2141</v>
      </c>
      <c r="J18" s="14" t="str">
        <f>IF(项目基本情况!B7="自然人","——",ROUND(J6*M18/(1+'数据-取费表'!F30),0))</f>
        <v>——</v>
      </c>
      <c r="K18" s="1885" t="s">
        <v>2821</v>
      </c>
      <c r="L18" s="318" t="s">
        <v>2123</v>
      </c>
      <c r="M18" s="341">
        <f>'数据-取费表'!E29</f>
        <v>5.5000000000000007E-2</v>
      </c>
    </row>
    <row r="19" spans="1:37" s="340" customFormat="1" ht="18" customHeight="1">
      <c r="A19" s="336" t="s">
        <v>2134</v>
      </c>
      <c r="B19" s="318" t="s">
        <v>2142</v>
      </c>
      <c r="C19" s="14">
        <f>SUM(C14:C18)</f>
        <v>1425933</v>
      </c>
      <c r="D19" s="55" t="s">
        <v>2143</v>
      </c>
      <c r="E19" s="1890"/>
      <c r="F19" s="16"/>
      <c r="G19" s="1233"/>
      <c r="H19" s="336" t="s">
        <v>2120</v>
      </c>
      <c r="I19" s="318" t="s">
        <v>2144</v>
      </c>
      <c r="J19" s="14" t="str">
        <f>IF(项目基本情况!B7="自然人","——",IF(K19="按租金收入计税",ROUND(J6*M19/(1+'数据-取费表'!F30),0),ROUND(C29*M19*0.7,0)))</f>
        <v>——</v>
      </c>
      <c r="K19" s="2006" t="s">
        <v>2145</v>
      </c>
      <c r="L19" s="318" t="s">
        <v>2123</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2104</v>
      </c>
      <c r="B20" s="318" t="s">
        <v>2146</v>
      </c>
      <c r="C20" s="14">
        <f>ROUND(C19*F20,0)</f>
        <v>28519</v>
      </c>
      <c r="D20" s="343" t="s">
        <v>2147</v>
      </c>
      <c r="E20" s="318" t="s">
        <v>2148</v>
      </c>
      <c r="F20" s="341">
        <f>'数据-取费表'!E25</f>
        <v>0.02</v>
      </c>
      <c r="G20" s="1233"/>
      <c r="H20" s="336" t="s">
        <v>2126</v>
      </c>
      <c r="I20" s="79" t="s">
        <v>2149</v>
      </c>
      <c r="J20" s="15" t="str">
        <f>IF(项目基本情况!B7="自然人","——",ROUND(M20*M21,0))</f>
        <v>——</v>
      </c>
      <c r="K20" s="345" t="s">
        <v>2150</v>
      </c>
      <c r="L20" s="318" t="s">
        <v>2151</v>
      </c>
      <c r="M20" s="346">
        <f>'数据-取费表'!E40</f>
        <v>1.5</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2152</v>
      </c>
      <c r="B21" s="318" t="s">
        <v>2153</v>
      </c>
      <c r="C21" s="702">
        <f>F21</f>
        <v>0.02</v>
      </c>
      <c r="D21" s="343" t="s">
        <v>2154</v>
      </c>
      <c r="E21" s="318" t="s">
        <v>2155</v>
      </c>
      <c r="F21" s="341">
        <f>'数据-取费表'!E26</f>
        <v>0.02</v>
      </c>
      <c r="G21" s="1232"/>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单利计息。建造成本、管理费用、销售费用产生的利息。</v>
      </c>
      <c r="E22" s="1890"/>
      <c r="F22" s="16"/>
      <c r="G22" s="1232"/>
      <c r="H22" s="336" t="s">
        <v>2124</v>
      </c>
      <c r="I22" s="318" t="s">
        <v>2159</v>
      </c>
      <c r="J22" s="14">
        <f ca="1">ROUND(J14*M22,0)</f>
        <v>28872</v>
      </c>
      <c r="K22" s="1885" t="s">
        <v>2160</v>
      </c>
      <c r="L22" s="318" t="s">
        <v>2123</v>
      </c>
      <c r="M22" s="349">
        <f>'数据-取费表'!B44</f>
        <v>1.4999999999999999E-2</v>
      </c>
    </row>
    <row r="23" spans="1:37" ht="18" customHeight="1">
      <c r="A23" s="336" t="s">
        <v>2140</v>
      </c>
      <c r="B23" s="318" t="s">
        <v>2161</v>
      </c>
      <c r="C23" s="14">
        <f ca="1">IF('数据-取费表'!B23&lt;=1,ROUND(C19*F24*F23/2,0)+ROUND(C20*F24*F23/2,0),ROUND(C19*(POWER((1+F24),F23/2)-1),0)+ROUND(C20*(POWER((1+F24),F23/2)-1),0))</f>
        <v>31634</v>
      </c>
      <c r="D23" s="2000" t="str">
        <f>IF(F23&lt;=1,"(建造成本+管理费用)×利率×(建设周期÷2)","(建造成本+管理费用)×((1+利率)^(建设周期÷2)-1)")</f>
        <v>(建造成本+管理费用)×利率×(建设周期÷2)</v>
      </c>
      <c r="E23" s="318" t="s">
        <v>2162</v>
      </c>
      <c r="F23" s="346">
        <f>'数据-取费表'!B21</f>
        <v>1</v>
      </c>
      <c r="G23" s="1232"/>
      <c r="H23" s="336" t="s">
        <v>2152</v>
      </c>
      <c r="I23" s="318" t="s">
        <v>2163</v>
      </c>
      <c r="J23" s="14">
        <f ca="1">ROUND(J13*M23,0)</f>
        <v>0</v>
      </c>
      <c r="K23" s="1885" t="s">
        <v>2164</v>
      </c>
      <c r="L23" s="318" t="s">
        <v>2165</v>
      </c>
      <c r="M23" s="350">
        <f>'数据-取费表'!B45</f>
        <v>1.5E-3</v>
      </c>
    </row>
    <row r="24" spans="1:37" s="340" customFormat="1" ht="18" customHeight="1" thickBot="1">
      <c r="A24" s="336" t="s">
        <v>2166</v>
      </c>
      <c r="B24" s="318" t="s">
        <v>2167</v>
      </c>
      <c r="C24" s="14">
        <f ca="1">ROUND(IF('数据-取费表'!B23&lt;=1,F21*F24*F23/2,F21*(POWER((1+F24),F23/2)-1)),4)</f>
        <v>4.0000000000000002E-4</v>
      </c>
      <c r="D24" s="2000" t="str">
        <f>IF(F23&lt;=1,"销售费用×利率×(建设周期÷2)","销售费用×((1+利率)^(建设周期÷2)-1)")</f>
        <v>销售费用×利率×(建设周期÷2)</v>
      </c>
      <c r="E24" s="318" t="s">
        <v>2168</v>
      </c>
      <c r="F24" s="351">
        <f ca="1">'数据-取费表'!E27</f>
        <v>4.3499999999999997E-2</v>
      </c>
      <c r="G24" s="1233"/>
      <c r="H24" s="1424" t="s">
        <v>2157</v>
      </c>
      <c r="I24" s="1425" t="s">
        <v>2146</v>
      </c>
      <c r="J24" s="1426">
        <f ca="1">ROUND(J5*M24,0)</f>
        <v>0</v>
      </c>
      <c r="K24" s="1427" t="s">
        <v>2169</v>
      </c>
      <c r="L24" s="1425" t="s">
        <v>2165</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2170</v>
      </c>
      <c r="B25" s="318" t="s">
        <v>2171</v>
      </c>
      <c r="C25" s="14"/>
      <c r="D25" s="55" t="s">
        <v>2172</v>
      </c>
      <c r="E25" s="1890"/>
      <c r="F25" s="16"/>
      <c r="G25" s="1233"/>
      <c r="H25" s="1414" t="s">
        <v>22</v>
      </c>
      <c r="I25" s="1429" t="s">
        <v>2173</v>
      </c>
      <c r="J25" s="326">
        <f ca="1">J5-J16</f>
        <v>-28872</v>
      </c>
      <c r="K25" s="1430" t="s">
        <v>2174</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2116</v>
      </c>
      <c r="B26" s="318" t="s">
        <v>2175</v>
      </c>
      <c r="C26" s="14">
        <f>ROUND((C19+C20)*F26,0)</f>
        <v>290890</v>
      </c>
      <c r="D26" s="343" t="s">
        <v>2176</v>
      </c>
      <c r="E26" s="329" t="s">
        <v>2177</v>
      </c>
      <c r="F26" s="328">
        <f>'数据-取费表'!E28</f>
        <v>0.2</v>
      </c>
      <c r="G26" s="789"/>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4.0000000000000001E-3</v>
      </c>
      <c r="D27" s="343" t="s">
        <v>2183</v>
      </c>
      <c r="E27" s="338"/>
      <c r="F27" s="339"/>
      <c r="G27" s="789"/>
      <c r="H27" s="320"/>
      <c r="I27" s="321"/>
      <c r="J27" s="322"/>
      <c r="K27" s="353" t="s">
        <v>2184</v>
      </c>
      <c r="L27" s="318" t="s">
        <v>2185</v>
      </c>
      <c r="M27" s="354" t="str">
        <f>'数据-取费表'!B40</f>
        <v>——</v>
      </c>
    </row>
    <row r="28" spans="1:37" ht="18" customHeight="1">
      <c r="A28" s="336" t="s">
        <v>2186</v>
      </c>
      <c r="B28" s="318" t="s">
        <v>2187</v>
      </c>
      <c r="C28" s="14">
        <f>ROUND(F28/(1+'数据-取费表'!F30),4)</f>
        <v>5.2400000000000002E-2</v>
      </c>
      <c r="D28" s="343" t="s">
        <v>2188</v>
      </c>
      <c r="E28" s="318" t="s">
        <v>2148</v>
      </c>
      <c r="F28" s="341">
        <f>'数据-取费表'!E29</f>
        <v>5.5000000000000007E-2</v>
      </c>
      <c r="G28" s="789"/>
      <c r="H28" s="324"/>
      <c r="I28" s="325"/>
      <c r="J28" s="326"/>
      <c r="K28" s="348"/>
      <c r="L28" s="318" t="s">
        <v>2189</v>
      </c>
      <c r="M28" s="328">
        <f>'数据-取费表'!B37</f>
        <v>0</v>
      </c>
    </row>
    <row r="29" spans="1:37" ht="18" customHeight="1" thickBot="1">
      <c r="A29" s="1424" t="s">
        <v>2190</v>
      </c>
      <c r="B29" s="1425" t="s">
        <v>2191</v>
      </c>
      <c r="C29" s="1426">
        <f ca="1">ROUND((C19+C20+C23+C26)/(1-F21-C24-C27-C28),0)</f>
        <v>1924801</v>
      </c>
      <c r="D29" s="1427"/>
      <c r="E29" s="1425"/>
      <c r="F29" s="1428"/>
      <c r="G29" s="789"/>
      <c r="H29" s="355" t="s">
        <v>24</v>
      </c>
      <c r="I29" s="356" t="s">
        <v>2192</v>
      </c>
      <c r="J29" s="357">
        <f ca="1">ROUND(J26/(1+F40)^F41,0)</f>
        <v>0</v>
      </c>
      <c r="K29" s="358" t="s">
        <v>2193</v>
      </c>
      <c r="L29" s="359"/>
      <c r="M29" s="360">
        <f>IF(D1="仅计算典型户型",'数据-取费表'!E5,'数据-取费表'!B5)</f>
        <v>353.61</v>
      </c>
    </row>
    <row r="30" spans="1:37" ht="18" customHeight="1" thickTop="1">
      <c r="A30" s="1414" t="s">
        <v>14</v>
      </c>
      <c r="B30" s="1415" t="s">
        <v>2194</v>
      </c>
      <c r="C30" s="326">
        <f ca="1">ROUND(C31+C36+C37+C38,0)</f>
        <v>43660</v>
      </c>
      <c r="D30" s="1421" t="s">
        <v>2195</v>
      </c>
      <c r="E30" s="1422"/>
      <c r="F30" s="1423"/>
      <c r="G30" s="789"/>
      <c r="H30" s="1212"/>
      <c r="I30" s="1213"/>
      <c r="J30" s="1214"/>
      <c r="K30" s="1215"/>
      <c r="L30" s="1216"/>
      <c r="M30" s="1217"/>
    </row>
    <row r="31" spans="1:37" ht="18" customHeight="1">
      <c r="A31" s="336" t="s">
        <v>2097</v>
      </c>
      <c r="B31" s="318" t="s">
        <v>2135</v>
      </c>
      <c r="C31" s="14">
        <f>ROUND(IF(项目基本情况!B7="自然人",C6*F31/(1+'数据-取费表'!F30),C32+C33+C34),0)</f>
        <v>10286</v>
      </c>
      <c r="D31" s="1880" t="s">
        <v>2196</v>
      </c>
      <c r="E31" s="1885" t="s">
        <v>2197</v>
      </c>
      <c r="F31" s="342">
        <f>IF(项目基本情况!B7="企业","",IF('数据-取费表'!B10="住宅",5%,IF(F6*F7*F8/12/(1+'数据-取费表'!F30)&gt;20000,12%,7%)))</f>
        <v>0.05</v>
      </c>
      <c r="G31" s="789"/>
      <c r="H31" s="1212"/>
      <c r="I31" s="1213"/>
      <c r="J31" s="1214"/>
      <c r="K31" s="1215"/>
      <c r="L31" s="1216"/>
      <c r="M31" s="1217"/>
    </row>
    <row r="32" spans="1:37" ht="18" customHeight="1">
      <c r="A32" s="336" t="s">
        <v>2116</v>
      </c>
      <c r="B32" s="318" t="s">
        <v>2198</v>
      </c>
      <c r="C32" s="14" t="str">
        <f>IF(项目基本情况!B7="自然人","——",ROUND(C6*F32/(1+'数据-取费表'!F30),0))</f>
        <v>——</v>
      </c>
      <c r="D32" s="1885" t="s">
        <v>2820</v>
      </c>
      <c r="E32" s="318" t="s">
        <v>2148</v>
      </c>
      <c r="F32" s="351">
        <f>'数据-取费表'!E29</f>
        <v>5.5000000000000007E-2</v>
      </c>
      <c r="G32" s="789"/>
      <c r="H32" s="1218"/>
      <c r="I32" s="1219"/>
      <c r="J32" s="1220"/>
      <c r="K32" s="1221"/>
      <c r="L32" s="1222"/>
      <c r="M32" s="1223"/>
    </row>
    <row r="33" spans="1:18" ht="18" customHeight="1">
      <c r="A33" s="336" t="s">
        <v>2120</v>
      </c>
      <c r="B33" s="318" t="s">
        <v>2144</v>
      </c>
      <c r="C33" s="14" t="str">
        <f>IF(项目基本情况!B7="自然人","——",IF(D33="按租金收入计税",ROUND(C6*F33/(1+'数据-取费表'!F30),0),IF(D33="按房产原值计税",ROUND(C29*F33*0.7,0),'数据-取费表'!B43)))</f>
        <v>——</v>
      </c>
      <c r="D33" s="2006" t="s">
        <v>2898</v>
      </c>
      <c r="E33" s="318" t="s">
        <v>2123</v>
      </c>
      <c r="F33" s="341">
        <f>IF(D33="按票据","——",IF(D33="按租金收入计税",'数据-取费表'!E39,'数据-取费表'!E38))</f>
        <v>0.12</v>
      </c>
      <c r="G33" s="789"/>
      <c r="H33" s="1224"/>
      <c r="I33" s="362" t="s">
        <v>2200</v>
      </c>
      <c r="J33" s="363"/>
      <c r="K33" s="1225"/>
      <c r="L33" s="1224"/>
      <c r="M33" s="1224"/>
    </row>
    <row r="34" spans="1:18" ht="18" customHeight="1">
      <c r="A34" s="1378" t="s">
        <v>2126</v>
      </c>
      <c r="B34" s="79" t="s">
        <v>2149</v>
      </c>
      <c r="C34" s="15" t="str">
        <f>IF(项目基本情况!B7="自然人","——",ROUND(F34*F35,0))</f>
        <v>——</v>
      </c>
      <c r="D34" s="345" t="s">
        <v>2150</v>
      </c>
      <c r="E34" s="318" t="s">
        <v>2151</v>
      </c>
      <c r="F34" s="346">
        <f>'数据-取费表'!E40</f>
        <v>1.5</v>
      </c>
      <c r="G34" s="789"/>
      <c r="H34" s="1212"/>
      <c r="I34" s="364" t="s">
        <v>2201</v>
      </c>
      <c r="J34" s="365">
        <f ca="1">ROUND(C13*J35,0)</f>
        <v>132523</v>
      </c>
      <c r="K34" s="1226"/>
      <c r="L34" s="1227"/>
      <c r="M34" s="1227"/>
    </row>
    <row r="35" spans="1:18" ht="24.6" customHeight="1">
      <c r="A35" s="1382"/>
      <c r="B35" s="327"/>
      <c r="C35" s="19"/>
      <c r="D35" s="348"/>
      <c r="E35" s="318" t="s">
        <v>2156</v>
      </c>
      <c r="F35" s="319">
        <f>IF(D1="仅计算典型户型",'数据-取费表'!E6,'数据-取费表'!B6)</f>
        <v>0</v>
      </c>
      <c r="G35" s="789"/>
      <c r="H35" s="1212"/>
      <c r="I35" s="366" t="s">
        <v>2202</v>
      </c>
      <c r="J35" s="367">
        <f>'数据-取费表'!B17</f>
        <v>8.5000000000000006E-2</v>
      </c>
      <c r="K35" s="1225"/>
      <c r="L35" s="1224"/>
      <c r="M35" s="1224"/>
    </row>
    <row r="36" spans="1:18" ht="18" customHeight="1">
      <c r="A36" s="1381" t="s">
        <v>2104</v>
      </c>
      <c r="B36" s="318" t="s">
        <v>2203</v>
      </c>
      <c r="C36" s="14">
        <f ca="1">ROUND(C29*F36,0)</f>
        <v>28872</v>
      </c>
      <c r="D36" s="1885" t="s">
        <v>2204</v>
      </c>
      <c r="E36" s="318" t="s">
        <v>2148</v>
      </c>
      <c r="F36" s="349">
        <f>'数据-取费表'!B44</f>
        <v>1.4999999999999999E-2</v>
      </c>
      <c r="G36" s="789"/>
      <c r="H36" s="1224"/>
      <c r="I36" s="368" t="s">
        <v>2205</v>
      </c>
      <c r="J36" s="369"/>
      <c r="K36" s="1228"/>
      <c r="L36" s="1224"/>
      <c r="M36" s="1224"/>
    </row>
    <row r="37" spans="1:18" ht="18" customHeight="1">
      <c r="A37" s="336" t="s">
        <v>2152</v>
      </c>
      <c r="B37" s="318" t="s">
        <v>2163</v>
      </c>
      <c r="C37" s="14">
        <f ca="1">ROUND(C13*F37,0)</f>
        <v>2339</v>
      </c>
      <c r="D37" s="1885" t="s">
        <v>2164</v>
      </c>
      <c r="E37" s="318" t="s">
        <v>2165</v>
      </c>
      <c r="F37" s="350">
        <f>'数据-取费表'!B45</f>
        <v>1.5E-3</v>
      </c>
      <c r="G37" s="789"/>
      <c r="H37" s="1224"/>
      <c r="I37" s="215" t="s">
        <v>2206</v>
      </c>
      <c r="J37" s="370"/>
      <c r="K37" s="1228"/>
      <c r="L37" s="1224"/>
      <c r="M37" s="1224"/>
    </row>
    <row r="38" spans="1:18" ht="18" customHeight="1" thickBot="1">
      <c r="A38" s="1424" t="s">
        <v>2157</v>
      </c>
      <c r="B38" s="1425" t="s">
        <v>2146</v>
      </c>
      <c r="C38" s="1426">
        <f ca="1">ROUND(C5*F38,0)</f>
        <v>2163</v>
      </c>
      <c r="D38" s="1427" t="s">
        <v>2169</v>
      </c>
      <c r="E38" s="1425" t="s">
        <v>2165</v>
      </c>
      <c r="F38" s="1420">
        <f>'数据-取费表'!B46</f>
        <v>0.01</v>
      </c>
      <c r="G38" s="789"/>
      <c r="H38" s="1224"/>
      <c r="I38" s="364" t="s">
        <v>2207</v>
      </c>
      <c r="J38" s="219">
        <f ca="1">ROUND(J34/C39,3)</f>
        <v>0.76800000000000002</v>
      </c>
      <c r="K38" s="1229"/>
      <c r="L38" s="1224"/>
      <c r="M38" s="1224"/>
    </row>
    <row r="39" spans="1:18" ht="18" customHeight="1" thickTop="1">
      <c r="A39" s="1414" t="s">
        <v>22</v>
      </c>
      <c r="B39" s="1429" t="s">
        <v>2208</v>
      </c>
      <c r="C39" s="326">
        <f ca="1">C5-C30</f>
        <v>172610</v>
      </c>
      <c r="D39" s="1430" t="s">
        <v>2209</v>
      </c>
      <c r="E39" s="1431"/>
      <c r="F39" s="1432"/>
      <c r="G39" s="789"/>
      <c r="H39" s="1224"/>
      <c r="I39" s="364" t="s">
        <v>2210</v>
      </c>
      <c r="J39" s="219">
        <f ca="1">1-J38</f>
        <v>0.23199999999999998</v>
      </c>
      <c r="K39" s="1229"/>
      <c r="L39" s="1224"/>
      <c r="M39" s="1224"/>
    </row>
    <row r="40" spans="1:18" s="789" customFormat="1" ht="18" customHeight="1">
      <c r="A40" s="315" t="s">
        <v>23</v>
      </c>
      <c r="B40" s="316" t="s">
        <v>2211</v>
      </c>
      <c r="C40" s="317">
        <f ca="1">ROUND(C39*(1-((1+F42)/(1+F40))^F41)/(F40-F42),0)</f>
        <v>6159422</v>
      </c>
      <c r="D40" s="345" t="s">
        <v>2179</v>
      </c>
      <c r="E40" s="318" t="s">
        <v>2180</v>
      </c>
      <c r="F40" s="328">
        <f>'数据-取费表'!B16</f>
        <v>4.4999999999999998E-2</v>
      </c>
      <c r="H40" s="1230"/>
      <c r="I40" s="215" t="s">
        <v>2212</v>
      </c>
      <c r="J40" s="216"/>
      <c r="K40" s="1229"/>
      <c r="L40" s="1230"/>
      <c r="M40" s="1230"/>
      <c r="Q40" s="793"/>
    </row>
    <row r="41" spans="1:18" s="789" customFormat="1" ht="18" customHeight="1">
      <c r="A41" s="320"/>
      <c r="B41" s="321"/>
      <c r="C41" s="322"/>
      <c r="D41" s="353" t="s">
        <v>2213</v>
      </c>
      <c r="E41" s="1818" t="s">
        <v>2802</v>
      </c>
      <c r="F41" s="354">
        <f>IF('数据-取费表'!B28="租赁期内按合同租金",'数据-取费表'!B34,IF(E41="收益年期(n)",'数据-取费表'!B33,'数据-取费表'!B13))</f>
        <v>53</v>
      </c>
      <c r="H41" s="1231"/>
      <c r="I41" s="218" t="s">
        <v>2085</v>
      </c>
      <c r="J41" s="219">
        <f ca="1">ROUND(C13/C40,3)</f>
        <v>0.253</v>
      </c>
      <c r="K41" s="1228"/>
      <c r="L41" s="1231"/>
      <c r="M41" s="1231"/>
      <c r="Q41" s="793"/>
    </row>
    <row r="42" spans="1:18" s="789" customFormat="1" ht="18" customHeight="1">
      <c r="A42" s="324"/>
      <c r="B42" s="325"/>
      <c r="C42" s="326"/>
      <c r="D42" s="348"/>
      <c r="E42" s="318" t="s">
        <v>2189</v>
      </c>
      <c r="F42" s="328">
        <f>'数据-取费表'!B31</f>
        <v>0.03</v>
      </c>
      <c r="H42" s="1231"/>
      <c r="I42" s="218" t="s">
        <v>2086</v>
      </c>
      <c r="J42" s="220">
        <f ca="1">1-J41</f>
        <v>0.747</v>
      </c>
      <c r="K42" s="1228"/>
      <c r="L42" s="1231"/>
      <c r="M42" s="1231"/>
      <c r="Q42" s="793"/>
    </row>
    <row r="43" spans="1:18" s="789" customFormat="1" ht="18" customHeight="1" thickBot="1">
      <c r="A43" s="355" t="s">
        <v>24</v>
      </c>
      <c r="B43" s="356" t="s">
        <v>2214</v>
      </c>
      <c r="C43" s="357">
        <f ca="1">ROUND(C40/F43,0)</f>
        <v>17419</v>
      </c>
      <c r="D43" s="358" t="s">
        <v>2215</v>
      </c>
      <c r="E43" s="359" t="s">
        <v>2216</v>
      </c>
      <c r="F43" s="360">
        <f>IF(D1="仅计算典型户型",'数据-取费表'!E5,'数据-取费表'!B5)</f>
        <v>353.61</v>
      </c>
      <c r="G43" s="791"/>
      <c r="H43" s="1231"/>
      <c r="I43" s="1231"/>
      <c r="J43" s="1231"/>
      <c r="K43" s="1228"/>
      <c r="L43" s="1231"/>
      <c r="M43" s="1231"/>
      <c r="O43" s="1355" t="s">
        <v>2217</v>
      </c>
      <c r="P43" s="1356"/>
      <c r="Q43" s="1352"/>
      <c r="R43" s="1356"/>
    </row>
    <row r="44" spans="1:18" s="789" customFormat="1" ht="18" customHeight="1" thickBot="1">
      <c r="A44" s="774"/>
      <c r="B44" s="774"/>
      <c r="C44" s="788"/>
      <c r="D44" s="774"/>
      <c r="E44" s="774"/>
      <c r="F44" s="774"/>
      <c r="G44" s="791"/>
      <c r="K44" s="790"/>
      <c r="O44" s="1357" t="s">
        <v>2218</v>
      </c>
      <c r="P44" s="1358" t="s">
        <v>2219</v>
      </c>
      <c r="Q44" s="1359" t="s">
        <v>2220</v>
      </c>
      <c r="R44" s="1360" t="s">
        <v>2221</v>
      </c>
    </row>
    <row r="45" spans="1:18" s="789" customFormat="1" ht="18" customHeight="1" thickBot="1">
      <c r="A45" s="774"/>
      <c r="B45" s="774"/>
      <c r="C45" s="788"/>
      <c r="D45" s="774"/>
      <c r="E45" s="774"/>
      <c r="F45" s="774"/>
      <c r="G45" s="792"/>
      <c r="K45" s="790"/>
      <c r="O45" s="1361" t="s">
        <v>953</v>
      </c>
      <c r="P45" s="1362" t="s">
        <v>2222</v>
      </c>
      <c r="Q45" s="1363">
        <f ca="1">C40+J29</f>
        <v>6159422</v>
      </c>
      <c r="R45" s="1364" t="s">
        <v>2223</v>
      </c>
    </row>
    <row r="46" spans="1:18" s="789" customFormat="1" ht="18" customHeight="1" thickBot="1">
      <c r="A46" s="774"/>
      <c r="D46" s="774"/>
      <c r="E46" s="774"/>
      <c r="F46" s="774"/>
      <c r="K46" s="790"/>
      <c r="O46" s="1361" t="s">
        <v>954</v>
      </c>
      <c r="P46" s="1362" t="s">
        <v>2224</v>
      </c>
      <c r="Q46" s="1363" t="str">
        <f>J61</f>
        <v>0</v>
      </c>
      <c r="R46" s="1364" t="s">
        <v>2225</v>
      </c>
    </row>
    <row r="47" spans="1:18" s="789" customFormat="1" ht="21.75" thickBot="1">
      <c r="A47" s="2337" t="s">
        <v>2226</v>
      </c>
      <c r="C47" s="1297">
        <f ca="1">IF(C2="元",C69-C40,ROUND((C69-C40)/10000,0))</f>
        <v>-6785713</v>
      </c>
      <c r="D47" s="2338" t="str">
        <f>C2</f>
        <v>元</v>
      </c>
      <c r="E47" s="774"/>
      <c r="F47" s="774"/>
      <c r="I47" s="2339" t="s">
        <v>2227</v>
      </c>
      <c r="J47" s="1337"/>
      <c r="K47" s="1338"/>
      <c r="L47" s="1351">
        <f>IF(M48="住宅",0,IF(L49&gt;J52,L61,J61))</f>
        <v>0</v>
      </c>
      <c r="O47" s="1365" t="s">
        <v>955</v>
      </c>
      <c r="P47" s="1362" t="s">
        <v>2228</v>
      </c>
      <c r="Q47" s="1363">
        <f ca="1">C29</f>
        <v>1924801</v>
      </c>
      <c r="R47" s="1364" t="s">
        <v>2223</v>
      </c>
    </row>
    <row r="48" spans="1:18" s="789" customFormat="1" ht="15.75" thickBot="1">
      <c r="A48" s="311" t="s">
        <v>2229</v>
      </c>
      <c r="B48" s="312" t="s">
        <v>2230</v>
      </c>
      <c r="C48" s="312" t="s">
        <v>2231</v>
      </c>
      <c r="D48" s="312" t="s">
        <v>2232</v>
      </c>
      <c r="E48" s="1291" t="s">
        <v>2233</v>
      </c>
      <c r="F48" s="1292"/>
      <c r="I48" s="2340" t="s">
        <v>2234</v>
      </c>
      <c r="J48" s="2341" t="s">
        <v>2873</v>
      </c>
      <c r="K48" s="2342" t="s">
        <v>2235</v>
      </c>
      <c r="L48" s="1339">
        <f>'数据-取费表'!B11</f>
        <v>70</v>
      </c>
      <c r="M48" s="1352" t="str">
        <f>IF('数据-取费表'!B10="住宅","住宅","非住宅")</f>
        <v>住宅</v>
      </c>
      <c r="O48" s="1365" t="s">
        <v>956</v>
      </c>
      <c r="P48" s="1362" t="s">
        <v>2236</v>
      </c>
      <c r="Q48" s="1366" t="e">
        <f>J59</f>
        <v>#VALUE!</v>
      </c>
      <c r="R48" s="1364"/>
    </row>
    <row r="49" spans="1:18" s="789" customFormat="1" ht="15.75" thickBot="1">
      <c r="A49" s="1451" t="s">
        <v>1026</v>
      </c>
      <c r="B49" s="316" t="s">
        <v>2237</v>
      </c>
      <c r="C49" s="1452">
        <f ca="1">C50+C54+C56</f>
        <v>0</v>
      </c>
      <c r="D49" s="1453"/>
      <c r="E49" s="100"/>
      <c r="F49" s="16"/>
      <c r="I49" s="2343" t="s">
        <v>2238</v>
      </c>
      <c r="J49" s="2344" t="s">
        <v>2899</v>
      </c>
      <c r="K49" s="2345" t="s">
        <v>2239</v>
      </c>
      <c r="L49" s="1122">
        <f>'数据-取费表'!B13</f>
        <v>53</v>
      </c>
      <c r="O49" s="1365" t="s">
        <v>957</v>
      </c>
      <c r="P49" s="1362" t="s">
        <v>2240</v>
      </c>
      <c r="Q49" s="1366">
        <f>J53</f>
        <v>0.09</v>
      </c>
      <c r="R49" s="1364"/>
    </row>
    <row r="50" spans="1:18" s="789" customFormat="1" ht="15.75" thickBot="1">
      <c r="A50" s="344" t="s">
        <v>2097</v>
      </c>
      <c r="B50" s="2017" t="s">
        <v>2241</v>
      </c>
      <c r="C50" s="317">
        <f>ROUND(F50*F52*F51*(1-F53),0)</f>
        <v>0</v>
      </c>
      <c r="D50" s="92" t="s">
        <v>2792</v>
      </c>
      <c r="E50" s="2346" t="s">
        <v>2242</v>
      </c>
      <c r="F50" s="1293"/>
      <c r="I50" s="2343" t="s">
        <v>2243</v>
      </c>
      <c r="J50" s="1122">
        <f>'数据-取费表'!B26</f>
        <v>2004</v>
      </c>
      <c r="K50" s="2347" t="s">
        <v>2244</v>
      </c>
      <c r="L50" s="1340"/>
      <c r="O50" s="1365" t="s">
        <v>958</v>
      </c>
      <c r="P50" s="1362" t="s">
        <v>2245</v>
      </c>
      <c r="Q50" s="1363">
        <f>J54</f>
        <v>53</v>
      </c>
      <c r="R50" s="1364" t="s">
        <v>2246</v>
      </c>
    </row>
    <row r="51" spans="1:18" s="789" customFormat="1" ht="15.75" thickBot="1">
      <c r="A51" s="320"/>
      <c r="B51" s="321"/>
      <c r="C51" s="322"/>
      <c r="D51" s="323"/>
      <c r="E51" s="338" t="s">
        <v>2100</v>
      </c>
      <c r="F51" s="1290">
        <f>F7</f>
        <v>1</v>
      </c>
      <c r="I51" s="2343" t="s">
        <v>2247</v>
      </c>
      <c r="J51" s="1341">
        <f>SUMPRODUCT((I64:I66=J48)*(J63:L63=J49)*(J64:L66))</f>
        <v>60</v>
      </c>
      <c r="K51" s="2347" t="s">
        <v>2248</v>
      </c>
      <c r="L51" s="1340"/>
      <c r="O51" s="1361" t="s">
        <v>959</v>
      </c>
      <c r="P51" s="1362" t="str">
        <f>IF(C2="元","收益价值(元)","收益价值(万元)")</f>
        <v>收益价值(元)</v>
      </c>
      <c r="Q51" s="1363">
        <f ca="1">ROUND(IF(C2="元",Q45+Q46,(Q45+Q46)/10000),0)</f>
        <v>6159422</v>
      </c>
      <c r="R51" s="1364" t="s">
        <v>960</v>
      </c>
    </row>
    <row r="52" spans="1:18" s="789" customFormat="1" ht="16.5" thickBot="1">
      <c r="A52" s="320"/>
      <c r="B52" s="321"/>
      <c r="C52" s="322"/>
      <c r="D52" s="323"/>
      <c r="E52" s="318" t="s">
        <v>2102</v>
      </c>
      <c r="F52" s="319">
        <f>F8</f>
        <v>12</v>
      </c>
      <c r="I52" s="2348" t="s">
        <v>2249</v>
      </c>
      <c r="J52" s="1342">
        <f>IF(J50="",J51,J50+J51-YEAR('数据-取费表'!B2))</f>
        <v>44</v>
      </c>
      <c r="K52" s="2349" t="s">
        <v>2250</v>
      </c>
      <c r="L52" s="1343">
        <f ca="1">ROUND(-PV('数据-取费表'!B15,L49,(C40-C13*J35)),0)</f>
        <v>131824412</v>
      </c>
      <c r="O52" s="1355" t="s">
        <v>2251</v>
      </c>
      <c r="P52" s="1356"/>
      <c r="Q52" s="1352"/>
      <c r="R52" s="1356"/>
    </row>
    <row r="53" spans="1:18" s="789" customFormat="1" ht="15.75" thickBot="1">
      <c r="A53" s="324"/>
      <c r="B53" s="325"/>
      <c r="C53" s="326"/>
      <c r="D53" s="327"/>
      <c r="E53" s="318" t="s">
        <v>2103</v>
      </c>
      <c r="F53" s="1350"/>
      <c r="I53" s="2350" t="s">
        <v>2252</v>
      </c>
      <c r="J53" s="1344">
        <v>0.09</v>
      </c>
      <c r="K53" s="2350" t="s">
        <v>2253</v>
      </c>
      <c r="L53" s="1344"/>
      <c r="O53" s="1357" t="s">
        <v>2218</v>
      </c>
      <c r="P53" s="1358" t="s">
        <v>2219</v>
      </c>
      <c r="Q53" s="1359" t="s">
        <v>2220</v>
      </c>
      <c r="R53" s="1360" t="s">
        <v>2221</v>
      </c>
    </row>
    <row r="54" spans="1:18" s="789" customFormat="1" ht="29.25" customHeight="1" thickBot="1">
      <c r="A54" s="1378" t="s">
        <v>2104</v>
      </c>
      <c r="B54" s="2331" t="s">
        <v>2105</v>
      </c>
      <c r="C54" s="1379">
        <f ca="1">ROUND(IF(F54="押一",C50/12*F11,IF(F54="押二",C50/12*2*F11,IF(F54="押三",C50/12*3*F11,C55*F11))),0)</f>
        <v>0</v>
      </c>
      <c r="D54" s="2332" t="s">
        <v>2800</v>
      </c>
      <c r="E54" s="329" t="s">
        <v>2106</v>
      </c>
      <c r="F54" s="2333"/>
      <c r="I54" s="2712" t="s">
        <v>2803</v>
      </c>
      <c r="J54" s="1345">
        <f>IF(M48="住宅",IF(E1="——",MAX(J52,L49),MAX(J52,L49-'数据-取费表'!B25)),IF(E1="——",MIN(J52,L49),MIN(J52,L49-'数据-取费表'!B25)))</f>
        <v>53</v>
      </c>
      <c r="K54" s="3006" t="s">
        <v>2790</v>
      </c>
      <c r="L54" s="3007"/>
      <c r="O54" s="1361" t="s">
        <v>953</v>
      </c>
      <c r="P54" s="1362" t="s">
        <v>2222</v>
      </c>
      <c r="Q54" s="1363">
        <f ca="1">C40+J29</f>
        <v>6159422</v>
      </c>
      <c r="R54" s="1364" t="s">
        <v>2223</v>
      </c>
    </row>
    <row r="55" spans="1:18" s="789" customFormat="1" ht="20.25" thickBot="1">
      <c r="A55" s="1378"/>
      <c r="B55" s="2351" t="s">
        <v>2110</v>
      </c>
      <c r="C55" s="1412"/>
      <c r="D55" s="92"/>
      <c r="E55" s="2352"/>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1" t="s">
        <v>954</v>
      </c>
      <c r="P55" s="1362" t="s">
        <v>2254</v>
      </c>
      <c r="Q55" s="1363">
        <f>L61</f>
        <v>0</v>
      </c>
      <c r="R55" s="1364" t="s">
        <v>2255</v>
      </c>
    </row>
    <row r="56" spans="1:18" s="789" customFormat="1" ht="20.25" thickBot="1">
      <c r="A56" s="1418" t="s">
        <v>2111</v>
      </c>
      <c r="B56" s="2335" t="s">
        <v>2112</v>
      </c>
      <c r="C56" s="1419"/>
      <c r="D56" s="1435"/>
      <c r="E56" s="2354"/>
      <c r="F56" s="1495"/>
      <c r="I56" s="2355" t="s">
        <v>2256</v>
      </c>
      <c r="J56" s="1864" t="e">
        <f>ROUND(IF(J48="钢混",J58/J51,1-(1-2%)*(J51-J58)/J51),3)</f>
        <v>#VALUE!</v>
      </c>
      <c r="K56" s="2356" t="s">
        <v>2257</v>
      </c>
      <c r="L56" s="1346" t="s">
        <v>2900</v>
      </c>
      <c r="O56" s="1365" t="s">
        <v>955</v>
      </c>
      <c r="P56" s="1362" t="s">
        <v>2258</v>
      </c>
      <c r="Q56" s="1363">
        <f>IF(L56="比较法",L50,IF(L56="基准地价",L51,0))</f>
        <v>0</v>
      </c>
      <c r="R56" s="1364" t="s">
        <v>2223</v>
      </c>
    </row>
    <row r="57" spans="1:18" s="789" customFormat="1" ht="44.25" thickTop="1" thickBot="1">
      <c r="A57" s="1414">
        <v>2</v>
      </c>
      <c r="B57" s="1415" t="s">
        <v>2113</v>
      </c>
      <c r="C57" s="1494">
        <f ca="1">C13</f>
        <v>1559089</v>
      </c>
      <c r="D57" s="1288"/>
      <c r="E57" s="1289"/>
      <c r="F57" s="1296"/>
      <c r="I57" s="2357" t="s">
        <v>2259</v>
      </c>
      <c r="J57" s="1349" t="s">
        <v>2812</v>
      </c>
      <c r="K57" s="2343" t="s">
        <v>2260</v>
      </c>
      <c r="L57" s="1122">
        <f>IF(L49&lt;J52,"——",L49-J52)</f>
        <v>9</v>
      </c>
      <c r="O57" s="1365" t="s">
        <v>956</v>
      </c>
      <c r="P57" s="1362" t="s">
        <v>2261</v>
      </c>
      <c r="Q57" s="1366">
        <f>L53</f>
        <v>0</v>
      </c>
      <c r="R57" s="1364"/>
    </row>
    <row r="58" spans="1:18" s="789" customFormat="1" ht="29.25" thickBot="1">
      <c r="A58" s="1295"/>
      <c r="B58" s="318" t="s">
        <v>2191</v>
      </c>
      <c r="C58" s="187">
        <f ca="1">C29</f>
        <v>1924801</v>
      </c>
      <c r="D58" s="1288"/>
      <c r="E58" s="1289"/>
      <c r="F58" s="1296"/>
      <c r="I58" s="2358" t="s">
        <v>2262</v>
      </c>
      <c r="J58" s="1348" t="str">
        <f>IF(OR(M48="住宅",J52&lt;L49,J57="是"),"——",J52-L49)</f>
        <v>——</v>
      </c>
      <c r="K58" s="2343" t="s">
        <v>2263</v>
      </c>
      <c r="L58" s="1122">
        <f ca="1">IF(L49&lt;J52,"——",IF(L56="比较法",L50,IF(L56="基准地价",L51,L52)))</f>
        <v>131824412</v>
      </c>
      <c r="O58" s="1365" t="s">
        <v>957</v>
      </c>
      <c r="P58" s="1362" t="s">
        <v>2264</v>
      </c>
      <c r="Q58" s="1363" t="e">
        <f>L59</f>
        <v>#DIV/0!</v>
      </c>
      <c r="R58" s="1364" t="s">
        <v>2265</v>
      </c>
    </row>
    <row r="59" spans="1:18" s="789" customFormat="1" ht="29.25" thickBot="1">
      <c r="A59" s="331" t="s">
        <v>14</v>
      </c>
      <c r="B59" s="332" t="s">
        <v>2194</v>
      </c>
      <c r="C59" s="333">
        <f ca="1">ROUND(C60+C65+C66+C67,0)</f>
        <v>31211</v>
      </c>
      <c r="D59" s="12" t="s">
        <v>2195</v>
      </c>
      <c r="E59" s="1890"/>
      <c r="F59" s="16"/>
      <c r="I59" s="2358" t="s">
        <v>2266</v>
      </c>
      <c r="J59" s="1863" t="e">
        <f>IF(J56&lt;0.4,0.4,J56)</f>
        <v>#VALUE!</v>
      </c>
      <c r="K59" s="2349" t="s">
        <v>2267</v>
      </c>
      <c r="L59" s="1122" t="e">
        <f>ROUND(POWER(1+L53,L48-L49)*(POWER(1+L53,L49)-1)/(POWER(1+L53,L48)-1),4)</f>
        <v>#DIV/0!</v>
      </c>
      <c r="O59" s="1365" t="s">
        <v>958</v>
      </c>
      <c r="P59" s="1362" t="str">
        <f>K60</f>
        <v>建筑物剩余耐用年限下的土地年期修正系数Kn</v>
      </c>
      <c r="Q59" s="1363" t="e">
        <f>L60</f>
        <v>#DIV/0!</v>
      </c>
      <c r="R59" s="1364" t="s">
        <v>2268</v>
      </c>
    </row>
    <row r="60" spans="1:18" s="789" customFormat="1" ht="29.25" thickBot="1">
      <c r="A60" s="336" t="s">
        <v>15</v>
      </c>
      <c r="B60" s="318" t="s">
        <v>2135</v>
      </c>
      <c r="C60" s="14">
        <f ca="1">ROUND(IF(项目基本情况!B7="自然人",C49*F60,C61+C62+C63),0)</f>
        <v>0</v>
      </c>
      <c r="D60" s="1880" t="s">
        <v>2196</v>
      </c>
      <c r="E60" s="1885" t="s">
        <v>2197</v>
      </c>
      <c r="F60" s="342">
        <f>IF(项目基本情况!B7="企业","",IF('数据-取费表'!B10="住宅",5%,IF(F50*F51*F52/12/(1+'数据-取费表'!F30)&gt;20000,12%,7%)))</f>
        <v>0.05</v>
      </c>
      <c r="I60" s="2358" t="s">
        <v>2269</v>
      </c>
      <c r="J60" s="1348"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6159422</v>
      </c>
      <c r="R60" s="1364" t="s">
        <v>960</v>
      </c>
    </row>
    <row r="61" spans="1:18" s="789" customFormat="1" ht="16.5" thickBot="1">
      <c r="A61" s="336" t="s">
        <v>16</v>
      </c>
      <c r="B61" s="318" t="s">
        <v>2198</v>
      </c>
      <c r="C61" s="14" t="str">
        <f>IF(项目基本情况!B7="自然人","——",ROUND(C49*F61/(1+'数据-取费表'!F30),0))</f>
        <v>——</v>
      </c>
      <c r="D61" s="1885" t="s">
        <v>2199</v>
      </c>
      <c r="E61" s="318" t="s">
        <v>2148</v>
      </c>
      <c r="F61" s="351">
        <f t="shared" ref="F61:F67" si="0">F32</f>
        <v>5.5000000000000007E-2</v>
      </c>
      <c r="I61" s="2359" t="s">
        <v>2270</v>
      </c>
      <c r="J61" s="1347" t="str">
        <f>IF(OR(M48="住宅",J52&lt;L49,J57="是"),"0",ROUND(J60/(1+J53)^J54,0))</f>
        <v>0</v>
      </c>
      <c r="K61" s="2360" t="s">
        <v>2271</v>
      </c>
      <c r="L61" s="1347">
        <f>IF(OR(M48="住宅",L49&lt;J52),0,ROUND(L58*(L59/L60-1),0))</f>
        <v>0</v>
      </c>
      <c r="O61" s="1355" t="s">
        <v>2272</v>
      </c>
      <c r="P61" s="1356"/>
      <c r="Q61" s="1352"/>
      <c r="R61" s="1356"/>
    </row>
    <row r="62" spans="1:18" s="789" customFormat="1" ht="15.75" thickBot="1">
      <c r="A62" s="336" t="s">
        <v>17</v>
      </c>
      <c r="B62" s="318" t="s">
        <v>2273</v>
      </c>
      <c r="C62" s="14" t="str">
        <f>IF(项目基本情况!B7="自然人","——",IF(D62="按租金收入计税",ROUND(C49*F62,0),IF(D62="按房产原值计税",ROUND(C58*F62*0.7,0),'数据-取费表'!B43)))</f>
        <v>——</v>
      </c>
      <c r="D62" s="2006" t="s">
        <v>2145</v>
      </c>
      <c r="E62" s="318" t="s">
        <v>2148</v>
      </c>
      <c r="F62" s="341">
        <f t="shared" si="0"/>
        <v>0.12</v>
      </c>
      <c r="O62" s="1357" t="s">
        <v>2218</v>
      </c>
      <c r="P62" s="1358" t="s">
        <v>2219</v>
      </c>
      <c r="Q62" s="1359" t="s">
        <v>2220</v>
      </c>
      <c r="R62" s="1360" t="s">
        <v>2221</v>
      </c>
    </row>
    <row r="63" spans="1:18" s="789" customFormat="1" ht="15.75" thickBot="1">
      <c r="A63" s="344" t="s">
        <v>18</v>
      </c>
      <c r="B63" s="79" t="s">
        <v>2274</v>
      </c>
      <c r="C63" s="15" t="str">
        <f>IF(项目基本情况!B7="自然人","——",ROUND(F63*F64,0))</f>
        <v>——</v>
      </c>
      <c r="D63" s="345" t="s">
        <v>2275</v>
      </c>
      <c r="E63" s="318" t="s">
        <v>2276</v>
      </c>
      <c r="F63" s="346">
        <f t="shared" si="0"/>
        <v>1.5</v>
      </c>
      <c r="I63" s="2361" t="s">
        <v>2277</v>
      </c>
      <c r="J63" s="1867" t="s">
        <v>2278</v>
      </c>
      <c r="K63" s="1867" t="s">
        <v>2279</v>
      </c>
      <c r="L63" s="1867" t="s">
        <v>2280</v>
      </c>
      <c r="M63" s="1866" t="s">
        <v>2281</v>
      </c>
      <c r="O63" s="1361" t="s">
        <v>953</v>
      </c>
      <c r="P63" s="1362" t="s">
        <v>2222</v>
      </c>
      <c r="Q63" s="1363">
        <f ca="1">C40+J29</f>
        <v>6159422</v>
      </c>
      <c r="R63" s="1364" t="s">
        <v>2223</v>
      </c>
    </row>
    <row r="64" spans="1:18" s="789" customFormat="1" ht="20.25" thickBot="1">
      <c r="A64" s="347"/>
      <c r="B64" s="327"/>
      <c r="C64" s="19"/>
      <c r="D64" s="348"/>
      <c r="E64" s="318" t="s">
        <v>2282</v>
      </c>
      <c r="F64" s="319">
        <f t="shared" si="0"/>
        <v>0</v>
      </c>
      <c r="I64" s="2361" t="s">
        <v>2283</v>
      </c>
      <c r="J64" s="1867">
        <v>70</v>
      </c>
      <c r="K64" s="1867">
        <v>50</v>
      </c>
      <c r="L64" s="1867">
        <v>80</v>
      </c>
      <c r="M64" s="1865">
        <v>0.02</v>
      </c>
      <c r="O64" s="1361" t="s">
        <v>954</v>
      </c>
      <c r="P64" s="1362" t="s">
        <v>2254</v>
      </c>
      <c r="Q64" s="1363">
        <f>L61</f>
        <v>0</v>
      </c>
      <c r="R64" s="1364" t="s">
        <v>2255</v>
      </c>
    </row>
    <row r="65" spans="1:18" s="789" customFormat="1" ht="23.25" thickBot="1">
      <c r="A65" s="336" t="s">
        <v>19</v>
      </c>
      <c r="B65" s="318" t="s">
        <v>2203</v>
      </c>
      <c r="C65" s="14">
        <f ca="1">ROUND(C58*F65,0)</f>
        <v>28872</v>
      </c>
      <c r="D65" s="1885" t="s">
        <v>2204</v>
      </c>
      <c r="E65" s="318" t="s">
        <v>2148</v>
      </c>
      <c r="F65" s="349">
        <f t="shared" si="0"/>
        <v>1.4999999999999999E-2</v>
      </c>
      <c r="I65" s="2361" t="s">
        <v>2284</v>
      </c>
      <c r="J65" s="1867">
        <v>50</v>
      </c>
      <c r="K65" s="1867">
        <v>35</v>
      </c>
      <c r="L65" s="1867">
        <v>60</v>
      </c>
      <c r="M65" s="1866">
        <v>0</v>
      </c>
      <c r="O65" s="1365" t="s">
        <v>955</v>
      </c>
      <c r="P65" s="1362" t="s">
        <v>2258</v>
      </c>
      <c r="Q65" s="1367">
        <f ca="1">L52</f>
        <v>131824412</v>
      </c>
      <c r="R65" s="1368" t="s">
        <v>2285</v>
      </c>
    </row>
    <row r="66" spans="1:18" s="789" customFormat="1" ht="20.25" thickBot="1">
      <c r="A66" s="336" t="s">
        <v>20</v>
      </c>
      <c r="B66" s="318" t="s">
        <v>2163</v>
      </c>
      <c r="C66" s="14">
        <f ca="1">ROUND(C57*F66,0)</f>
        <v>2339</v>
      </c>
      <c r="D66" s="1885" t="s">
        <v>2164</v>
      </c>
      <c r="E66" s="318" t="s">
        <v>2165</v>
      </c>
      <c r="F66" s="350">
        <f t="shared" si="0"/>
        <v>1.5E-3</v>
      </c>
      <c r="I66" s="2361" t="s">
        <v>2286</v>
      </c>
      <c r="J66" s="1867">
        <v>40</v>
      </c>
      <c r="K66" s="1867">
        <v>30</v>
      </c>
      <c r="L66" s="1867">
        <v>50</v>
      </c>
      <c r="M66" s="1865">
        <v>0.02</v>
      </c>
      <c r="O66" s="1365" t="s">
        <v>956</v>
      </c>
      <c r="P66" s="1369" t="s">
        <v>2287</v>
      </c>
      <c r="Q66" s="1363">
        <f ca="1">ROUND(Q67-Q68*Q69,0)</f>
        <v>40087</v>
      </c>
      <c r="R66" s="1364"/>
    </row>
    <row r="67" spans="1:18" s="789" customFormat="1" ht="15.75" thickBot="1">
      <c r="A67" s="336" t="s">
        <v>21</v>
      </c>
      <c r="B67" s="318" t="s">
        <v>2146</v>
      </c>
      <c r="C67" s="14">
        <f ca="1">ROUND(C49*F67,0)</f>
        <v>0</v>
      </c>
      <c r="D67" s="1885" t="s">
        <v>2169</v>
      </c>
      <c r="E67" s="318" t="s">
        <v>2165</v>
      </c>
      <c r="F67" s="328">
        <f t="shared" si="0"/>
        <v>0.01</v>
      </c>
      <c r="O67" s="1365" t="s">
        <v>961</v>
      </c>
      <c r="P67" s="1369" t="s">
        <v>2288</v>
      </c>
      <c r="Q67" s="1363">
        <f ca="1">C39</f>
        <v>172610</v>
      </c>
      <c r="R67" s="1364" t="s">
        <v>2223</v>
      </c>
    </row>
    <row r="68" spans="1:18" ht="15.75" thickBot="1">
      <c r="A68" s="331" t="s">
        <v>22</v>
      </c>
      <c r="B68" s="88" t="s">
        <v>2173</v>
      </c>
      <c r="C68" s="333">
        <f ca="1">C49-C59</f>
        <v>-31211</v>
      </c>
      <c r="D68" s="1880" t="s">
        <v>2174</v>
      </c>
      <c r="E68" s="1884"/>
      <c r="F68" s="352"/>
      <c r="H68" s="789"/>
      <c r="I68" s="789"/>
      <c r="J68" s="789"/>
      <c r="K68" s="789"/>
      <c r="L68" s="789"/>
      <c r="M68" s="789"/>
      <c r="O68" s="1365" t="s">
        <v>962</v>
      </c>
      <c r="P68" s="1369" t="s">
        <v>2289</v>
      </c>
      <c r="Q68" s="1363">
        <f ca="1">C13</f>
        <v>1559089</v>
      </c>
      <c r="R68" s="1364" t="s">
        <v>2223</v>
      </c>
    </row>
    <row r="69" spans="1:18" ht="15.75" thickBot="1">
      <c r="A69" s="315" t="s">
        <v>23</v>
      </c>
      <c r="B69" s="316" t="s">
        <v>2211</v>
      </c>
      <c r="C69" s="317">
        <f ca="1">ROUND(C68*(1-((1+F71)/(1+F69))^F70)/(F69-F71),0)</f>
        <v>-626291</v>
      </c>
      <c r="D69" s="345" t="s">
        <v>2179</v>
      </c>
      <c r="E69" s="318" t="s">
        <v>2180</v>
      </c>
      <c r="F69" s="328">
        <f>F40</f>
        <v>4.4999999999999998E-2</v>
      </c>
      <c r="H69" s="789"/>
      <c r="I69" s="789"/>
      <c r="J69" s="789"/>
      <c r="K69" s="789"/>
      <c r="L69" s="789"/>
      <c r="M69" s="789"/>
      <c r="O69" s="1365" t="s">
        <v>963</v>
      </c>
      <c r="P69" s="1369" t="s">
        <v>2290</v>
      </c>
      <c r="Q69" s="1366">
        <f>J35</f>
        <v>8.5000000000000006E-2</v>
      </c>
      <c r="R69" s="1364"/>
    </row>
    <row r="70" spans="1:18" ht="15.75" thickBot="1">
      <c r="A70" s="320"/>
      <c r="B70" s="321"/>
      <c r="C70" s="322"/>
      <c r="D70" s="353" t="s">
        <v>2213</v>
      </c>
      <c r="E70" s="318" t="s">
        <v>2185</v>
      </c>
      <c r="F70" s="354">
        <f>F41</f>
        <v>53</v>
      </c>
      <c r="H70" s="789"/>
      <c r="I70" s="789"/>
      <c r="J70" s="789"/>
      <c r="K70" s="789"/>
      <c r="L70" s="789"/>
      <c r="M70" s="789"/>
      <c r="O70" s="1365" t="s">
        <v>957</v>
      </c>
      <c r="P70" s="1362" t="s">
        <v>2261</v>
      </c>
      <c r="Q70" s="1366">
        <f>L53</f>
        <v>0</v>
      </c>
      <c r="R70" s="1364"/>
    </row>
    <row r="71" spans="1:18" ht="20.25" thickBot="1">
      <c r="A71" s="324"/>
      <c r="B71" s="325"/>
      <c r="C71" s="326"/>
      <c r="D71" s="348"/>
      <c r="E71" s="318" t="s">
        <v>2189</v>
      </c>
      <c r="F71" s="1350"/>
      <c r="H71" s="789"/>
      <c r="M71" s="789"/>
      <c r="O71" s="1365" t="s">
        <v>958</v>
      </c>
      <c r="P71" s="1362" t="s">
        <v>2264</v>
      </c>
      <c r="Q71" s="1363" t="e">
        <f>L59</f>
        <v>#DIV/0!</v>
      </c>
      <c r="R71" s="1364" t="s">
        <v>2265</v>
      </c>
    </row>
    <row r="72" spans="1:18" ht="15.75" thickBot="1">
      <c r="A72" s="355" t="s">
        <v>24</v>
      </c>
      <c r="B72" s="356" t="s">
        <v>2214</v>
      </c>
      <c r="C72" s="357">
        <f ca="1">ROUND(C69/F72,0)</f>
        <v>-1771</v>
      </c>
      <c r="D72" s="358" t="s">
        <v>2215</v>
      </c>
      <c r="E72" s="359" t="s">
        <v>2216</v>
      </c>
      <c r="F72" s="360">
        <f>F43</f>
        <v>353.61</v>
      </c>
      <c r="O72" s="1365" t="s">
        <v>964</v>
      </c>
      <c r="P72" s="1362" t="str">
        <f>K60</f>
        <v>建筑物剩余耐用年限下的土地年期修正系数Kn</v>
      </c>
      <c r="Q72" s="1363" t="e">
        <f>L60</f>
        <v>#DIV/0!</v>
      </c>
      <c r="R72" s="1364" t="s">
        <v>2268</v>
      </c>
    </row>
    <row r="73" spans="1:18" ht="15.75" thickBot="1">
      <c r="A73" s="789"/>
      <c r="B73" s="793"/>
      <c r="C73" s="793"/>
      <c r="D73" s="789"/>
      <c r="E73" s="789"/>
      <c r="F73" s="789"/>
      <c r="O73" s="1361" t="s">
        <v>959</v>
      </c>
      <c r="P73" s="1362" t="str">
        <f>IF(C2="元","收益价值(元)","收益价值(万元)")</f>
        <v>收益价值(元)</v>
      </c>
      <c r="Q73" s="1363">
        <f ca="1">ROUND(IF(C2="元",Q63+Q64,(Q63+Q64)/10000),0)</f>
        <v>6159422</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北京市北京市昌平区小汤山镇橘郡花园水印长滩9-13号房地产抵押价值预评估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d="3" sqref="A38:XFD1048576 J37:XFD37 A37:H37 A1:XFD36"/>
    </sheetView>
  </sheetViews>
  <sheetFormatPr defaultRowHeight="13.5"/>
  <cols>
    <col min="1" max="1" width="10.5" customWidth="1"/>
    <col min="2" max="2" width="12.875" customWidth="1"/>
    <col min="3" max="3" width="8.75" customWidth="1"/>
  </cols>
  <sheetData>
    <row r="1" spans="1:9" ht="14.25">
      <c r="A1" s="3008" t="s">
        <v>1020</v>
      </c>
      <c r="B1" s="3009"/>
      <c r="C1" s="3010"/>
      <c r="D1" s="3011">
        <f>SUM(I10,I15,I20,I21,I23)</f>
        <v>0</v>
      </c>
      <c r="E1" s="3011"/>
      <c r="F1" s="3011"/>
      <c r="G1" s="3011"/>
      <c r="H1" s="3011"/>
      <c r="I1" s="3012"/>
    </row>
    <row r="2" spans="1:9">
      <c r="A2" s="3013" t="s">
        <v>1021</v>
      </c>
      <c r="B2" s="3014" t="s">
        <v>970</v>
      </c>
      <c r="C2" s="3014"/>
      <c r="D2" s="1383" t="s">
        <v>971</v>
      </c>
      <c r="E2" s="1383" t="s">
        <v>972</v>
      </c>
      <c r="F2" s="1383" t="s">
        <v>973</v>
      </c>
      <c r="G2" s="1383" t="s">
        <v>974</v>
      </c>
      <c r="H2" s="1383" t="s">
        <v>975</v>
      </c>
      <c r="I2" s="1384" t="s">
        <v>976</v>
      </c>
    </row>
    <row r="3" spans="1:9">
      <c r="A3" s="3013"/>
      <c r="B3" s="3014" t="s">
        <v>977</v>
      </c>
      <c r="C3" s="3014"/>
      <c r="D3" s="1385"/>
      <c r="E3" s="1383"/>
      <c r="F3" s="1386"/>
      <c r="G3" s="1386"/>
      <c r="H3" s="1387"/>
      <c r="I3" s="1388">
        <f>ROUND(D3*E3*F3*G3*H3/10000,0)</f>
        <v>0</v>
      </c>
    </row>
    <row r="4" spans="1:9">
      <c r="A4" s="3013"/>
      <c r="B4" s="3014" t="s">
        <v>978</v>
      </c>
      <c r="C4" s="3014"/>
      <c r="D4" s="1385"/>
      <c r="E4" s="1383"/>
      <c r="F4" s="1386"/>
      <c r="G4" s="1386"/>
      <c r="H4" s="1387"/>
      <c r="I4" s="1388">
        <f t="shared" ref="I4:I9" si="0">ROUND(D4*E4*F4*G4*H4/10000,0)</f>
        <v>0</v>
      </c>
    </row>
    <row r="5" spans="1:9">
      <c r="A5" s="3013"/>
      <c r="B5" s="3014" t="s">
        <v>979</v>
      </c>
      <c r="C5" s="3014"/>
      <c r="D5" s="1385"/>
      <c r="E5" s="1383"/>
      <c r="F5" s="1386"/>
      <c r="G5" s="1386"/>
      <c r="H5" s="1387"/>
      <c r="I5" s="1388">
        <f t="shared" si="0"/>
        <v>0</v>
      </c>
    </row>
    <row r="6" spans="1:9">
      <c r="A6" s="3013"/>
      <c r="B6" s="3014" t="s">
        <v>980</v>
      </c>
      <c r="C6" s="3014"/>
      <c r="D6" s="1385"/>
      <c r="E6" s="1383"/>
      <c r="F6" s="1386"/>
      <c r="G6" s="1386"/>
      <c r="H6" s="1387"/>
      <c r="I6" s="1388">
        <f t="shared" si="0"/>
        <v>0</v>
      </c>
    </row>
    <row r="7" spans="1:9">
      <c r="A7" s="3013"/>
      <c r="B7" s="3014" t="s">
        <v>981</v>
      </c>
      <c r="C7" s="3014"/>
      <c r="D7" s="1385"/>
      <c r="E7" s="1383"/>
      <c r="F7" s="1386"/>
      <c r="G7" s="1386"/>
      <c r="H7" s="1387"/>
      <c r="I7" s="1388">
        <f t="shared" si="0"/>
        <v>0</v>
      </c>
    </row>
    <row r="8" spans="1:9">
      <c r="A8" s="3013"/>
      <c r="B8" s="3014" t="s">
        <v>982</v>
      </c>
      <c r="C8" s="3014"/>
      <c r="D8" s="1385"/>
      <c r="E8" s="1383"/>
      <c r="F8" s="1386"/>
      <c r="G8" s="1386"/>
      <c r="H8" s="1387"/>
      <c r="I8" s="1388">
        <f t="shared" si="0"/>
        <v>0</v>
      </c>
    </row>
    <row r="9" spans="1:9">
      <c r="A9" s="3013"/>
      <c r="B9" s="3014" t="s">
        <v>983</v>
      </c>
      <c r="C9" s="3014"/>
      <c r="D9" s="1385"/>
      <c r="E9" s="1383"/>
      <c r="F9" s="1386"/>
      <c r="G9" s="1386"/>
      <c r="H9" s="1387"/>
      <c r="I9" s="1388">
        <f t="shared" si="0"/>
        <v>0</v>
      </c>
    </row>
    <row r="10" spans="1:9">
      <c r="A10" s="3013"/>
      <c r="B10" s="3015" t="s">
        <v>984</v>
      </c>
      <c r="C10" s="3015"/>
      <c r="D10" s="1389">
        <v>527</v>
      </c>
      <c r="E10" s="1389" t="e">
        <f>ROUND(D1*10000/D10/H9,0)</f>
        <v>#DIV/0!</v>
      </c>
      <c r="F10" s="1390"/>
      <c r="G10" s="1390"/>
      <c r="H10" s="1391"/>
      <c r="I10" s="1392">
        <f>SUM(I3:I9)</f>
        <v>0</v>
      </c>
    </row>
    <row r="11" spans="1:9" ht="14.25">
      <c r="A11" s="3013" t="s">
        <v>1022</v>
      </c>
      <c r="B11" s="3014" t="s">
        <v>985</v>
      </c>
      <c r="C11" s="3014"/>
      <c r="D11" s="1385" t="s">
        <v>986</v>
      </c>
      <c r="E11" s="1385" t="s">
        <v>987</v>
      </c>
      <c r="F11" s="1386" t="s">
        <v>988</v>
      </c>
      <c r="G11" s="1386" t="s">
        <v>975</v>
      </c>
      <c r="H11" s="1393" t="s">
        <v>989</v>
      </c>
      <c r="I11" s="1384" t="s">
        <v>976</v>
      </c>
    </row>
    <row r="12" spans="1:9">
      <c r="A12" s="3013"/>
      <c r="B12" s="3014" t="s">
        <v>990</v>
      </c>
      <c r="C12" s="3014"/>
      <c r="D12" s="1385"/>
      <c r="E12" s="1385"/>
      <c r="F12" s="1386"/>
      <c r="G12" s="1387"/>
      <c r="H12" s="1394"/>
      <c r="I12" s="1384">
        <f>ROUND(D12*E12*F12*G12/10000,0)</f>
        <v>0</v>
      </c>
    </row>
    <row r="13" spans="1:9">
      <c r="A13" s="3013"/>
      <c r="B13" s="3014" t="s">
        <v>991</v>
      </c>
      <c r="C13" s="3014"/>
      <c r="D13" s="1385"/>
      <c r="E13" s="1385"/>
      <c r="F13" s="1386"/>
      <c r="G13" s="1387"/>
      <c r="H13" s="1394"/>
      <c r="I13" s="1384">
        <f>ROUND(D13*E13*F13*G13/10000,0)</f>
        <v>0</v>
      </c>
    </row>
    <row r="14" spans="1:9">
      <c r="A14" s="3013"/>
      <c r="B14" s="3014" t="s">
        <v>992</v>
      </c>
      <c r="C14" s="3014"/>
      <c r="D14" s="1385"/>
      <c r="E14" s="1385"/>
      <c r="F14" s="1386"/>
      <c r="G14" s="1387"/>
      <c r="H14" s="1394"/>
      <c r="I14" s="1384">
        <f>ROUND(D14*E14*F14*G14/10000,0)</f>
        <v>0</v>
      </c>
    </row>
    <row r="15" spans="1:9">
      <c r="A15" s="3013"/>
      <c r="B15" s="3015" t="s">
        <v>984</v>
      </c>
      <c r="C15" s="3015"/>
      <c r="D15" s="1389"/>
      <c r="E15" s="1389">
        <f>SUM(E12:E14)</f>
        <v>0</v>
      </c>
      <c r="F15" s="1390"/>
      <c r="G15" s="1387"/>
      <c r="H15" s="1394"/>
      <c r="I15" s="1395">
        <f>SUM(I12:I14)</f>
        <v>0</v>
      </c>
    </row>
    <row r="16" spans="1:9" ht="24">
      <c r="A16" s="3013" t="s">
        <v>1023</v>
      </c>
      <c r="B16" s="3014" t="s">
        <v>993</v>
      </c>
      <c r="C16" s="3014"/>
      <c r="D16" s="1385" t="s">
        <v>971</v>
      </c>
      <c r="E16" s="1396" t="s">
        <v>994</v>
      </c>
      <c r="F16" s="1386" t="s">
        <v>995</v>
      </c>
      <c r="G16" s="1387" t="s">
        <v>975</v>
      </c>
      <c r="H16" s="1393" t="s">
        <v>989</v>
      </c>
      <c r="I16" s="1384" t="s">
        <v>976</v>
      </c>
    </row>
    <row r="17" spans="1:9" ht="14.25">
      <c r="A17" s="3013"/>
      <c r="B17" s="3014" t="s">
        <v>996</v>
      </c>
      <c r="C17" s="3014"/>
      <c r="D17" s="1385"/>
      <c r="E17" s="1385"/>
      <c r="F17" s="1386"/>
      <c r="G17" s="1387"/>
      <c r="H17" s="1397"/>
      <c r="I17" s="1398">
        <f>ROUND(D17*E17*F17*G17/10000,0)</f>
        <v>0</v>
      </c>
    </row>
    <row r="18" spans="1:9" ht="14.25">
      <c r="A18" s="3013"/>
      <c r="B18" s="3014" t="s">
        <v>997</v>
      </c>
      <c r="C18" s="3014"/>
      <c r="D18" s="1385"/>
      <c r="E18" s="1385"/>
      <c r="F18" s="1386"/>
      <c r="G18" s="1387"/>
      <c r="H18" s="1397"/>
      <c r="I18" s="1398">
        <f>ROUND(D18*E18*F18*G18/10000,0)</f>
        <v>0</v>
      </c>
    </row>
    <row r="19" spans="1:9" ht="14.25">
      <c r="A19" s="3013"/>
      <c r="B19" s="3014" t="s">
        <v>998</v>
      </c>
      <c r="C19" s="3014"/>
      <c r="D19" s="1385"/>
      <c r="E19" s="1385"/>
      <c r="F19" s="1386"/>
      <c r="G19" s="1387"/>
      <c r="H19" s="1397"/>
      <c r="I19" s="1398">
        <f>ROUND(D19*E19*F19*G19/10000,0)</f>
        <v>0</v>
      </c>
    </row>
    <row r="20" spans="1:9">
      <c r="A20" s="3013"/>
      <c r="B20" s="3015" t="s">
        <v>984</v>
      </c>
      <c r="C20" s="3015"/>
      <c r="D20" s="1389">
        <f>SUM(D17:D19)</f>
        <v>0</v>
      </c>
      <c r="E20" s="1389"/>
      <c r="F20" s="1390"/>
      <c r="G20" s="1387"/>
      <c r="H20" s="1394"/>
      <c r="I20" s="1395">
        <f>SUM(I17:I19)</f>
        <v>0</v>
      </c>
    </row>
    <row r="21" spans="1:9">
      <c r="A21" s="3013" t="s">
        <v>1024</v>
      </c>
      <c r="B21" s="3017"/>
      <c r="C21" s="3017"/>
      <c r="D21" s="3017"/>
      <c r="E21" s="3017"/>
      <c r="F21" s="3017"/>
      <c r="G21" s="3017"/>
      <c r="H21" s="1399">
        <v>0.1</v>
      </c>
      <c r="I21" s="1392">
        <f>ROUND(I10*H21,0)</f>
        <v>0</v>
      </c>
    </row>
    <row r="22" spans="1:9" ht="14.25">
      <c r="A22" s="3018" t="s">
        <v>1025</v>
      </c>
      <c r="B22" s="3019"/>
      <c r="C22" s="3020"/>
      <c r="D22" s="1400" t="s">
        <v>999</v>
      </c>
      <c r="E22" s="1400" t="s">
        <v>1000</v>
      </c>
      <c r="F22" s="1401" t="s">
        <v>975</v>
      </c>
      <c r="G22" s="1401" t="s">
        <v>1001</v>
      </c>
      <c r="H22" s="1393" t="s">
        <v>989</v>
      </c>
      <c r="I22" s="1384" t="s">
        <v>976</v>
      </c>
    </row>
    <row r="23" spans="1:9" ht="14.25" thickBot="1">
      <c r="A23" s="3021"/>
      <c r="B23" s="3022"/>
      <c r="C23" s="3023"/>
      <c r="D23" s="1402"/>
      <c r="E23" s="1402"/>
      <c r="F23" s="1402"/>
      <c r="G23" s="1403"/>
      <c r="H23" s="1404"/>
      <c r="I23" s="1405">
        <f>ROUND(E23*D23*F23*(1-G23)/10000,0)</f>
        <v>0</v>
      </c>
    </row>
    <row r="26" spans="1:9">
      <c r="A26" s="1406" t="s">
        <v>1002</v>
      </c>
      <c r="B26" s="1406"/>
      <c r="C26" s="1406"/>
      <c r="D26" s="1406"/>
      <c r="E26" s="3024">
        <f>C27-C30-C31-C32</f>
        <v>0</v>
      </c>
      <c r="F26" s="3024"/>
      <c r="G26" s="3024"/>
      <c r="H26" s="1822" t="s">
        <v>1213</v>
      </c>
    </row>
    <row r="27" spans="1:9">
      <c r="A27" s="1407">
        <v>1</v>
      </c>
      <c r="B27" s="1408" t="s">
        <v>1003</v>
      </c>
      <c r="C27" s="1408">
        <f>C28+C29</f>
        <v>0</v>
      </c>
      <c r="D27" s="1408"/>
      <c r="E27" s="3025"/>
      <c r="F27" s="3025"/>
      <c r="G27" s="3025"/>
    </row>
    <row r="28" spans="1:9">
      <c r="A28" s="1409" t="s">
        <v>1004</v>
      </c>
      <c r="B28" s="1408" t="s">
        <v>1005</v>
      </c>
      <c r="C28" s="1408"/>
      <c r="D28" s="1408"/>
      <c r="E28" s="3025"/>
      <c r="F28" s="3025"/>
      <c r="G28" s="3025"/>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6"/>
      <c r="F32" s="3016"/>
      <c r="G32" s="3016"/>
    </row>
    <row r="33" spans="1:7" hidden="1">
      <c r="A33" s="3026" t="s">
        <v>1014</v>
      </c>
      <c r="B33" s="3027"/>
      <c r="C33" s="3027"/>
      <c r="D33" s="3028"/>
      <c r="E33" s="3024"/>
      <c r="F33" s="3024"/>
      <c r="G33" s="3024"/>
    </row>
    <row r="34" spans="1:7" hidden="1">
      <c r="A34" s="1411">
        <v>1</v>
      </c>
      <c r="B34" s="1408" t="s">
        <v>1015</v>
      </c>
      <c r="C34" s="1408"/>
      <c r="D34" s="1408"/>
      <c r="E34" s="3025"/>
      <c r="F34" s="3025"/>
      <c r="G34" s="3025"/>
    </row>
    <row r="35" spans="1:7" hidden="1">
      <c r="A35" s="1411">
        <v>2</v>
      </c>
      <c r="B35" s="1408" t="s">
        <v>1016</v>
      </c>
      <c r="C35" s="1408"/>
      <c r="D35" s="1408"/>
      <c r="E35" s="3025"/>
      <c r="F35" s="3025"/>
      <c r="G35" s="3025"/>
    </row>
    <row r="36" spans="1:7" hidden="1">
      <c r="A36" s="1411">
        <v>3</v>
      </c>
      <c r="B36" s="1408" t="s">
        <v>1017</v>
      </c>
      <c r="C36" s="1408"/>
      <c r="D36" s="1408"/>
      <c r="E36" s="3025"/>
      <c r="F36" s="3025"/>
      <c r="G36" s="3025"/>
    </row>
    <row r="37" spans="1:7" hidden="1">
      <c r="A37" s="1411">
        <v>4</v>
      </c>
      <c r="B37" s="1408" t="s">
        <v>1018</v>
      </c>
      <c r="C37" s="1408"/>
      <c r="D37" s="1408"/>
      <c r="E37" s="3025"/>
      <c r="F37" s="3025"/>
      <c r="G37" s="3025"/>
    </row>
    <row r="38" spans="1:7" hidden="1">
      <c r="A38" s="3026" t="s">
        <v>1019</v>
      </c>
      <c r="B38" s="3027"/>
      <c r="C38" s="3027"/>
      <c r="D38" s="3028"/>
      <c r="E38" s="3024"/>
      <c r="F38" s="3024"/>
      <c r="G38" s="30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d="3" sqref="A38:XFD1048576 J37:XFD37 A37:H37 A1:XFD36"/>
      <selection pane="bottomLeft" activeCellId="3" sqref="A38:XFD1048576 J37:XFD37 A37:H37 A1:XFD3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0.25">
      <c r="A1" s="372" t="s">
        <v>2291</v>
      </c>
      <c r="B1" s="1138"/>
      <c r="C1" s="83"/>
      <c r="D1" s="83"/>
      <c r="E1" s="83"/>
      <c r="F1" s="83"/>
      <c r="G1" s="83"/>
      <c r="H1" s="83"/>
      <c r="I1" s="83"/>
      <c r="J1" s="83"/>
      <c r="K1" s="83"/>
      <c r="L1" s="83"/>
      <c r="M1" s="83"/>
      <c r="N1" s="83"/>
      <c r="O1" s="83"/>
      <c r="P1" s="83"/>
      <c r="Q1" s="83"/>
      <c r="R1" s="767"/>
      <c r="S1" s="53"/>
      <c r="T1" s="53"/>
      <c r="U1" s="1306"/>
      <c r="V1" s="1306"/>
      <c r="X1" s="1306"/>
      <c r="Y1" s="1306"/>
    </row>
    <row r="2" spans="1:44" ht="15.75">
      <c r="A2" s="164" t="s">
        <v>2292</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75">
      <c r="A3" s="166" t="s">
        <v>2293</v>
      </c>
      <c r="B3" s="333" t="e">
        <f>B24</f>
        <v>#DIV/0!</v>
      </c>
      <c r="C3" s="1177" t="s">
        <v>2294</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2295</v>
      </c>
      <c r="C4" s="3032" t="s">
        <v>2296</v>
      </c>
      <c r="D4" s="3033"/>
      <c r="E4" s="3033"/>
      <c r="F4" s="3033"/>
      <c r="G4" s="3033"/>
      <c r="H4" s="3033"/>
      <c r="I4" s="3033"/>
      <c r="J4" s="3033"/>
      <c r="K4" s="3033"/>
      <c r="L4" s="3033"/>
      <c r="M4" s="3033"/>
      <c r="N4" s="3033"/>
      <c r="O4" s="3033"/>
      <c r="P4" s="3033"/>
      <c r="Q4" s="3033"/>
      <c r="R4" s="3033"/>
      <c r="S4" s="3034"/>
      <c r="T4" s="677" t="s">
        <v>2297</v>
      </c>
      <c r="U4" s="1306"/>
      <c r="V4" s="1306"/>
      <c r="X4" s="1306"/>
      <c r="Y4" s="1306"/>
    </row>
    <row r="5" spans="1:44" s="691" customFormat="1">
      <c r="A5" s="1316"/>
      <c r="B5" s="686" t="s">
        <v>2298</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2299</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2300</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2305</v>
      </c>
      <c r="B20" s="2363"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4" t="s">
        <v>2307</v>
      </c>
      <c r="G22" s="1870"/>
      <c r="H22" s="1870"/>
      <c r="I22" s="1870"/>
      <c r="J22" s="1871"/>
      <c r="K22" s="83"/>
      <c r="L22" s="83"/>
      <c r="M22" s="83"/>
      <c r="N22" s="83"/>
      <c r="O22" s="83"/>
      <c r="P22" s="83"/>
      <c r="Q22" s="83"/>
      <c r="R22" s="767"/>
      <c r="S22" s="53"/>
      <c r="T22" s="53"/>
      <c r="U22" s="1306"/>
      <c r="V22" s="1307"/>
      <c r="W22" s="799"/>
      <c r="X22" s="36"/>
      <c r="Y22" s="36"/>
      <c r="Z22" s="799"/>
    </row>
    <row r="23" spans="1:45" ht="16.5" thickBot="1">
      <c r="A23" s="164" t="s">
        <v>2308</v>
      </c>
      <c r="B23" s="307">
        <f>IF(F23="——",IF(C23="万元",T25,S25),IF(C23="万元",T25-H23,S25-H23))</f>
        <v>0</v>
      </c>
      <c r="C23" s="2365" t="str">
        <f>'数据-取费表'!B3</f>
        <v>元</v>
      </c>
      <c r="D23" s="83"/>
      <c r="E23" s="83"/>
      <c r="F23" s="2366" t="s">
        <v>1247</v>
      </c>
      <c r="G23" s="1872"/>
      <c r="H23" s="677" t="e">
        <f ca="1">SUMIF(INDIRECT("'"&amp;J23&amp;"'"&amp;"!A:A"),"承租人权益价值",INDIRECT("'"&amp;J23&amp;"'"&amp;"!c:c"))</f>
        <v>#REF!</v>
      </c>
      <c r="I23" s="677" t="str">
        <f>C2</f>
        <v>元</v>
      </c>
      <c r="J23" s="2367"/>
      <c r="K23" s="83"/>
      <c r="L23" s="83"/>
      <c r="M23" s="83"/>
      <c r="N23" s="83"/>
      <c r="O23" s="83"/>
      <c r="P23" s="83"/>
      <c r="Q23" s="83"/>
      <c r="R23" s="767"/>
      <c r="S23" s="53"/>
      <c r="T23" s="53"/>
      <c r="V23" s="1307"/>
      <c r="W23" s="799"/>
      <c r="X23" s="36"/>
      <c r="Y23" s="36"/>
      <c r="Z23" s="799"/>
    </row>
    <row r="24" spans="1:45" ht="15.75">
      <c r="A24" s="2365" t="s">
        <v>2309</v>
      </c>
      <c r="B24" s="307" t="e">
        <f>R25</f>
        <v>#DIV/0!</v>
      </c>
      <c r="C24" s="1138"/>
      <c r="D24" s="83"/>
      <c r="E24" s="83"/>
      <c r="F24" s="83"/>
      <c r="G24" s="83"/>
      <c r="H24" s="83"/>
      <c r="I24" s="83"/>
      <c r="J24" s="83"/>
      <c r="K24" s="83"/>
      <c r="L24" s="83"/>
      <c r="M24" s="83"/>
      <c r="N24" s="83"/>
      <c r="O24" s="83"/>
      <c r="P24" s="83"/>
      <c r="Q24" s="83"/>
      <c r="R24" s="767"/>
      <c r="S24" s="14" t="s">
        <v>2310</v>
      </c>
      <c r="T24" s="1889" t="s">
        <v>2311</v>
      </c>
      <c r="U24" s="2368" t="s">
        <v>2312</v>
      </c>
      <c r="V24" s="1336"/>
      <c r="W24" s="2369" t="s">
        <v>2313</v>
      </c>
      <c r="X24" s="2368" t="s">
        <v>2314</v>
      </c>
      <c r="Y24" s="1336"/>
      <c r="Z24" s="2370" t="s">
        <v>2313</v>
      </c>
    </row>
    <row r="25" spans="1:45">
      <c r="A25" s="333" t="s">
        <v>2315</v>
      </c>
      <c r="B25" s="14">
        <f>SUM(B27:B10000)</f>
        <v>0</v>
      </c>
      <c r="C25" s="3029" t="s">
        <v>45</v>
      </c>
      <c r="D25" s="3030"/>
      <c r="E25" s="3030"/>
      <c r="F25" s="3030"/>
      <c r="G25" s="3030"/>
      <c r="H25" s="3030"/>
      <c r="I25" s="3030"/>
      <c r="J25" s="3030"/>
      <c r="K25" s="3030"/>
      <c r="L25" s="3030"/>
      <c r="M25" s="3030"/>
      <c r="N25" s="3030"/>
      <c r="O25" s="3030"/>
      <c r="P25" s="3030"/>
      <c r="Q25" s="3031"/>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5" t="s">
        <v>2321</v>
      </c>
      <c r="V26" s="2372" t="s">
        <v>2322</v>
      </c>
      <c r="W26" s="2373" t="s">
        <v>2323</v>
      </c>
      <c r="X26" s="1875" t="s">
        <v>2321</v>
      </c>
      <c r="Y26" s="2372" t="s">
        <v>2322</v>
      </c>
      <c r="Z26" s="2373" t="s">
        <v>2323</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2324</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selection activeCell="G34" sqref="G34"/>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6.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2326</v>
      </c>
      <c r="C1" s="1720" t="s">
        <v>2887</v>
      </c>
      <c r="D1" s="2374"/>
      <c r="E1" s="2375" t="s">
        <v>2888</v>
      </c>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1" customFormat="1" ht="28.5" customHeight="1" thickTop="1">
      <c r="A2" s="1721" t="s">
        <v>1997</v>
      </c>
      <c r="B2" s="1719">
        <f>IF(D2="——",IF(C2="元",ROUND(C49*D3,0),ROUND(C49*D3/10000,0)),IF(C2="元",ROUND(C49*D3,0),ROUND(C49*D3/10000,0))-E2)</f>
        <v>18950667</v>
      </c>
      <c r="C2" s="162" t="str">
        <f>'数据-取费表'!B3</f>
        <v>元</v>
      </c>
      <c r="D2" s="2377" t="s">
        <v>1247</v>
      </c>
      <c r="E2" s="1836" t="e">
        <f ca="1">SUMIF(INDIRECT("'"&amp;G2&amp;"'"&amp;"!A:A"),"承租人权益价值",INDIRECT("'"&amp;G2&amp;"'"&amp;"!c:c"))</f>
        <v>#REF!</v>
      </c>
      <c r="F2" s="2378" t="str">
        <f>C2</f>
        <v>元</v>
      </c>
      <c r="G2" s="2379"/>
      <c r="H2" s="974"/>
      <c r="I2" s="974"/>
      <c r="J2" s="974"/>
      <c r="K2" s="2380"/>
      <c r="L2" s="2381"/>
      <c r="M2" s="2382"/>
      <c r="N2" s="2382"/>
      <c r="O2" s="2382"/>
      <c r="P2" s="2383"/>
      <c r="Q2" s="2384"/>
      <c r="R2" s="2384"/>
      <c r="S2" s="2384"/>
      <c r="T2" s="2384"/>
      <c r="U2" s="2384"/>
      <c r="V2" s="2384"/>
      <c r="W2" s="2384"/>
      <c r="X2" s="2384"/>
      <c r="Y2" s="2384"/>
      <c r="Z2" s="2384"/>
      <c r="AA2" s="2384"/>
      <c r="AB2" s="2384"/>
      <c r="AC2" s="2385"/>
    </row>
    <row r="3" spans="1:29" s="371" customFormat="1" ht="28.5" customHeight="1" thickBot="1">
      <c r="A3" s="166" t="s">
        <v>1998</v>
      </c>
      <c r="B3" s="377">
        <f>ROUND(IF(D2="——",C49,IF(C2="万元",B2*10000/D3,B2/D3)),0)</f>
        <v>53592</v>
      </c>
      <c r="C3" s="378" t="s">
        <v>2328</v>
      </c>
      <c r="D3" s="377">
        <f>IF(C1="仅计算典型户型",'数据-取费表'!E5,'数据-取费表'!B5)</f>
        <v>353.61</v>
      </c>
      <c r="E3" s="974"/>
      <c r="F3" s="2386"/>
      <c r="G3" s="974"/>
      <c r="H3" s="974"/>
      <c r="I3" s="974"/>
      <c r="J3" s="974"/>
      <c r="K3" s="2380"/>
      <c r="L3" s="2381"/>
      <c r="M3" s="2382"/>
      <c r="N3" s="2382"/>
      <c r="O3" s="2382"/>
      <c r="P3" s="2387"/>
      <c r="Q3" s="2384"/>
      <c r="R3" s="2384"/>
      <c r="S3" s="2384"/>
      <c r="T3" s="2384"/>
      <c r="U3" s="2384"/>
      <c r="V3" s="2384"/>
      <c r="W3" s="2384"/>
      <c r="X3" s="2384"/>
      <c r="Y3" s="2384"/>
      <c r="Z3" s="2384"/>
      <c r="AA3" s="2384"/>
      <c r="AB3" s="2384"/>
      <c r="AC3" s="1352"/>
    </row>
    <row r="4" spans="1:29" ht="15">
      <c r="A4" s="379" t="s">
        <v>2329</v>
      </c>
      <c r="B4" s="380"/>
      <c r="C4" s="3038" t="s">
        <v>2330</v>
      </c>
      <c r="D4" s="3039"/>
      <c r="E4" s="3040" t="s">
        <v>2331</v>
      </c>
      <c r="F4" s="3041"/>
      <c r="G4" s="3038" t="s">
        <v>2332</v>
      </c>
      <c r="H4" s="3039"/>
      <c r="I4" s="3038" t="s">
        <v>2333</v>
      </c>
      <c r="J4" s="3039"/>
      <c r="K4" s="2388"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5" t="s">
        <v>2332</v>
      </c>
      <c r="AC4" s="3035" t="s">
        <v>2333</v>
      </c>
    </row>
    <row r="5" spans="1:29" ht="15">
      <c r="A5" s="382"/>
      <c r="B5" s="383"/>
      <c r="C5" s="3057" t="s">
        <v>2893</v>
      </c>
      <c r="D5" s="3058"/>
      <c r="E5" s="3055" t="str">
        <f>C5</f>
        <v>橘郡花园</v>
      </c>
      <c r="F5" s="3056"/>
      <c r="G5" s="3061" t="str">
        <f>E5</f>
        <v>橘郡花园</v>
      </c>
      <c r="H5" s="3058"/>
      <c r="I5" s="3061" t="str">
        <f>G5</f>
        <v>橘郡花园</v>
      </c>
      <c r="J5" s="3058"/>
      <c r="K5" s="2389"/>
      <c r="L5" s="1237"/>
      <c r="M5" s="1238"/>
      <c r="N5" s="1238"/>
      <c r="O5" s="1238"/>
      <c r="P5" s="3044"/>
      <c r="Q5" s="3045"/>
      <c r="R5" s="3050"/>
      <c r="S5" s="3051"/>
      <c r="T5" s="3050"/>
      <c r="U5" s="3051"/>
      <c r="V5" s="3054"/>
      <c r="W5" s="3054"/>
      <c r="X5" s="1892"/>
      <c r="Y5" s="3050"/>
      <c r="Z5" s="3051"/>
      <c r="AA5" s="3036"/>
      <c r="AB5" s="3036"/>
      <c r="AC5" s="3036"/>
    </row>
    <row r="6" spans="1:29" ht="15.75" thickBot="1">
      <c r="A6" s="384"/>
      <c r="B6" s="385"/>
      <c r="C6" s="3059" t="s">
        <v>2340</v>
      </c>
      <c r="D6" s="3060"/>
      <c r="E6" s="3062" t="s">
        <v>2340</v>
      </c>
      <c r="F6" s="3063"/>
      <c r="G6" s="3059" t="s">
        <v>2340</v>
      </c>
      <c r="H6" s="3060"/>
      <c r="I6" s="3059" t="s">
        <v>2340</v>
      </c>
      <c r="J6" s="3060"/>
      <c r="K6" s="2389" t="s">
        <v>2341</v>
      </c>
      <c r="L6" s="1237"/>
      <c r="M6" s="1238"/>
      <c r="N6" s="1238"/>
      <c r="O6" s="1238"/>
      <c r="P6" s="3046"/>
      <c r="Q6" s="3047"/>
      <c r="R6" s="3050"/>
      <c r="S6" s="3051"/>
      <c r="T6" s="3052"/>
      <c r="U6" s="3053"/>
      <c r="V6" s="3054"/>
      <c r="W6" s="3054"/>
      <c r="X6" s="1892"/>
      <c r="Y6" s="3052"/>
      <c r="Z6" s="3053"/>
      <c r="AA6" s="3037"/>
      <c r="AB6" s="3037"/>
      <c r="AC6" s="3037"/>
    </row>
    <row r="7" spans="1:29" s="35" customFormat="1" ht="15.75" thickBot="1">
      <c r="A7" s="386" t="s">
        <v>2342</v>
      </c>
      <c r="B7" s="387"/>
      <c r="C7" s="388">
        <f>'数据-取费表'!B2</f>
        <v>43888</v>
      </c>
      <c r="D7" s="389">
        <v>100</v>
      </c>
      <c r="E7" s="390">
        <v>43878</v>
      </c>
      <c r="F7" s="391">
        <f>SUMIF(58:58,YEAR(E7)&amp;"-"&amp;MONTH(E7),59:59)</f>
        <v>100</v>
      </c>
      <c r="G7" s="390">
        <v>43865</v>
      </c>
      <c r="H7" s="389">
        <f>SUMIF(58:58,YEAR(G7)&amp;"-"&amp;MONTH(G7),59:59)</f>
        <v>100</v>
      </c>
      <c r="I7" s="390">
        <v>43838</v>
      </c>
      <c r="J7" s="389">
        <f>SUMIF(58:58,YEAR(I7)&amp;"-"&amp;MONTH(I7),59:59)</f>
        <v>100</v>
      </c>
      <c r="K7" s="2390"/>
      <c r="L7" s="1239"/>
      <c r="M7" s="1240"/>
      <c r="N7" s="1240"/>
      <c r="O7" s="1240"/>
      <c r="P7" s="3071" t="s">
        <v>2343</v>
      </c>
      <c r="Q7" s="3073"/>
      <c r="R7" s="747" t="s">
        <v>34</v>
      </c>
      <c r="S7" s="748">
        <f t="shared" ref="S7:S15" si="0">F7</f>
        <v>100</v>
      </c>
      <c r="T7" s="747" t="s">
        <v>34</v>
      </c>
      <c r="U7" s="748">
        <f t="shared" ref="U7:U15" si="1">H7</f>
        <v>100</v>
      </c>
      <c r="V7" s="747" t="s">
        <v>34</v>
      </c>
      <c r="W7" s="748">
        <f t="shared" ref="W7:W15" si="2">J7</f>
        <v>100</v>
      </c>
      <c r="X7" s="749"/>
      <c r="Y7" s="3071" t="s">
        <v>2343</v>
      </c>
      <c r="Z7" s="3072"/>
      <c r="AA7" s="750">
        <f>D7/F7</f>
        <v>1</v>
      </c>
      <c r="AB7" s="750">
        <f>D7/H7</f>
        <v>1</v>
      </c>
      <c r="AC7" s="750">
        <f>D7/J7</f>
        <v>1</v>
      </c>
    </row>
    <row r="8" spans="1:29" s="35" customFormat="1" ht="15.75" thickBot="1">
      <c r="A8" s="386" t="s">
        <v>2344</v>
      </c>
      <c r="B8" s="387"/>
      <c r="C8" s="393" t="s">
        <v>2345</v>
      </c>
      <c r="D8" s="389">
        <v>100</v>
      </c>
      <c r="E8" s="2391" t="s">
        <v>2850</v>
      </c>
      <c r="F8" s="391">
        <f>SUMIF(61:61,E8,62:62)-SUMIF(61:61,C8,62:62)+100</f>
        <v>100</v>
      </c>
      <c r="G8" s="2391" t="s">
        <v>2850</v>
      </c>
      <c r="H8" s="389">
        <f>SUMIF(61:61,G8,62:62)-SUMIF(61:61,C8,62:62)+100</f>
        <v>100</v>
      </c>
      <c r="I8" s="2391" t="s">
        <v>2850</v>
      </c>
      <c r="J8" s="389">
        <f>SUMIF(61:61,I8,62:62)-SUMIF(61:61,C8,62:62)+100</f>
        <v>100</v>
      </c>
      <c r="K8" s="2390"/>
      <c r="L8" s="1239"/>
      <c r="M8" s="1240"/>
      <c r="N8" s="1240"/>
      <c r="O8" s="1240"/>
      <c r="P8" s="3071" t="s">
        <v>2346</v>
      </c>
      <c r="Q8" s="3072"/>
      <c r="R8" s="747" t="s">
        <v>34</v>
      </c>
      <c r="S8" s="748">
        <f t="shared" si="0"/>
        <v>100</v>
      </c>
      <c r="T8" s="747" t="s">
        <v>34</v>
      </c>
      <c r="U8" s="748">
        <f t="shared" si="1"/>
        <v>100</v>
      </c>
      <c r="V8" s="747" t="s">
        <v>34</v>
      </c>
      <c r="W8" s="748">
        <f t="shared" si="2"/>
        <v>100</v>
      </c>
      <c r="X8" s="749"/>
      <c r="Y8" s="3071" t="s">
        <v>2346</v>
      </c>
      <c r="Z8" s="3072"/>
      <c r="AA8" s="750">
        <f t="shared" ref="AA8:AA46" si="3">D8/F8</f>
        <v>1</v>
      </c>
      <c r="AB8" s="750">
        <f t="shared" ref="AB8:AB46" si="4">D8/H8</f>
        <v>1</v>
      </c>
      <c r="AC8" s="750">
        <f t="shared" ref="AC8:AC46" si="5">D8/J8</f>
        <v>1</v>
      </c>
    </row>
    <row r="9" spans="1:29" s="35" customFormat="1">
      <c r="A9" s="394" t="s">
        <v>2347</v>
      </c>
      <c r="B9" s="28" t="s">
        <v>2348</v>
      </c>
      <c r="C9" s="2771" t="s">
        <v>2889</v>
      </c>
      <c r="D9" s="50">
        <v>100</v>
      </c>
      <c r="E9" s="396" t="s">
        <v>2848</v>
      </c>
      <c r="F9" s="397">
        <f>SUMIF(63:63,E9,64:64)-SUMIF(63:63,C9,64:64)+100</f>
        <v>100</v>
      </c>
      <c r="G9" s="396" t="s">
        <v>2848</v>
      </c>
      <c r="H9" s="50">
        <f>SUMIF(63:63,G9,64:64)-SUMIF(63:63,C9,64:64)+100</f>
        <v>100</v>
      </c>
      <c r="I9" s="396" t="s">
        <v>2848</v>
      </c>
      <c r="J9" s="50">
        <f>SUMIF(63:63,I9,64:64)-SUMIF(63:63,C9,64:64)+100</f>
        <v>100</v>
      </c>
      <c r="K9" s="2390"/>
      <c r="L9" s="1239"/>
      <c r="M9" s="1240"/>
      <c r="N9" s="1240"/>
      <c r="O9" s="1240"/>
      <c r="P9" s="3074"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7.75" thickBot="1">
      <c r="A10" s="400"/>
      <c r="B10" s="401" t="s">
        <v>2351</v>
      </c>
      <c r="C10" s="402" t="s">
        <v>2890</v>
      </c>
      <c r="D10" s="51">
        <v>100</v>
      </c>
      <c r="E10" s="403" t="s">
        <v>2890</v>
      </c>
      <c r="F10" s="404">
        <f>SUMIF(65:65,E10,66:66)-SUMIF(65:65,C10,66:66)+100</f>
        <v>100</v>
      </c>
      <c r="G10" s="403" t="s">
        <v>2890</v>
      </c>
      <c r="H10" s="51">
        <f>SUMIF(65:65,G10,66:66)-SUMIF(65:65,C10,66:66)+100</f>
        <v>100</v>
      </c>
      <c r="I10" s="403" t="s">
        <v>2890</v>
      </c>
      <c r="J10" s="51">
        <f>SUMIF(65:65,I10,66:66)-SUMIF(65:65,C10,66:66)+100</f>
        <v>100</v>
      </c>
      <c r="K10" s="405"/>
      <c r="L10" s="1242"/>
      <c r="M10" s="1243"/>
      <c r="N10" s="1243"/>
      <c r="O10" s="1243"/>
      <c r="P10" s="3074"/>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hidden="1">
      <c r="A11" s="407"/>
      <c r="B11" s="401" t="s">
        <v>2352</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74"/>
      <c r="Q11" s="1879" t="str">
        <f t="shared" si="6"/>
        <v>容积率</v>
      </c>
      <c r="R11" s="747" t="s">
        <v>28</v>
      </c>
      <c r="S11" s="748">
        <f t="shared" si="0"/>
        <v>100</v>
      </c>
      <c r="T11" s="747" t="s">
        <v>28</v>
      </c>
      <c r="U11" s="748">
        <f t="shared" si="1"/>
        <v>100</v>
      </c>
      <c r="V11" s="747" t="s">
        <v>28</v>
      </c>
      <c r="W11" s="748">
        <f t="shared" si="2"/>
        <v>100</v>
      </c>
      <c r="X11" s="749"/>
      <c r="Y11" s="2886"/>
      <c r="Z11" s="23" t="str">
        <f t="shared" si="7"/>
        <v>容积率</v>
      </c>
      <c r="AA11" s="750">
        <f t="shared" si="3"/>
        <v>1</v>
      </c>
      <c r="AB11" s="750">
        <f t="shared" si="4"/>
        <v>1</v>
      </c>
      <c r="AC11" s="750">
        <f t="shared" si="5"/>
        <v>1</v>
      </c>
    </row>
    <row r="12" spans="1:29" s="35" customFormat="1" ht="15" hidden="1">
      <c r="A12" s="410"/>
      <c r="B12" s="2392">
        <v>111</v>
      </c>
      <c r="C12" s="411"/>
      <c r="D12" s="412">
        <v>100</v>
      </c>
      <c r="E12" s="411"/>
      <c r="F12" s="404">
        <f>SUMIF(70:70,E12,71:71)-SUMIF(70:70,C12,71:71)+100</f>
        <v>100</v>
      </c>
      <c r="G12" s="411"/>
      <c r="H12" s="51">
        <f>SUMIF(70:70,G12,71:71)-SUMIF(70:70,C12,71:71)+100</f>
        <v>100</v>
      </c>
      <c r="I12" s="411"/>
      <c r="J12" s="51">
        <f>SUMIF(70:70,I12,71:71)-SUMIF(70:70,C12,71:71)+100</f>
        <v>100</v>
      </c>
      <c r="K12" s="2393"/>
      <c r="L12" s="1239"/>
      <c r="M12" s="1240"/>
      <c r="N12" s="1240"/>
      <c r="O12" s="1240"/>
      <c r="P12" s="3074"/>
      <c r="Q12" s="1879">
        <f t="shared" si="6"/>
        <v>111</v>
      </c>
      <c r="R12" s="747" t="s">
        <v>28</v>
      </c>
      <c r="S12" s="748">
        <f t="shared" si="0"/>
        <v>100</v>
      </c>
      <c r="T12" s="747" t="s">
        <v>28</v>
      </c>
      <c r="U12" s="748">
        <f t="shared" si="1"/>
        <v>100</v>
      </c>
      <c r="V12" s="747" t="s">
        <v>28</v>
      </c>
      <c r="W12" s="748">
        <f t="shared" si="2"/>
        <v>100</v>
      </c>
      <c r="X12" s="749"/>
      <c r="Y12" s="2886"/>
      <c r="Z12" s="23">
        <f t="shared" si="7"/>
        <v>111</v>
      </c>
      <c r="AA12" s="750">
        <f>D12/F12</f>
        <v>1</v>
      </c>
      <c r="AB12" s="750">
        <f>D12/H12</f>
        <v>1</v>
      </c>
      <c r="AC12" s="750">
        <f>D12/J12</f>
        <v>1</v>
      </c>
    </row>
    <row r="13" spans="1:29" ht="15" hidden="1">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2393"/>
      <c r="L13" s="1247"/>
      <c r="M13" s="1238"/>
      <c r="N13" s="1238"/>
      <c r="O13" s="1238"/>
      <c r="P13" s="3074"/>
      <c r="Q13" s="1879">
        <f t="shared" si="6"/>
        <v>111</v>
      </c>
      <c r="R13" s="747" t="s">
        <v>28</v>
      </c>
      <c r="S13" s="748">
        <f t="shared" si="0"/>
        <v>100</v>
      </c>
      <c r="T13" s="747" t="s">
        <v>28</v>
      </c>
      <c r="U13" s="748">
        <f t="shared" si="1"/>
        <v>100</v>
      </c>
      <c r="V13" s="747" t="s">
        <v>28</v>
      </c>
      <c r="W13" s="748">
        <f t="shared" si="2"/>
        <v>100</v>
      </c>
      <c r="X13" s="749"/>
      <c r="Y13" s="2886"/>
      <c r="Z13" s="23">
        <f t="shared" si="7"/>
        <v>111</v>
      </c>
      <c r="AA13" s="750">
        <f t="shared" si="3"/>
        <v>1</v>
      </c>
      <c r="AB13" s="750">
        <f t="shared" si="4"/>
        <v>1</v>
      </c>
      <c r="AC13" s="750">
        <f t="shared" si="5"/>
        <v>1</v>
      </c>
    </row>
    <row r="14" spans="1:29" ht="15.75" hidden="1" thickBot="1">
      <c r="A14" s="415"/>
      <c r="B14" s="2394">
        <v>111</v>
      </c>
      <c r="C14" s="2395"/>
      <c r="D14" s="416">
        <v>100</v>
      </c>
      <c r="E14" s="2395"/>
      <c r="F14" s="417">
        <f>SUMIF(74:74,E14,75:75)-SUMIF(74:74,C14,75:75)+100</f>
        <v>100</v>
      </c>
      <c r="G14" s="2395"/>
      <c r="H14" s="416">
        <f>SUMIF(74:74,G14,75:75)-SUMIF(74:74,C14,75:75)+100</f>
        <v>100</v>
      </c>
      <c r="I14" s="2395"/>
      <c r="J14" s="416">
        <f>SUMIF(74:74,I14,75:75)-SUMIF(74:74,C14,75:75)+100</f>
        <v>100</v>
      </c>
      <c r="K14" s="2393"/>
      <c r="L14" s="1247"/>
      <c r="M14" s="1238"/>
      <c r="N14" s="1238"/>
      <c r="O14" s="1238"/>
      <c r="P14" s="3074"/>
      <c r="Q14" s="1879">
        <f t="shared" si="6"/>
        <v>111</v>
      </c>
      <c r="R14" s="747" t="s">
        <v>28</v>
      </c>
      <c r="S14" s="748">
        <f t="shared" si="0"/>
        <v>100</v>
      </c>
      <c r="T14" s="747" t="s">
        <v>28</v>
      </c>
      <c r="U14" s="748">
        <f t="shared" si="1"/>
        <v>100</v>
      </c>
      <c r="V14" s="747" t="s">
        <v>28</v>
      </c>
      <c r="W14" s="748">
        <f t="shared" si="2"/>
        <v>100</v>
      </c>
      <c r="X14" s="749"/>
      <c r="Y14" s="2886"/>
      <c r="Z14" s="23">
        <f t="shared" si="7"/>
        <v>111</v>
      </c>
      <c r="AA14" s="750">
        <f t="shared" si="3"/>
        <v>1</v>
      </c>
      <c r="AB14" s="750">
        <f t="shared" si="4"/>
        <v>1</v>
      </c>
      <c r="AC14" s="750">
        <f t="shared" si="5"/>
        <v>1</v>
      </c>
    </row>
    <row r="15" spans="1:29" ht="99.75">
      <c r="A15" s="418" t="s">
        <v>2353</v>
      </c>
      <c r="B15" s="26" t="s">
        <v>1727</v>
      </c>
      <c r="C15" s="2396"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77" t="s">
        <v>2354</v>
      </c>
      <c r="Q15" s="1891" t="str">
        <f t="shared" si="6"/>
        <v>居住社区成熟度</v>
      </c>
      <c r="R15" s="751" t="s">
        <v>28</v>
      </c>
      <c r="S15" s="752">
        <f t="shared" si="0"/>
        <v>100</v>
      </c>
      <c r="T15" s="751" t="s">
        <v>28</v>
      </c>
      <c r="U15" s="752">
        <f t="shared" si="1"/>
        <v>100</v>
      </c>
      <c r="V15" s="751" t="s">
        <v>28</v>
      </c>
      <c r="W15" s="752">
        <f t="shared" si="2"/>
        <v>100</v>
      </c>
      <c r="X15" s="1892"/>
      <c r="Y15" s="3064" t="s">
        <v>2354</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8"/>
      <c r="L16" s="1247"/>
      <c r="M16" s="1238"/>
      <c r="N16" s="1238"/>
      <c r="O16" s="1238"/>
      <c r="P16" s="3078"/>
      <c r="Q16" s="1891"/>
      <c r="R16" s="751"/>
      <c r="S16" s="752"/>
      <c r="T16" s="751"/>
      <c r="U16" s="752"/>
      <c r="V16" s="751"/>
      <c r="W16" s="752"/>
      <c r="X16" s="1892"/>
      <c r="Y16" s="3065"/>
      <c r="Z16" s="1894"/>
      <c r="AA16" s="1895">
        <v>1</v>
      </c>
      <c r="AB16" s="1895">
        <v>1</v>
      </c>
      <c r="AC16" s="1895">
        <v>1</v>
      </c>
    </row>
    <row r="17" spans="1:29" ht="85.5">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78"/>
      <c r="Q17" s="1891" t="str">
        <f>B17</f>
        <v>交通便捷度</v>
      </c>
      <c r="R17" s="751" t="s">
        <v>28</v>
      </c>
      <c r="S17" s="752">
        <f>F17</f>
        <v>100</v>
      </c>
      <c r="T17" s="751" t="s">
        <v>28</v>
      </c>
      <c r="U17" s="752">
        <f>H17</f>
        <v>100</v>
      </c>
      <c r="V17" s="751" t="s">
        <v>28</v>
      </c>
      <c r="W17" s="752">
        <f>J17</f>
        <v>100</v>
      </c>
      <c r="X17" s="1892"/>
      <c r="Y17" s="3065"/>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8"/>
      <c r="L18" s="1247"/>
      <c r="M18" s="1238"/>
      <c r="N18" s="1238"/>
      <c r="O18" s="1238"/>
      <c r="P18" s="3078"/>
      <c r="Q18" s="1891"/>
      <c r="R18" s="751"/>
      <c r="S18" s="752"/>
      <c r="T18" s="751"/>
      <c r="U18" s="752"/>
      <c r="V18" s="751"/>
      <c r="W18" s="752"/>
      <c r="X18" s="1892"/>
      <c r="Y18" s="3065"/>
      <c r="Z18" s="1894"/>
      <c r="AA18" s="1895">
        <v>1</v>
      </c>
      <c r="AB18" s="1895">
        <v>1</v>
      </c>
      <c r="AC18" s="1895">
        <v>1</v>
      </c>
    </row>
    <row r="19" spans="1:29" ht="42.75">
      <c r="A19" s="407"/>
      <c r="B19" s="430" t="s">
        <v>1737</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78"/>
      <c r="Q19" s="1891" t="str">
        <f>B19</f>
        <v>公共配套设施</v>
      </c>
      <c r="R19" s="751" t="s">
        <v>28</v>
      </c>
      <c r="S19" s="752">
        <f>F19</f>
        <v>100</v>
      </c>
      <c r="T19" s="751" t="s">
        <v>28</v>
      </c>
      <c r="U19" s="752">
        <f>H19</f>
        <v>100</v>
      </c>
      <c r="V19" s="751" t="s">
        <v>28</v>
      </c>
      <c r="W19" s="752">
        <f>J19</f>
        <v>100</v>
      </c>
      <c r="X19" s="1892"/>
      <c r="Y19" s="3065"/>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8"/>
      <c r="L20" s="1247"/>
      <c r="M20" s="1238"/>
      <c r="N20" s="1238"/>
      <c r="O20" s="1238"/>
      <c r="P20" s="3078"/>
      <c r="Q20" s="1891"/>
      <c r="R20" s="751"/>
      <c r="S20" s="752"/>
      <c r="T20" s="751"/>
      <c r="U20" s="752"/>
      <c r="V20" s="751"/>
      <c r="W20" s="752"/>
      <c r="X20" s="1892"/>
      <c r="Y20" s="3065"/>
      <c r="Z20" s="1894"/>
      <c r="AA20" s="1895">
        <v>1</v>
      </c>
      <c r="AB20" s="1895">
        <v>1</v>
      </c>
      <c r="AC20" s="1895">
        <v>1</v>
      </c>
    </row>
    <row r="21" spans="1:29" ht="28.5">
      <c r="A21" s="407"/>
      <c r="B21" s="2401" t="s">
        <v>1740</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78"/>
      <c r="Q21" s="1891" t="str">
        <f>B21</f>
        <v>基础设施水平</v>
      </c>
      <c r="R21" s="751" t="s">
        <v>28</v>
      </c>
      <c r="S21" s="752">
        <f>F21</f>
        <v>100</v>
      </c>
      <c r="T21" s="751" t="s">
        <v>28</v>
      </c>
      <c r="U21" s="752">
        <f>H21</f>
        <v>100</v>
      </c>
      <c r="V21" s="751" t="s">
        <v>28</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2401"/>
      <c r="C22" s="436" t="s">
        <v>2879</v>
      </c>
      <c r="D22" s="426"/>
      <c r="E22" s="436" t="s">
        <v>2879</v>
      </c>
      <c r="F22" s="428"/>
      <c r="G22" s="436" t="s">
        <v>2879</v>
      </c>
      <c r="H22" s="426"/>
      <c r="I22" s="436" t="s">
        <v>2879</v>
      </c>
      <c r="J22" s="426"/>
      <c r="K22" s="2402"/>
      <c r="L22" s="1247"/>
      <c r="M22" s="1238"/>
      <c r="N22" s="1238"/>
      <c r="O22" s="1238"/>
      <c r="P22" s="3078"/>
      <c r="Q22" s="1891"/>
      <c r="R22" s="751"/>
      <c r="S22" s="752"/>
      <c r="T22" s="751"/>
      <c r="U22" s="752"/>
      <c r="V22" s="751"/>
      <c r="W22" s="752"/>
      <c r="X22" s="1892"/>
      <c r="Y22" s="3065"/>
      <c r="Z22" s="1894"/>
      <c r="AA22" s="1895">
        <v>1</v>
      </c>
      <c r="AB22" s="1895">
        <v>1</v>
      </c>
      <c r="AC22" s="1895">
        <v>1</v>
      </c>
    </row>
    <row r="23" spans="1:29" ht="57">
      <c r="A23" s="407"/>
      <c r="B23" s="430" t="s">
        <v>1744</v>
      </c>
      <c r="C23" s="2399"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78"/>
      <c r="Q23" s="1891" t="str">
        <f>B23</f>
        <v>自然及人文环境</v>
      </c>
      <c r="R23" s="751" t="s">
        <v>28</v>
      </c>
      <c r="S23" s="752">
        <f>F23</f>
        <v>100</v>
      </c>
      <c r="T23" s="751" t="s">
        <v>28</v>
      </c>
      <c r="U23" s="752">
        <f>H23</f>
        <v>100</v>
      </c>
      <c r="V23" s="751" t="s">
        <v>28</v>
      </c>
      <c r="W23" s="752">
        <f>J23</f>
        <v>100</v>
      </c>
      <c r="X23" s="1892"/>
      <c r="Y23" s="3065"/>
      <c r="Z23" s="1894" t="str">
        <f>Q23</f>
        <v>自然及人文环境</v>
      </c>
      <c r="AA23" s="1895">
        <f t="shared" si="3"/>
        <v>1</v>
      </c>
      <c r="AB23" s="1895">
        <f t="shared" si="4"/>
        <v>1</v>
      </c>
      <c r="AC23" s="1895">
        <f t="shared" si="5"/>
        <v>1</v>
      </c>
    </row>
    <row r="24" spans="1:29" ht="15">
      <c r="A24" s="407"/>
      <c r="B24" s="435"/>
      <c r="C24" s="425" t="s">
        <v>30</v>
      </c>
      <c r="D24" s="426"/>
      <c r="E24" s="425" t="s">
        <v>30</v>
      </c>
      <c r="F24" s="428"/>
      <c r="G24" s="425" t="s">
        <v>30</v>
      </c>
      <c r="H24" s="426"/>
      <c r="I24" s="425" t="s">
        <v>30</v>
      </c>
      <c r="J24" s="426"/>
      <c r="K24" s="2398"/>
      <c r="L24" s="1247"/>
      <c r="M24" s="1238"/>
      <c r="N24" s="1238"/>
      <c r="O24" s="1238"/>
      <c r="P24" s="3078"/>
      <c r="Q24" s="1891"/>
      <c r="R24" s="751"/>
      <c r="S24" s="752"/>
      <c r="T24" s="751"/>
      <c r="U24" s="752"/>
      <c r="V24" s="751"/>
      <c r="W24" s="752"/>
      <c r="X24" s="1892"/>
      <c r="Y24" s="3065"/>
      <c r="Z24" s="1894"/>
      <c r="AA24" s="1895">
        <v>1</v>
      </c>
      <c r="AB24" s="1895">
        <v>1</v>
      </c>
      <c r="AC24" s="1895">
        <v>1</v>
      </c>
    </row>
    <row r="25" spans="1:29" ht="15">
      <c r="A25" s="407"/>
      <c r="B25" s="401" t="s">
        <v>2355</v>
      </c>
      <c r="C25" s="440"/>
      <c r="D25" s="414">
        <v>100</v>
      </c>
      <c r="E25" s="2403"/>
      <c r="F25" s="441">
        <f>SUMIF(86:86,E25,87:87)-SUMIF(86:86,C25,87:87)+100</f>
        <v>100</v>
      </c>
      <c r="G25" s="2404"/>
      <c r="H25" s="414">
        <f>SUMIF(86:86,G25,87:87)-SUMIF(86:86,C25,87:87)+100</f>
        <v>100</v>
      </c>
      <c r="I25" s="2403"/>
      <c r="J25" s="414">
        <f>SUMIF(86:86,I25,87:87)-SUMIF(86:86,C25,87:87)+100</f>
        <v>100</v>
      </c>
      <c r="K25" s="405"/>
      <c r="L25" s="1247"/>
      <c r="M25" s="1238"/>
      <c r="N25" s="1238"/>
      <c r="O25" s="1238"/>
      <c r="P25" s="3078"/>
      <c r="Q25" s="1891" t="str">
        <f t="shared" ref="Q25:Q46" si="11">B25</f>
        <v>楼层-1</v>
      </c>
      <c r="R25" s="751" t="s">
        <v>28</v>
      </c>
      <c r="S25" s="752">
        <f>F25</f>
        <v>100</v>
      </c>
      <c r="T25" s="751" t="s">
        <v>28</v>
      </c>
      <c r="U25" s="752">
        <f>H25</f>
        <v>100</v>
      </c>
      <c r="V25" s="751" t="s">
        <v>28</v>
      </c>
      <c r="W25" s="752">
        <f>J25</f>
        <v>100</v>
      </c>
      <c r="X25" s="1892"/>
      <c r="Y25" s="3065"/>
      <c r="Z25" s="1894" t="str">
        <f>Q25</f>
        <v>楼层-1</v>
      </c>
      <c r="AA25" s="1895">
        <f t="shared" si="3"/>
        <v>1</v>
      </c>
      <c r="AB25" s="1895">
        <f t="shared" si="4"/>
        <v>1</v>
      </c>
      <c r="AC25" s="1895">
        <f t="shared" si="5"/>
        <v>1</v>
      </c>
    </row>
    <row r="26" spans="1:29" ht="15">
      <c r="A26" s="407"/>
      <c r="B26" s="401" t="s">
        <v>2356</v>
      </c>
      <c r="C26" s="440" t="s">
        <v>2857</v>
      </c>
      <c r="D26" s="414">
        <v>100</v>
      </c>
      <c r="E26" s="3136" t="s">
        <v>2864</v>
      </c>
      <c r="F26" s="3137">
        <f>SUMIF(88:88,E26,89:89)-SUMIF(88:88,C26,89:89)+100</f>
        <v>93</v>
      </c>
      <c r="G26" s="3138" t="s">
        <v>2865</v>
      </c>
      <c r="H26" s="3139">
        <f>SUMIF(88:88,G26,89:89)-SUMIF(88:88,C26,89:89)+100</f>
        <v>92</v>
      </c>
      <c r="I26" s="3136" t="s">
        <v>2858</v>
      </c>
      <c r="J26" s="3139">
        <f>SUMIF(88:88,I26,89:89)-SUMIF(88:88,C26,89:89)+100</f>
        <v>99</v>
      </c>
      <c r="K26" s="3140">
        <v>1</v>
      </c>
      <c r="L26" s="1247"/>
      <c r="M26" s="1238"/>
      <c r="N26" s="1238"/>
      <c r="O26" s="1238"/>
      <c r="P26" s="3078"/>
      <c r="Q26" s="1891" t="str">
        <f t="shared" si="11"/>
        <v>朝向</v>
      </c>
      <c r="R26" s="751" t="s">
        <v>28</v>
      </c>
      <c r="S26" s="752">
        <f>F26</f>
        <v>93</v>
      </c>
      <c r="T26" s="751" t="s">
        <v>28</v>
      </c>
      <c r="U26" s="752">
        <f>H26</f>
        <v>92</v>
      </c>
      <c r="V26" s="751" t="s">
        <v>28</v>
      </c>
      <c r="W26" s="752">
        <f>J26</f>
        <v>99</v>
      </c>
      <c r="X26" s="1892"/>
      <c r="Y26" s="3065"/>
      <c r="Z26" s="1894" t="str">
        <f>Q26</f>
        <v>朝向</v>
      </c>
      <c r="AA26" s="1895">
        <f t="shared" si="3"/>
        <v>1.075268817204301</v>
      </c>
      <c r="AB26" s="1895">
        <f t="shared" si="4"/>
        <v>1.0869565217391304</v>
      </c>
      <c r="AC26" s="1895">
        <f t="shared" si="5"/>
        <v>1.0101010101010102</v>
      </c>
    </row>
    <row r="27" spans="1:29" s="35" customFormat="1" ht="15.75" thickBot="1">
      <c r="A27" s="410"/>
      <c r="B27" s="2392" t="s">
        <v>2357</v>
      </c>
      <c r="C27" s="2775" t="s">
        <v>2895</v>
      </c>
      <c r="D27" s="442">
        <v>100</v>
      </c>
      <c r="E27" s="2775" t="s">
        <v>2895</v>
      </c>
      <c r="F27" s="444">
        <f>SUMIF(90:90,E27,91:91)-SUMIF(90:90,C27,91:91)+100</f>
        <v>100</v>
      </c>
      <c r="G27" s="2775" t="s">
        <v>2895</v>
      </c>
      <c r="H27" s="442">
        <f>SUMIF(90:90,G27,91:91)-SUMIF(90:90,C27,91:91)+100</f>
        <v>100</v>
      </c>
      <c r="I27" s="2775" t="s">
        <v>2895</v>
      </c>
      <c r="J27" s="442">
        <f>SUMIF(90:90,I27,91:91)-SUMIF(90:90,C27,91:91)+100</f>
        <v>100</v>
      </c>
      <c r="K27" s="2393"/>
      <c r="L27" s="1239"/>
      <c r="M27" s="1240"/>
      <c r="N27" s="1240"/>
      <c r="O27" s="1240"/>
      <c r="P27" s="3078"/>
      <c r="Q27" s="1879" t="str">
        <f t="shared" si="11"/>
        <v>道路级别</v>
      </c>
      <c r="R27" s="747" t="s">
        <v>28</v>
      </c>
      <c r="S27" s="748">
        <f>F27</f>
        <v>100</v>
      </c>
      <c r="T27" s="747" t="s">
        <v>28</v>
      </c>
      <c r="U27" s="748">
        <f>H27</f>
        <v>100</v>
      </c>
      <c r="V27" s="747" t="s">
        <v>28</v>
      </c>
      <c r="W27" s="748">
        <f>J27</f>
        <v>100</v>
      </c>
      <c r="X27" s="749"/>
      <c r="Y27" s="3065"/>
      <c r="Z27" s="23" t="str">
        <f>Q27</f>
        <v>道路级别</v>
      </c>
      <c r="AA27" s="1895">
        <f>D27/F27</f>
        <v>1</v>
      </c>
      <c r="AB27" s="1895">
        <f>D27/H27</f>
        <v>1</v>
      </c>
      <c r="AC27" s="1895">
        <f>D27/J27</f>
        <v>1</v>
      </c>
    </row>
    <row r="28" spans="1:29" ht="15" hidden="1">
      <c r="A28" s="407"/>
      <c r="B28" s="2405">
        <v>111</v>
      </c>
      <c r="C28" s="413"/>
      <c r="D28" s="414">
        <v>100</v>
      </c>
      <c r="E28" s="413"/>
      <c r="F28" s="441">
        <f>SUMIF(92:92,E28,93:93)-SUMIF(92:92,C28,93:93)+100</f>
        <v>100</v>
      </c>
      <c r="G28" s="413"/>
      <c r="H28" s="414">
        <f>SUMIF(92:92,G28,93:93)-SUMIF(92:92,C28,93:93)+100</f>
        <v>100</v>
      </c>
      <c r="I28" s="413"/>
      <c r="J28" s="414">
        <f>SUMIF(92:92,I28,93:93)-SUMIF(92:92,C28,93:93)+100</f>
        <v>100</v>
      </c>
      <c r="K28" s="2393"/>
      <c r="L28" s="1247"/>
      <c r="M28" s="1238"/>
      <c r="N28" s="1238"/>
      <c r="O28" s="1238"/>
      <c r="P28" s="3078"/>
      <c r="Q28" s="1891">
        <f t="shared" si="11"/>
        <v>111</v>
      </c>
      <c r="R28" s="751" t="s">
        <v>28</v>
      </c>
      <c r="S28" s="752">
        <f t="shared" ref="S28:S46" si="12">F28</f>
        <v>100</v>
      </c>
      <c r="T28" s="751" t="s">
        <v>28</v>
      </c>
      <c r="U28" s="752">
        <f t="shared" ref="U28:U46" si="13">H28</f>
        <v>100</v>
      </c>
      <c r="V28" s="751" t="s">
        <v>28</v>
      </c>
      <c r="W28" s="752">
        <f t="shared" ref="W28:W46" si="14">J28</f>
        <v>100</v>
      </c>
      <c r="X28" s="1892"/>
      <c r="Y28" s="3065"/>
      <c r="Z28" s="1894">
        <f t="shared" ref="Z28:Z46" si="15">Q28</f>
        <v>111</v>
      </c>
      <c r="AA28" s="1895">
        <f t="shared" si="3"/>
        <v>1</v>
      </c>
      <c r="AB28" s="1895">
        <f t="shared" si="4"/>
        <v>1</v>
      </c>
      <c r="AC28" s="1895">
        <f t="shared" si="5"/>
        <v>1</v>
      </c>
    </row>
    <row r="29" spans="1:29" ht="15" hidden="1">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2393"/>
      <c r="L29" s="1247"/>
      <c r="M29" s="1238"/>
      <c r="N29" s="1238"/>
      <c r="O29" s="1238"/>
      <c r="P29" s="3078"/>
      <c r="Q29" s="1891">
        <f t="shared" si="11"/>
        <v>111</v>
      </c>
      <c r="R29" s="751" t="s">
        <v>28</v>
      </c>
      <c r="S29" s="752">
        <f t="shared" si="12"/>
        <v>100</v>
      </c>
      <c r="T29" s="751" t="s">
        <v>28</v>
      </c>
      <c r="U29" s="752">
        <f t="shared" si="13"/>
        <v>100</v>
      </c>
      <c r="V29" s="751" t="s">
        <v>28</v>
      </c>
      <c r="W29" s="752">
        <f t="shared" si="14"/>
        <v>100</v>
      </c>
      <c r="X29" s="1892"/>
      <c r="Y29" s="3065"/>
      <c r="Z29" s="1894">
        <f t="shared" si="15"/>
        <v>111</v>
      </c>
      <c r="AA29" s="1895">
        <f t="shared" si="3"/>
        <v>1</v>
      </c>
      <c r="AB29" s="1895">
        <f t="shared" si="4"/>
        <v>1</v>
      </c>
      <c r="AC29" s="1895">
        <f t="shared" si="5"/>
        <v>1</v>
      </c>
    </row>
    <row r="30" spans="1:29" ht="15" hidden="1">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2393"/>
      <c r="L30" s="1247"/>
      <c r="M30" s="1238"/>
      <c r="N30" s="1238"/>
      <c r="O30" s="1238"/>
      <c r="P30" s="3078"/>
      <c r="Q30" s="1891">
        <f t="shared" si="11"/>
        <v>111</v>
      </c>
      <c r="R30" s="751" t="s">
        <v>28</v>
      </c>
      <c r="S30" s="752">
        <f t="shared" si="12"/>
        <v>100</v>
      </c>
      <c r="T30" s="751" t="s">
        <v>28</v>
      </c>
      <c r="U30" s="752">
        <f t="shared" si="13"/>
        <v>100</v>
      </c>
      <c r="V30" s="751" t="s">
        <v>28</v>
      </c>
      <c r="W30" s="752">
        <f t="shared" si="14"/>
        <v>100</v>
      </c>
      <c r="X30" s="1892"/>
      <c r="Y30" s="3065"/>
      <c r="Z30" s="1894">
        <f t="shared" si="15"/>
        <v>111</v>
      </c>
      <c r="AA30" s="1895">
        <f t="shared" si="3"/>
        <v>1</v>
      </c>
      <c r="AB30" s="1895">
        <f t="shared" si="4"/>
        <v>1</v>
      </c>
      <c r="AC30" s="1895">
        <f t="shared" si="5"/>
        <v>1</v>
      </c>
    </row>
    <row r="31" spans="1:29" ht="15.75" hidden="1" thickBot="1">
      <c r="A31" s="415"/>
      <c r="B31" s="2405">
        <v>111</v>
      </c>
      <c r="C31" s="2395"/>
      <c r="D31" s="416">
        <v>100</v>
      </c>
      <c r="E31" s="2395"/>
      <c r="F31" s="417">
        <f>SUMIF(98:98,E31,99:99)-SUMIF(98:98,C31,99:99)+100</f>
        <v>100</v>
      </c>
      <c r="G31" s="2395"/>
      <c r="H31" s="416">
        <f>SUMIF(98:98,G31,99:99)-SUMIF(98:98,C31,99:99)+100</f>
        <v>100</v>
      </c>
      <c r="I31" s="2395"/>
      <c r="J31" s="416">
        <f>SUMIF(98:98,I31,99:99)-SUMIF(98:98,C31,99:99)+100</f>
        <v>100</v>
      </c>
      <c r="K31" s="2393"/>
      <c r="L31" s="1247"/>
      <c r="M31" s="1238"/>
      <c r="N31" s="1238"/>
      <c r="O31" s="1238"/>
      <c r="P31" s="3078"/>
      <c r="Q31" s="1891">
        <f t="shared" si="11"/>
        <v>111</v>
      </c>
      <c r="R31" s="751" t="s">
        <v>28</v>
      </c>
      <c r="S31" s="752">
        <f t="shared" si="12"/>
        <v>100</v>
      </c>
      <c r="T31" s="751" t="s">
        <v>28</v>
      </c>
      <c r="U31" s="752">
        <f t="shared" si="13"/>
        <v>100</v>
      </c>
      <c r="V31" s="751" t="s">
        <v>28</v>
      </c>
      <c r="W31" s="752">
        <f t="shared" si="14"/>
        <v>100</v>
      </c>
      <c r="X31" s="1892"/>
      <c r="Y31" s="3065"/>
      <c r="Z31" s="1894">
        <f t="shared" si="15"/>
        <v>111</v>
      </c>
      <c r="AA31" s="1895">
        <f t="shared" si="3"/>
        <v>1</v>
      </c>
      <c r="AB31" s="1895">
        <f t="shared" si="4"/>
        <v>1</v>
      </c>
      <c r="AC31" s="1895">
        <f t="shared" si="5"/>
        <v>1</v>
      </c>
    </row>
    <row r="32" spans="1:29" ht="15">
      <c r="A32" s="418" t="s">
        <v>2358</v>
      </c>
      <c r="B32" s="28" t="s">
        <v>2359</v>
      </c>
      <c r="C32" s="2406" t="s">
        <v>2891</v>
      </c>
      <c r="D32" s="447">
        <v>100</v>
      </c>
      <c r="E32" s="2407" t="s">
        <v>2894</v>
      </c>
      <c r="F32" s="441">
        <f>SUMIF(100:100,E32,101:101)-SUMIF(100:100,C32,101:101)+100</f>
        <v>95</v>
      </c>
      <c r="G32" s="2406" t="s">
        <v>2891</v>
      </c>
      <c r="H32" s="447">
        <f>SUMIF(100:100,G32,101:101)-SUMIF(100:100,C32,101:101)+100</f>
        <v>100</v>
      </c>
      <c r="I32" s="2407" t="s">
        <v>2891</v>
      </c>
      <c r="J32" s="414">
        <f>SUMIF(100:100,I32,101:101)-SUMIF(100:100,C32,101:101)+100</f>
        <v>100</v>
      </c>
      <c r="K32" s="405">
        <v>5</v>
      </c>
      <c r="L32" s="1247"/>
      <c r="M32" s="1238"/>
      <c r="N32" s="1238"/>
      <c r="O32" s="1238"/>
      <c r="P32" s="3066" t="s">
        <v>2360</v>
      </c>
      <c r="Q32" s="1891" t="str">
        <f t="shared" si="11"/>
        <v>建筑类型</v>
      </c>
      <c r="R32" s="751" t="s">
        <v>28</v>
      </c>
      <c r="S32" s="752">
        <f t="shared" si="12"/>
        <v>95</v>
      </c>
      <c r="T32" s="751" t="s">
        <v>28</v>
      </c>
      <c r="U32" s="752">
        <f t="shared" si="13"/>
        <v>100</v>
      </c>
      <c r="V32" s="751" t="s">
        <v>28</v>
      </c>
      <c r="W32" s="752">
        <f t="shared" si="14"/>
        <v>100</v>
      </c>
      <c r="X32" s="1892"/>
      <c r="Y32" s="3069" t="s">
        <v>2360</v>
      </c>
      <c r="Z32" s="1894" t="str">
        <f t="shared" si="15"/>
        <v>建筑类型</v>
      </c>
      <c r="AA32" s="1895">
        <f t="shared" si="3"/>
        <v>1.0526315789473684</v>
      </c>
      <c r="AB32" s="1895">
        <f t="shared" si="4"/>
        <v>1</v>
      </c>
      <c r="AC32" s="1895">
        <f t="shared" si="5"/>
        <v>1</v>
      </c>
    </row>
    <row r="33" spans="1:29" s="451" customFormat="1" ht="15">
      <c r="A33" s="448"/>
      <c r="B33" s="401" t="s">
        <v>2361</v>
      </c>
      <c r="C33" s="2772">
        <v>353.61</v>
      </c>
      <c r="D33" s="51">
        <v>100</v>
      </c>
      <c r="E33" s="409">
        <v>158</v>
      </c>
      <c r="F33" s="404">
        <f>LOOKUP(E33,103:103,104:104)-LOOKUP(C33,103:103,104:104)+100</f>
        <v>99</v>
      </c>
      <c r="G33" s="408">
        <v>226</v>
      </c>
      <c r="H33" s="51">
        <f>LOOKUP(G33,103:103,104:104)-LOOKUP(C33,103:103,104:104)+100</f>
        <v>99</v>
      </c>
      <c r="I33" s="409">
        <v>241</v>
      </c>
      <c r="J33" s="51">
        <f>LOOKUP(I33,103:103,104:104)-LOOKUP(C33,103:103,104:104)+100</f>
        <v>99</v>
      </c>
      <c r="K33" s="2393"/>
      <c r="L33" s="1245"/>
      <c r="M33" s="1248"/>
      <c r="N33" s="1248"/>
      <c r="O33" s="1248"/>
      <c r="P33" s="3067"/>
      <c r="Q33" s="753" t="str">
        <f t="shared" si="11"/>
        <v>项目建筑规模</v>
      </c>
      <c r="R33" s="754" t="s">
        <v>28</v>
      </c>
      <c r="S33" s="755">
        <f t="shared" si="12"/>
        <v>99</v>
      </c>
      <c r="T33" s="754" t="s">
        <v>28</v>
      </c>
      <c r="U33" s="755">
        <f t="shared" si="13"/>
        <v>99</v>
      </c>
      <c r="V33" s="754" t="s">
        <v>28</v>
      </c>
      <c r="W33" s="755">
        <f t="shared" si="14"/>
        <v>99</v>
      </c>
      <c r="X33" s="756"/>
      <c r="Y33" s="3069"/>
      <c r="Z33" s="757" t="str">
        <f t="shared" si="15"/>
        <v>项目建筑规模</v>
      </c>
      <c r="AA33" s="1895">
        <f t="shared" si="3"/>
        <v>1.0101010101010102</v>
      </c>
      <c r="AB33" s="1895">
        <f t="shared" si="4"/>
        <v>1.0101010101010102</v>
      </c>
      <c r="AC33" s="1895">
        <f t="shared" si="5"/>
        <v>1.0101010101010102</v>
      </c>
    </row>
    <row r="34" spans="1:29" ht="15">
      <c r="A34" s="452"/>
      <c r="B34" s="401" t="s">
        <v>2362</v>
      </c>
      <c r="C34" s="2408" t="s">
        <v>2873</v>
      </c>
      <c r="D34" s="414">
        <v>100</v>
      </c>
      <c r="E34" s="2408" t="s">
        <v>2873</v>
      </c>
      <c r="F34" s="441">
        <f>SUMIF(105:105,E34,106:106)-SUMIF(105:105,C34,106:106)+100</f>
        <v>100</v>
      </c>
      <c r="G34" s="2408" t="s">
        <v>2873</v>
      </c>
      <c r="H34" s="414">
        <f>SUMIF(105:105,G34,106:106)-SUMIF(105:105,C34,106:106)+100</f>
        <v>100</v>
      </c>
      <c r="I34" s="2408" t="s">
        <v>2873</v>
      </c>
      <c r="J34" s="414">
        <f>SUMIF(105:105,I34,106:106)-SUMIF(105:105,C34,106:106)+100</f>
        <v>100</v>
      </c>
      <c r="K34" s="405">
        <v>1</v>
      </c>
      <c r="L34" s="1247"/>
      <c r="M34" s="1238"/>
      <c r="N34" s="1238"/>
      <c r="O34" s="1238"/>
      <c r="P34" s="3067"/>
      <c r="Q34" s="1891" t="str">
        <f t="shared" si="11"/>
        <v>建筑结构</v>
      </c>
      <c r="R34" s="751" t="s">
        <v>28</v>
      </c>
      <c r="S34" s="752">
        <f t="shared" si="12"/>
        <v>100</v>
      </c>
      <c r="T34" s="751" t="s">
        <v>28</v>
      </c>
      <c r="U34" s="752">
        <f t="shared" si="13"/>
        <v>100</v>
      </c>
      <c r="V34" s="751" t="s">
        <v>28</v>
      </c>
      <c r="W34" s="752">
        <f t="shared" si="14"/>
        <v>100</v>
      </c>
      <c r="X34" s="1892"/>
      <c r="Y34" s="3069"/>
      <c r="Z34" s="1894" t="str">
        <f t="shared" si="15"/>
        <v>建筑结构</v>
      </c>
      <c r="AA34" s="1895">
        <f t="shared" si="3"/>
        <v>1</v>
      </c>
      <c r="AB34" s="1895">
        <f t="shared" si="4"/>
        <v>1</v>
      </c>
      <c r="AC34" s="1895">
        <f t="shared" si="5"/>
        <v>1</v>
      </c>
    </row>
    <row r="35" spans="1:29" ht="15">
      <c r="A35" s="452"/>
      <c r="B35" s="401" t="s">
        <v>2363</v>
      </c>
      <c r="C35" s="2408" t="s">
        <v>29</v>
      </c>
      <c r="D35" s="414">
        <v>100</v>
      </c>
      <c r="E35" s="2408" t="s">
        <v>29</v>
      </c>
      <c r="F35" s="441">
        <f>SUMIF(107:107,E35,108:108)-SUMIF(107:107,C35,108:108)+100</f>
        <v>100</v>
      </c>
      <c r="G35" s="2404" t="s">
        <v>29</v>
      </c>
      <c r="H35" s="414">
        <f>SUMIF(107:107,G35,108:108)-SUMIF(107:107,C35,108:108)+100</f>
        <v>100</v>
      </c>
      <c r="I35" s="2408" t="s">
        <v>29</v>
      </c>
      <c r="J35" s="414">
        <f>SUMIF(107:107,I35,108:108)-SUMIF(107:107,C35,108:108)+100</f>
        <v>100</v>
      </c>
      <c r="K35" s="405">
        <v>2</v>
      </c>
      <c r="L35" s="1247"/>
      <c r="M35" s="1238"/>
      <c r="N35" s="1238"/>
      <c r="O35" s="1238"/>
      <c r="P35" s="3067"/>
      <c r="Q35" s="1891" t="str">
        <f t="shared" si="11"/>
        <v>建筑品质</v>
      </c>
      <c r="R35" s="751" t="s">
        <v>28</v>
      </c>
      <c r="S35" s="752">
        <f t="shared" si="12"/>
        <v>100</v>
      </c>
      <c r="T35" s="751" t="s">
        <v>28</v>
      </c>
      <c r="U35" s="752">
        <f t="shared" si="13"/>
        <v>100</v>
      </c>
      <c r="V35" s="751" t="s">
        <v>28</v>
      </c>
      <c r="W35" s="752">
        <f t="shared" si="14"/>
        <v>100</v>
      </c>
      <c r="X35" s="1892"/>
      <c r="Y35" s="3069"/>
      <c r="Z35" s="1894" t="str">
        <f t="shared" si="15"/>
        <v>建筑品质</v>
      </c>
      <c r="AA35" s="1895">
        <f t="shared" si="3"/>
        <v>1</v>
      </c>
      <c r="AB35" s="1895">
        <f t="shared" si="4"/>
        <v>1</v>
      </c>
      <c r="AC35" s="1895">
        <f t="shared" si="5"/>
        <v>1</v>
      </c>
    </row>
    <row r="36" spans="1:29" ht="15">
      <c r="A36" s="452"/>
      <c r="B36" s="401" t="s">
        <v>2364</v>
      </c>
      <c r="C36" s="2408" t="s">
        <v>2892</v>
      </c>
      <c r="D36" s="414">
        <v>100</v>
      </c>
      <c r="E36" s="2408" t="s">
        <v>2892</v>
      </c>
      <c r="F36" s="441">
        <f>SUMIF(109:109,E36,110:110)-SUMIF(109:109,C36,110:110)+100</f>
        <v>100</v>
      </c>
      <c r="G36" s="2404" t="s">
        <v>2892</v>
      </c>
      <c r="H36" s="414">
        <f>SUMIF(109:109,G36,110:110)-SUMIF(109:109,C36,110:110)+100</f>
        <v>100</v>
      </c>
      <c r="I36" s="2408" t="s">
        <v>2892</v>
      </c>
      <c r="J36" s="414">
        <f>SUMIF(109:109,I36,110:110)-SUMIF(109:109,C36,110:110)+100</f>
        <v>100</v>
      </c>
      <c r="K36" s="405">
        <v>2</v>
      </c>
      <c r="L36" s="1247"/>
      <c r="M36" s="1238"/>
      <c r="N36" s="1238"/>
      <c r="O36" s="1238"/>
      <c r="P36" s="3067"/>
      <c r="Q36" s="1891" t="str">
        <f t="shared" si="11"/>
        <v>公共部分装修</v>
      </c>
      <c r="R36" s="751" t="s">
        <v>28</v>
      </c>
      <c r="S36" s="752">
        <f t="shared" si="12"/>
        <v>100</v>
      </c>
      <c r="T36" s="751" t="s">
        <v>28</v>
      </c>
      <c r="U36" s="752">
        <f t="shared" si="13"/>
        <v>100</v>
      </c>
      <c r="V36" s="751" t="s">
        <v>28</v>
      </c>
      <c r="W36" s="752">
        <f t="shared" si="14"/>
        <v>100</v>
      </c>
      <c r="X36" s="1892"/>
      <c r="Y36" s="3069"/>
      <c r="Z36" s="1894" t="str">
        <f t="shared" si="15"/>
        <v>公共部分装修</v>
      </c>
      <c r="AA36" s="1895">
        <f t="shared" si="3"/>
        <v>1</v>
      </c>
      <c r="AB36" s="1895">
        <f t="shared" si="4"/>
        <v>1</v>
      </c>
      <c r="AC36" s="1895">
        <f t="shared" si="5"/>
        <v>1</v>
      </c>
    </row>
    <row r="37" spans="1:29" s="35" customFormat="1" ht="15">
      <c r="A37" s="453"/>
      <c r="B37" s="401" t="s">
        <v>2365</v>
      </c>
      <c r="C37" s="2773">
        <f>'数据-取费表'!E20</f>
        <v>0.81</v>
      </c>
      <c r="D37" s="51">
        <v>100</v>
      </c>
      <c r="E37" s="2773">
        <f>C37</f>
        <v>0.81</v>
      </c>
      <c r="F37" s="404">
        <f>LOOKUP(E37,112:112,113:113)-LOOKUP(C37,112:112,113:113)+100</f>
        <v>100</v>
      </c>
      <c r="G37" s="456">
        <f>E37</f>
        <v>0.81</v>
      </c>
      <c r="H37" s="51">
        <f>LOOKUP(G37,112:112,113:113)-LOOKUP(C37,112:112,113:113)+100</f>
        <v>100</v>
      </c>
      <c r="I37" s="2773">
        <f>G37</f>
        <v>0.81</v>
      </c>
      <c r="J37" s="51">
        <f>LOOKUP(I37,112:112,113:113)-LOOKUP(C37,112:112,113:113)+100</f>
        <v>100</v>
      </c>
      <c r="K37" s="405">
        <v>2</v>
      </c>
      <c r="L37" s="1239"/>
      <c r="M37" s="1240"/>
      <c r="N37" s="1240"/>
      <c r="O37" s="1240"/>
      <c r="P37" s="3067"/>
      <c r="Q37" s="1879" t="str">
        <f t="shared" si="11"/>
        <v>成新度</v>
      </c>
      <c r="R37" s="747" t="s">
        <v>28</v>
      </c>
      <c r="S37" s="748">
        <f t="shared" si="12"/>
        <v>100</v>
      </c>
      <c r="T37" s="747" t="s">
        <v>28</v>
      </c>
      <c r="U37" s="748">
        <f t="shared" si="13"/>
        <v>100</v>
      </c>
      <c r="V37" s="747" t="s">
        <v>28</v>
      </c>
      <c r="W37" s="748">
        <f t="shared" si="14"/>
        <v>100</v>
      </c>
      <c r="X37" s="749"/>
      <c r="Y37" s="3069"/>
      <c r="Z37" s="23" t="str">
        <f t="shared" si="15"/>
        <v>成新度</v>
      </c>
      <c r="AA37" s="750">
        <f t="shared" si="3"/>
        <v>1</v>
      </c>
      <c r="AB37" s="750">
        <f t="shared" si="4"/>
        <v>1</v>
      </c>
      <c r="AC37" s="750">
        <f t="shared" si="5"/>
        <v>1</v>
      </c>
    </row>
    <row r="38" spans="1:29" ht="15">
      <c r="A38" s="452"/>
      <c r="B38" s="401" t="s">
        <v>2366</v>
      </c>
      <c r="C38" s="2774" t="s">
        <v>2884</v>
      </c>
      <c r="D38" s="414">
        <v>100</v>
      </c>
      <c r="E38" s="2774" t="s">
        <v>2884</v>
      </c>
      <c r="F38" s="441">
        <f>SUMIF(114:114,E38,115:115)-SUMIF(114:114,C38,115:115)+100</f>
        <v>100</v>
      </c>
      <c r="G38" s="2404" t="s">
        <v>2884</v>
      </c>
      <c r="H38" s="414">
        <f>SUMIF(114:114,G38,115:115)-SUMIF(114:114,C38,115:115)+100</f>
        <v>100</v>
      </c>
      <c r="I38" s="2774" t="s">
        <v>2884</v>
      </c>
      <c r="J38" s="414">
        <f>SUMIF(114:114,I38,115:115)-SUMIF(114:114,C38,115:115)+100</f>
        <v>100</v>
      </c>
      <c r="K38" s="405">
        <v>1</v>
      </c>
      <c r="L38" s="1247"/>
      <c r="M38" s="1238"/>
      <c r="N38" s="1238"/>
      <c r="O38" s="1238"/>
      <c r="P38" s="3067" t="s">
        <v>2360</v>
      </c>
      <c r="Q38" s="1891" t="str">
        <f t="shared" si="11"/>
        <v>物业管理</v>
      </c>
      <c r="R38" s="751" t="s">
        <v>28</v>
      </c>
      <c r="S38" s="752">
        <f t="shared" si="12"/>
        <v>100</v>
      </c>
      <c r="T38" s="751" t="s">
        <v>28</v>
      </c>
      <c r="U38" s="752">
        <f t="shared" si="13"/>
        <v>100</v>
      </c>
      <c r="V38" s="751" t="s">
        <v>28</v>
      </c>
      <c r="W38" s="752">
        <f t="shared" si="14"/>
        <v>100</v>
      </c>
      <c r="X38" s="1892"/>
      <c r="Y38" s="3069" t="s">
        <v>2360</v>
      </c>
      <c r="Z38" s="1894" t="str">
        <f t="shared" si="15"/>
        <v>物业管理</v>
      </c>
      <c r="AA38" s="1895">
        <f t="shared" si="3"/>
        <v>1</v>
      </c>
      <c r="AB38" s="1895">
        <f t="shared" si="4"/>
        <v>1</v>
      </c>
      <c r="AC38" s="1895">
        <f t="shared" si="5"/>
        <v>1</v>
      </c>
    </row>
    <row r="39" spans="1:29" ht="15">
      <c r="A39" s="452"/>
      <c r="B39" s="401" t="s">
        <v>2367</v>
      </c>
      <c r="C39" s="2408" t="s">
        <v>2880</v>
      </c>
      <c r="D39" s="414">
        <v>100</v>
      </c>
      <c r="E39" s="2408" t="s">
        <v>2880</v>
      </c>
      <c r="F39" s="441">
        <f>SUMIF(116:116,E39,117:117)-SUMIF(116:116,C39,117:117)+100</f>
        <v>100</v>
      </c>
      <c r="G39" s="2404" t="s">
        <v>2880</v>
      </c>
      <c r="H39" s="414">
        <f>SUMIF(116:116,G39,117:117)-SUMIF(116:116,C39,117:117)+100</f>
        <v>100</v>
      </c>
      <c r="I39" s="2408" t="s">
        <v>2880</v>
      </c>
      <c r="J39" s="414">
        <f>SUMIF(116:116,I39,117:117)-SUMIF(116:116,C39,117:117)+100</f>
        <v>100</v>
      </c>
      <c r="K39" s="405">
        <v>2</v>
      </c>
      <c r="L39" s="1247"/>
      <c r="M39" s="1238"/>
      <c r="N39" s="1238"/>
      <c r="O39" s="1238"/>
      <c r="P39" s="3067"/>
      <c r="Q39" s="1891" t="str">
        <f t="shared" si="11"/>
        <v>市政基础设施</v>
      </c>
      <c r="R39" s="751" t="s">
        <v>28</v>
      </c>
      <c r="S39" s="752">
        <f t="shared" si="12"/>
        <v>100</v>
      </c>
      <c r="T39" s="751" t="s">
        <v>28</v>
      </c>
      <c r="U39" s="752">
        <f t="shared" si="13"/>
        <v>100</v>
      </c>
      <c r="V39" s="751" t="s">
        <v>28</v>
      </c>
      <c r="W39" s="752">
        <f t="shared" si="14"/>
        <v>100</v>
      </c>
      <c r="X39" s="1892"/>
      <c r="Y39" s="3069"/>
      <c r="Z39" s="1894" t="str">
        <f t="shared" si="15"/>
        <v>市政基础设施</v>
      </c>
      <c r="AA39" s="1895">
        <f t="shared" si="3"/>
        <v>1</v>
      </c>
      <c r="AB39" s="1895">
        <f t="shared" si="4"/>
        <v>1</v>
      </c>
      <c r="AC39" s="1895">
        <f t="shared" si="5"/>
        <v>1</v>
      </c>
    </row>
    <row r="40" spans="1:29" ht="15">
      <c r="A40" s="452"/>
      <c r="B40" s="401" t="s">
        <v>2368</v>
      </c>
      <c r="C40" s="2408"/>
      <c r="D40" s="414">
        <v>100</v>
      </c>
      <c r="E40" s="2408"/>
      <c r="F40" s="441">
        <f>SUMIF(118:118,E40,119:119)-SUMIF(118:118,C40,119:119)+100</f>
        <v>100</v>
      </c>
      <c r="G40" s="2404"/>
      <c r="H40" s="414">
        <f>SUMIF(118:118,G40,119:119)-SUMIF(118:118,C40,119:119)+100</f>
        <v>100</v>
      </c>
      <c r="I40" s="2408"/>
      <c r="J40" s="414">
        <f>SUMIF(118:118,I40,119:119)-SUMIF(118:118,C40,119:119)+100</f>
        <v>100</v>
      </c>
      <c r="K40" s="405"/>
      <c r="L40" s="1247"/>
      <c r="M40" s="1238"/>
      <c r="N40" s="1238"/>
      <c r="O40" s="1238"/>
      <c r="P40" s="3067"/>
      <c r="Q40" s="1891" t="str">
        <f t="shared" si="11"/>
        <v>房型</v>
      </c>
      <c r="R40" s="751" t="s">
        <v>28</v>
      </c>
      <c r="S40" s="752">
        <f t="shared" si="12"/>
        <v>100</v>
      </c>
      <c r="T40" s="751" t="s">
        <v>28</v>
      </c>
      <c r="U40" s="752">
        <f t="shared" si="13"/>
        <v>100</v>
      </c>
      <c r="V40" s="751" t="s">
        <v>28</v>
      </c>
      <c r="W40" s="752">
        <f t="shared" si="14"/>
        <v>100</v>
      </c>
      <c r="X40" s="1892"/>
      <c r="Y40" s="3069"/>
      <c r="Z40" s="1894" t="str">
        <f t="shared" si="15"/>
        <v>房型</v>
      </c>
      <c r="AA40" s="1895">
        <f t="shared" si="3"/>
        <v>1</v>
      </c>
      <c r="AB40" s="1895">
        <f t="shared" si="4"/>
        <v>1</v>
      </c>
      <c r="AC40" s="1895">
        <f t="shared" si="5"/>
        <v>1</v>
      </c>
    </row>
    <row r="41" spans="1:29" s="451" customFormat="1" ht="28.5">
      <c r="A41" s="448"/>
      <c r="B41" s="401" t="s">
        <v>2369</v>
      </c>
      <c r="C41" s="2772"/>
      <c r="D41" s="51">
        <v>100</v>
      </c>
      <c r="E41" s="2772"/>
      <c r="F41" s="404">
        <f>SUMIF(120:120,E41,121:121)-SUMIF(120:120,C41,121:121)+100</f>
        <v>100</v>
      </c>
      <c r="G41" s="408"/>
      <c r="H41" s="51">
        <f>SUMIF(120:120,G41,121:121)-SUMIF(120:120,C41,121:121)+100</f>
        <v>100</v>
      </c>
      <c r="I41" s="2772"/>
      <c r="J41" s="414">
        <f>SUMIF(120:120,I41,121:121)-SUMIF(120:120,C41,121:121)+100</f>
        <v>100</v>
      </c>
      <c r="K41" s="2393"/>
      <c r="L41" s="1245"/>
      <c r="M41" s="1248"/>
      <c r="N41" s="1248"/>
      <c r="O41" s="1248"/>
      <c r="P41" s="3067"/>
      <c r="Q41" s="753" t="str">
        <f t="shared" si="11"/>
        <v>单套/主力户型建筑面积</v>
      </c>
      <c r="R41" s="754" t="s">
        <v>28</v>
      </c>
      <c r="S41" s="755">
        <f t="shared" si="12"/>
        <v>100</v>
      </c>
      <c r="T41" s="754" t="s">
        <v>28</v>
      </c>
      <c r="U41" s="755">
        <f t="shared" si="13"/>
        <v>100</v>
      </c>
      <c r="V41" s="754" t="s">
        <v>28</v>
      </c>
      <c r="W41" s="755">
        <f t="shared" si="14"/>
        <v>100</v>
      </c>
      <c r="X41" s="756"/>
      <c r="Y41" s="3069"/>
      <c r="Z41" s="757" t="str">
        <f t="shared" si="15"/>
        <v>单套/主力户型建筑面积</v>
      </c>
      <c r="AA41" s="1895">
        <f t="shared" si="3"/>
        <v>1</v>
      </c>
      <c r="AB41" s="1895">
        <f t="shared" si="4"/>
        <v>1</v>
      </c>
      <c r="AC41" s="1895">
        <f t="shared" si="5"/>
        <v>1</v>
      </c>
    </row>
    <row r="42" spans="1:29" ht="15">
      <c r="A42" s="452"/>
      <c r="B42" s="401" t="s">
        <v>2370</v>
      </c>
      <c r="C42" s="2408" t="s">
        <v>2892</v>
      </c>
      <c r="D42" s="414">
        <v>100</v>
      </c>
      <c r="E42" s="2408" t="s">
        <v>2892</v>
      </c>
      <c r="F42" s="441">
        <f>SUMIF(122:122,E42,123:123)-SUMIF(122:122,C42,123:123)+100</f>
        <v>100</v>
      </c>
      <c r="G42" s="2404" t="s">
        <v>2892</v>
      </c>
      <c r="H42" s="414">
        <f>SUMIF(122:122,G42,123:123)-SUMIF(122:122,C42,123:123)+100</f>
        <v>100</v>
      </c>
      <c r="I42" s="2408" t="s">
        <v>2892</v>
      </c>
      <c r="J42" s="414">
        <f>SUMIF(122:122,I42,123:123)-SUMIF(122:122,C42,123:123)+100</f>
        <v>100</v>
      </c>
      <c r="K42" s="405">
        <v>2</v>
      </c>
      <c r="L42" s="1247"/>
      <c r="M42" s="1238"/>
      <c r="N42" s="1238"/>
      <c r="O42" s="1238"/>
      <c r="P42" s="3067"/>
      <c r="Q42" s="1891" t="str">
        <f t="shared" si="11"/>
        <v>内部装修</v>
      </c>
      <c r="R42" s="751" t="s">
        <v>28</v>
      </c>
      <c r="S42" s="752">
        <f t="shared" si="12"/>
        <v>100</v>
      </c>
      <c r="T42" s="751" t="s">
        <v>28</v>
      </c>
      <c r="U42" s="752">
        <f t="shared" si="13"/>
        <v>100</v>
      </c>
      <c r="V42" s="751" t="s">
        <v>28</v>
      </c>
      <c r="W42" s="752">
        <f t="shared" si="14"/>
        <v>100</v>
      </c>
      <c r="X42" s="1892"/>
      <c r="Y42" s="3069"/>
      <c r="Z42" s="1894" t="str">
        <f t="shared" si="15"/>
        <v>内部装修</v>
      </c>
      <c r="AA42" s="1895">
        <f t="shared" si="3"/>
        <v>1</v>
      </c>
      <c r="AB42" s="1895">
        <f t="shared" si="4"/>
        <v>1</v>
      </c>
      <c r="AC42" s="1895">
        <f t="shared" si="5"/>
        <v>1</v>
      </c>
    </row>
    <row r="43" spans="1:29" ht="15">
      <c r="A43" s="452"/>
      <c r="B43" s="401" t="s">
        <v>2371</v>
      </c>
      <c r="C43" s="2408" t="s">
        <v>29</v>
      </c>
      <c r="D43" s="414">
        <v>100</v>
      </c>
      <c r="E43" s="2408" t="s">
        <v>29</v>
      </c>
      <c r="F43" s="441">
        <f>SUMIF(124:124,E43,125:125)-SUMIF(124:124,C43,125:125)+100</f>
        <v>100</v>
      </c>
      <c r="G43" s="2404" t="s">
        <v>29</v>
      </c>
      <c r="H43" s="414">
        <f>SUMIF(124:124,G43,125:125)-SUMIF(124:124,C43,125:125)+100</f>
        <v>100</v>
      </c>
      <c r="I43" s="2408" t="s">
        <v>29</v>
      </c>
      <c r="J43" s="414">
        <f>SUMIF(124:124,I43,125:125)-SUMIF(124:124,C43,125:125)+100</f>
        <v>100</v>
      </c>
      <c r="K43" s="405">
        <v>2</v>
      </c>
      <c r="L43" s="1247"/>
      <c r="M43" s="1238"/>
      <c r="N43" s="1238"/>
      <c r="O43" s="1238"/>
      <c r="P43" s="3067"/>
      <c r="Q43" s="1891" t="str">
        <f t="shared" si="11"/>
        <v>内部装修维护情况</v>
      </c>
      <c r="R43" s="751" t="s">
        <v>28</v>
      </c>
      <c r="S43" s="752">
        <f t="shared" si="12"/>
        <v>100</v>
      </c>
      <c r="T43" s="751" t="s">
        <v>28</v>
      </c>
      <c r="U43" s="752">
        <f t="shared" si="13"/>
        <v>100</v>
      </c>
      <c r="V43" s="751" t="s">
        <v>28</v>
      </c>
      <c r="W43" s="752">
        <f t="shared" si="14"/>
        <v>100</v>
      </c>
      <c r="X43" s="1892"/>
      <c r="Y43" s="306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3"/>
      <c r="L44" s="1239"/>
      <c r="M44" s="1240"/>
      <c r="N44" s="1240"/>
      <c r="O44" s="1240"/>
      <c r="P44" s="3067"/>
      <c r="Q44" s="1879">
        <f t="shared" si="11"/>
        <v>111</v>
      </c>
      <c r="R44" s="747" t="s">
        <v>28</v>
      </c>
      <c r="S44" s="748">
        <f t="shared" si="12"/>
        <v>100</v>
      </c>
      <c r="T44" s="747" t="s">
        <v>28</v>
      </c>
      <c r="U44" s="748">
        <f t="shared" si="13"/>
        <v>100</v>
      </c>
      <c r="V44" s="747" t="s">
        <v>28</v>
      </c>
      <c r="W44" s="748">
        <f t="shared" si="14"/>
        <v>100</v>
      </c>
      <c r="X44" s="749"/>
      <c r="Y44" s="306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3"/>
      <c r="L45" s="1247"/>
      <c r="M45" s="1238"/>
      <c r="N45" s="1238"/>
      <c r="O45" s="1238"/>
      <c r="P45" s="3067"/>
      <c r="Q45" s="1891">
        <f t="shared" si="11"/>
        <v>111</v>
      </c>
      <c r="R45" s="751" t="s">
        <v>28</v>
      </c>
      <c r="S45" s="752">
        <f t="shared" si="12"/>
        <v>100</v>
      </c>
      <c r="T45" s="751" t="s">
        <v>28</v>
      </c>
      <c r="U45" s="752">
        <f t="shared" si="13"/>
        <v>100</v>
      </c>
      <c r="V45" s="751" t="s">
        <v>28</v>
      </c>
      <c r="W45" s="752">
        <f t="shared" si="14"/>
        <v>100</v>
      </c>
      <c r="X45" s="1892"/>
      <c r="Y45" s="3069"/>
      <c r="Z45" s="1894">
        <f t="shared" si="15"/>
        <v>111</v>
      </c>
      <c r="AA45" s="1895">
        <f t="shared" si="3"/>
        <v>1</v>
      </c>
      <c r="AB45" s="1895">
        <f t="shared" si="4"/>
        <v>1</v>
      </c>
      <c r="AC45" s="1895">
        <f t="shared" si="5"/>
        <v>1</v>
      </c>
    </row>
    <row r="46" spans="1:29" ht="15.75" thickBot="1">
      <c r="A46" s="458"/>
      <c r="B46" s="2394">
        <v>111</v>
      </c>
      <c r="C46" s="2395"/>
      <c r="D46" s="416">
        <v>100</v>
      </c>
      <c r="E46" s="2395"/>
      <c r="F46" s="417">
        <f>SUMIF(130:130,E46,131:131)-SUMIF(130:130,C46,131:131)+100</f>
        <v>100</v>
      </c>
      <c r="G46" s="2395"/>
      <c r="H46" s="416">
        <f>SUMIF(130:130,G46,131:131)-SUMIF(130:130,C46,131:131)+100</f>
        <v>100</v>
      </c>
      <c r="I46" s="2395"/>
      <c r="J46" s="416">
        <f>SUMIF(130:130,I46,131:131)-SUMIF(130:130,C46,131:131)+100</f>
        <v>100</v>
      </c>
      <c r="K46" s="2393"/>
      <c r="L46" s="1247"/>
      <c r="M46" s="1238"/>
      <c r="N46" s="1238"/>
      <c r="O46" s="1238"/>
      <c r="P46" s="3068"/>
      <c r="Q46" s="1891">
        <f t="shared" si="11"/>
        <v>111</v>
      </c>
      <c r="R46" s="751" t="s">
        <v>27</v>
      </c>
      <c r="S46" s="752">
        <f t="shared" si="12"/>
        <v>100</v>
      </c>
      <c r="T46" s="751" t="s">
        <v>27</v>
      </c>
      <c r="U46" s="752">
        <f t="shared" si="13"/>
        <v>100</v>
      </c>
      <c r="V46" s="751" t="s">
        <v>27</v>
      </c>
      <c r="W46" s="752">
        <f t="shared" si="14"/>
        <v>100</v>
      </c>
      <c r="X46" s="1892"/>
      <c r="Y46" s="3070"/>
      <c r="Z46" s="1894">
        <f t="shared" si="15"/>
        <v>111</v>
      </c>
      <c r="AA46" s="1895">
        <f t="shared" si="3"/>
        <v>1</v>
      </c>
      <c r="AB46" s="1895">
        <f t="shared" si="4"/>
        <v>1</v>
      </c>
      <c r="AC46" s="1895">
        <f t="shared" si="5"/>
        <v>1</v>
      </c>
    </row>
    <row r="47" spans="1:29" ht="15">
      <c r="A47" s="459" t="s">
        <v>2372</v>
      </c>
      <c r="B47" s="460"/>
      <c r="C47" s="1496" t="s">
        <v>26</v>
      </c>
      <c r="D47" s="1497"/>
      <c r="E47" s="1498">
        <f>ROUND(51899*C50,0)</f>
        <v>49304</v>
      </c>
      <c r="F47" s="1499"/>
      <c r="G47" s="1500">
        <f>ROUND(51899*C50,0)</f>
        <v>49304</v>
      </c>
      <c r="H47" s="1501"/>
      <c r="I47" s="1498">
        <f>ROUND(51867*C50,0)</f>
        <v>49274</v>
      </c>
      <c r="J47" s="1501"/>
      <c r="K47" s="2410"/>
      <c r="L47" s="1250"/>
      <c r="M47" s="1251"/>
      <c r="N47" s="1238"/>
      <c r="O47" s="1251"/>
      <c r="P47" s="3075" t="str">
        <f>A47</f>
        <v>成交单价（元/平方米）</v>
      </c>
      <c r="Q47" s="3075"/>
      <c r="R47" s="3076">
        <f>E47</f>
        <v>49304</v>
      </c>
      <c r="S47" s="3076"/>
      <c r="T47" s="3076">
        <f>G47</f>
        <v>49304</v>
      </c>
      <c r="U47" s="3076"/>
      <c r="V47" s="3076">
        <f>I47</f>
        <v>49274</v>
      </c>
      <c r="W47" s="3076"/>
      <c r="X47" s="736"/>
      <c r="Y47" s="758"/>
      <c r="Z47" s="736"/>
      <c r="AA47" s="736"/>
      <c r="AB47" s="736"/>
      <c r="AC47" s="736"/>
    </row>
    <row r="48" spans="1:29" ht="15.75" thickBot="1">
      <c r="A48" s="466" t="s">
        <v>2373</v>
      </c>
      <c r="B48" s="467"/>
      <c r="C48" s="1502">
        <f>R49</f>
        <v>53592</v>
      </c>
      <c r="D48" s="1503"/>
      <c r="E48" s="1504">
        <f>R48</f>
        <v>56369</v>
      </c>
      <c r="F48" s="1504"/>
      <c r="G48" s="1502">
        <f>T48</f>
        <v>54133</v>
      </c>
      <c r="H48" s="1503"/>
      <c r="I48" s="1504">
        <f>V48</f>
        <v>50274</v>
      </c>
      <c r="J48" s="1503"/>
      <c r="K48" s="2411"/>
      <c r="L48" s="1250"/>
      <c r="M48" s="1251"/>
      <c r="N48" s="1251"/>
      <c r="O48" s="1251"/>
      <c r="P48" s="3075" t="str">
        <f>A48</f>
        <v>比较价值（元/平方米）</v>
      </c>
      <c r="Q48" s="3075"/>
      <c r="R48" s="3076">
        <f>IF(E1="售价",ROUND(PRODUCT(R47,AA7:AA46),0),ROUND(PRODUCT(R47,AA7:AA46),1))</f>
        <v>56369</v>
      </c>
      <c r="S48" s="3076"/>
      <c r="T48" s="3079">
        <f>IF(E1="售价",ROUND(PRODUCT(T47,AB7:AB46),0),ROUND(PRODUCT(T47,AB7:AB46),1))</f>
        <v>54133</v>
      </c>
      <c r="U48" s="3080"/>
      <c r="V48" s="3076">
        <f>IF(E1="售价",ROUND(PRODUCT(V47,AC7:AC46),0),ROUND(PRODUCT(V47,AC7:AC46),1))</f>
        <v>50274</v>
      </c>
      <c r="W48" s="3076"/>
      <c r="X48" s="736"/>
      <c r="Y48" s="736"/>
      <c r="Z48" s="736"/>
      <c r="AA48" s="736"/>
      <c r="AB48" s="736"/>
      <c r="AC48" s="736"/>
    </row>
    <row r="49" spans="1:29" ht="15.75" thickBot="1">
      <c r="A49" s="472" t="s">
        <v>2374</v>
      </c>
      <c r="B49" s="473"/>
      <c r="C49" s="1505">
        <f>R49</f>
        <v>53592</v>
      </c>
      <c r="D49" s="1506"/>
      <c r="E49" s="1506"/>
      <c r="F49" s="1506"/>
      <c r="G49" s="1506"/>
      <c r="H49" s="1506"/>
      <c r="I49" s="1506"/>
      <c r="J49" s="1506"/>
      <c r="K49" s="2412"/>
      <c r="L49" s="1250"/>
      <c r="M49" s="1251"/>
      <c r="N49" s="1251"/>
      <c r="O49" s="1251"/>
      <c r="P49" s="3081" t="str">
        <f>A49</f>
        <v>估价对象XX用房的比较价值（楼面单价，元/平方米）</v>
      </c>
      <c r="Q49" s="3082"/>
      <c r="R49" s="3083">
        <f>IF(E1="售价",ROUND(AVERAGE(R48:V48),0),ROUND(AVERAGE(R48:V48),1))</f>
        <v>53592</v>
      </c>
      <c r="S49" s="3083"/>
      <c r="T49" s="3083"/>
      <c r="U49" s="3083"/>
      <c r="V49" s="3083"/>
      <c r="W49" s="3083"/>
      <c r="X49" s="736"/>
      <c r="Y49" s="736"/>
      <c r="Z49" s="736"/>
      <c r="AA49" s="736"/>
      <c r="AB49" s="736"/>
      <c r="AC49" s="736"/>
    </row>
    <row r="50" spans="1:29">
      <c r="A50" s="1251"/>
      <c r="B50" s="1251"/>
      <c r="C50" s="1251">
        <v>0.95</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2375</v>
      </c>
      <c r="D52" s="478"/>
      <c r="E52" s="479">
        <f>IF(E47&lt;E48,E48/E47-1,E47/E48-1)</f>
        <v>0.14329466169073513</v>
      </c>
      <c r="F52" s="480" t="str">
        <f>IF(OR(E52&gt;=0.3,E52&lt;=-0.3),"超过30%","")</f>
        <v/>
      </c>
      <c r="G52" s="479">
        <f>IF(G47&lt;G48,G48/G47-1,G47/G48-1)</f>
        <v>9.7943371734544815E-2</v>
      </c>
      <c r="H52" s="480" t="str">
        <f>IF(OR(G52&gt;=0.3,G52&lt;=-0.3),"超过30%","")</f>
        <v/>
      </c>
      <c r="I52" s="479">
        <f>IF(I47&lt;I48,I48/I47-1,I47/I48-1)</f>
        <v>2.0294678735235605E-2</v>
      </c>
      <c r="J52" s="480" t="str">
        <f>IF(OR(I52&gt;=0.3,I52&lt;=-0.3),"超过30%","")</f>
        <v/>
      </c>
      <c r="K52" s="1256"/>
      <c r="L52" s="1252"/>
      <c r="M52" s="1251"/>
      <c r="N52" s="1251"/>
      <c r="O52" s="1251"/>
    </row>
    <row r="53" spans="1:29" ht="13.5" customHeight="1">
      <c r="A53" s="1251"/>
      <c r="B53" s="1251"/>
      <c r="C53" s="477" t="s">
        <v>2376</v>
      </c>
      <c r="D53" s="481"/>
      <c r="E53" s="479">
        <f>IF(E48&lt;G48,G48/E48-1,E48/G48-1)</f>
        <v>4.1305673064489401E-2</v>
      </c>
      <c r="F53" s="480" t="str">
        <f>IF(OR(E53&gt;=0.2,E53&lt;=-0.2),"超过20%","")</f>
        <v/>
      </c>
      <c r="G53" s="479">
        <f>IF(G48&lt;I48,I48/G48-1,G48/I48-1)</f>
        <v>7.6759358714245884E-2</v>
      </c>
      <c r="H53" s="480" t="str">
        <f>IF(OR(G53&gt;=0.2,G53&lt;=-0.2),"超过20%","")</f>
        <v/>
      </c>
      <c r="I53" s="479">
        <f>IF(I48&lt;E48,E48/I48-1,I48/E48-1)</f>
        <v>0.12123562875442584</v>
      </c>
      <c r="J53" s="480" t="str">
        <f>IF(OR(I53&gt;=0.2,I53&lt;=-0.2),"超过20%","")</f>
        <v/>
      </c>
      <c r="K53" s="1256"/>
      <c r="L53" s="1252"/>
      <c r="M53" s="1251"/>
      <c r="N53" s="1251"/>
      <c r="O53" s="1251"/>
    </row>
    <row r="54" spans="1:29" s="482" customFormat="1" ht="13.5" customHeight="1">
      <c r="A54" s="1253"/>
      <c r="B54" s="1253"/>
      <c r="C54" s="477" t="s">
        <v>2377</v>
      </c>
      <c r="D54" s="481"/>
      <c r="E54" s="479">
        <f>IF(E47&lt;G47,G47/E47-1,E47/G47-1)</f>
        <v>0</v>
      </c>
      <c r="F54" s="480" t="str">
        <f>IF(OR(E54&gt;=0.3,E54&lt;=-0.3),"超过30%","")</f>
        <v/>
      </c>
      <c r="G54" s="479">
        <f>IF(G47&lt;I47,I47/G47-1,G47/I47-1)</f>
        <v>6.0884036205699488E-4</v>
      </c>
      <c r="H54" s="480" t="str">
        <f>IF(OR(G54&gt;=0.3,G54&lt;=-0.3),"超过30%","")</f>
        <v/>
      </c>
      <c r="I54" s="479">
        <f>IF(I47&lt;E47,E47/I47-1,I47/E47-1)</f>
        <v>6.0884036205699488E-4</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1.75" thickBot="1">
      <c r="A57" s="740" t="s">
        <v>2378</v>
      </c>
      <c r="B57" s="736"/>
      <c r="C57" s="741"/>
      <c r="D57" s="741"/>
      <c r="E57" s="741"/>
      <c r="F57" s="742"/>
      <c r="G57" s="742"/>
      <c r="H57" s="741"/>
      <c r="I57" s="741"/>
      <c r="J57" s="741"/>
      <c r="K57" s="743"/>
      <c r="L57" s="744"/>
      <c r="M57" s="741"/>
      <c r="N57" s="741"/>
      <c r="O57" s="741"/>
      <c r="P57" s="2415"/>
      <c r="Q57" s="484"/>
    </row>
    <row r="58" spans="1:29" s="488" customFormat="1" ht="15">
      <c r="A58" s="485" t="s">
        <v>2379</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v>100</v>
      </c>
      <c r="E59" s="492"/>
      <c r="F59" s="492"/>
      <c r="G59" s="492"/>
      <c r="H59" s="492"/>
      <c r="I59" s="492"/>
      <c r="J59" s="492"/>
      <c r="K59" s="492"/>
      <c r="L59" s="492"/>
      <c r="M59" s="493"/>
      <c r="N59" s="492"/>
      <c r="O59" s="493"/>
      <c r="P59" s="2417"/>
    </row>
    <row r="60" spans="1:29" s="35" customFormat="1" ht="15.75" thickBot="1">
      <c r="A60" s="495" t="s">
        <v>2380</v>
      </c>
      <c r="B60" s="496"/>
      <c r="C60" s="497"/>
      <c r="D60" s="498"/>
      <c r="E60" s="498"/>
      <c r="F60" s="498"/>
      <c r="G60" s="498"/>
      <c r="H60" s="498"/>
      <c r="I60" s="498"/>
      <c r="J60" s="498"/>
      <c r="K60" s="498"/>
      <c r="L60" s="498"/>
      <c r="M60" s="499"/>
      <c r="N60" s="498"/>
      <c r="O60" s="499"/>
      <c r="P60" s="2417"/>
      <c r="Q60" s="484"/>
    </row>
    <row r="61" spans="1:29" s="35" customFormat="1" ht="15">
      <c r="A61" s="501" t="s">
        <v>2381</v>
      </c>
      <c r="B61" s="490"/>
      <c r="C61" s="502" t="s">
        <v>2382</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2383</v>
      </c>
      <c r="B63" s="508" t="s">
        <v>2348</v>
      </c>
      <c r="C63" s="509" t="str">
        <f>C9</f>
        <v>住宅</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75" thickTop="1">
      <c r="A67" s="515"/>
      <c r="B67" s="528" t="s">
        <v>2352</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ht="15">
      <c r="A68" s="515"/>
      <c r="B68" s="530"/>
      <c r="C68" s="531">
        <v>0</v>
      </c>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43"/>
      <c r="E73" s="543"/>
      <c r="F73" s="543"/>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75" thickTop="1">
      <c r="A82" s="515"/>
      <c r="B82" s="528" t="s">
        <v>1740</v>
      </c>
      <c r="C82" s="521" t="s">
        <v>2399</v>
      </c>
      <c r="D82" s="521" t="s">
        <v>2400</v>
      </c>
      <c r="E82" s="521" t="s">
        <v>2401</v>
      </c>
      <c r="F82" s="521" t="s">
        <v>2402</v>
      </c>
      <c r="G82" s="521" t="s">
        <v>2403</v>
      </c>
      <c r="H82" s="521"/>
      <c r="I82" s="521"/>
      <c r="J82" s="521"/>
      <c r="K82" s="521"/>
      <c r="L82" s="521"/>
      <c r="M82" s="1461"/>
      <c r="N82" s="1262"/>
      <c r="O82" s="1262"/>
      <c r="P82" s="2419"/>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75" thickTop="1">
      <c r="A86" s="562"/>
      <c r="B86" s="520" t="s">
        <v>2405</v>
      </c>
      <c r="C86" s="2763"/>
      <c r="D86" s="2763"/>
      <c r="E86" s="536"/>
      <c r="F86" s="536"/>
      <c r="G86" s="536"/>
      <c r="H86" s="536"/>
      <c r="I86" s="536"/>
      <c r="J86" s="536"/>
      <c r="K86" s="536"/>
      <c r="L86" s="563"/>
      <c r="M86" s="564"/>
      <c r="N86" s="1260"/>
      <c r="O86" s="1260"/>
      <c r="P86" s="2419"/>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75" thickTop="1">
      <c r="A88" s="562"/>
      <c r="B88" s="520" t="s">
        <v>2406</v>
      </c>
      <c r="C88" s="2760" t="s">
        <v>2855</v>
      </c>
      <c r="D88" s="2760" t="s">
        <v>2856</v>
      </c>
      <c r="E88" s="2760" t="s">
        <v>2857</v>
      </c>
      <c r="F88" s="2761" t="s">
        <v>2858</v>
      </c>
      <c r="G88" s="2760" t="s">
        <v>2859</v>
      </c>
      <c r="H88" s="2760" t="s">
        <v>2860</v>
      </c>
      <c r="I88" s="2760" t="s">
        <v>2861</v>
      </c>
      <c r="J88" s="2760" t="s">
        <v>2862</v>
      </c>
      <c r="K88" s="2760" t="s">
        <v>2863</v>
      </c>
      <c r="L88" s="2760" t="s">
        <v>2864</v>
      </c>
      <c r="M88" s="2762" t="s">
        <v>2865</v>
      </c>
      <c r="N88" s="1260"/>
      <c r="O88" s="1260"/>
      <c r="P88" s="2419"/>
      <c r="Q88" s="484"/>
    </row>
    <row r="89" spans="1:17" s="35" customFormat="1" ht="15.75" thickBot="1">
      <c r="A89" s="562"/>
      <c r="B89" s="525"/>
      <c r="C89" s="565">
        <v>100</v>
      </c>
      <c r="D89" s="526">
        <f t="shared" ref="D89:M89" si="21">C89-$K26</f>
        <v>99</v>
      </c>
      <c r="E89" s="526">
        <f t="shared" si="21"/>
        <v>98</v>
      </c>
      <c r="F89" s="526">
        <f t="shared" si="21"/>
        <v>97</v>
      </c>
      <c r="G89" s="526">
        <f t="shared" si="21"/>
        <v>96</v>
      </c>
      <c r="H89" s="526">
        <f t="shared" si="21"/>
        <v>95</v>
      </c>
      <c r="I89" s="526">
        <f t="shared" si="21"/>
        <v>94</v>
      </c>
      <c r="J89" s="526">
        <f t="shared" si="21"/>
        <v>93</v>
      </c>
      <c r="K89" s="526">
        <f t="shared" si="21"/>
        <v>92</v>
      </c>
      <c r="L89" s="526">
        <f t="shared" si="21"/>
        <v>91</v>
      </c>
      <c r="M89" s="526">
        <f t="shared" si="21"/>
        <v>90</v>
      </c>
      <c r="N89" s="1262"/>
      <c r="O89" s="1262"/>
      <c r="P89" s="2419"/>
      <c r="Q89" s="484"/>
    </row>
    <row r="90" spans="1:17" s="451" customFormat="1" ht="15.75" thickTop="1">
      <c r="A90" s="535"/>
      <c r="B90" s="520" t="str">
        <f>B27</f>
        <v>道路级别</v>
      </c>
      <c r="C90" s="2760" t="s">
        <v>2866</v>
      </c>
      <c r="D90" s="2760" t="s">
        <v>2867</v>
      </c>
      <c r="E90" s="2760" t="s">
        <v>2868</v>
      </c>
      <c r="F90" s="2760" t="s">
        <v>2869</v>
      </c>
      <c r="G90" s="2760" t="s">
        <v>2870</v>
      </c>
      <c r="H90" s="537"/>
      <c r="I90" s="537"/>
      <c r="J90" s="537"/>
      <c r="K90" s="537"/>
      <c r="L90" s="538"/>
      <c r="M90" s="539"/>
      <c r="N90" s="1263"/>
      <c r="O90" s="1263"/>
      <c r="P90" s="2420"/>
      <c r="Q90" s="542"/>
    </row>
    <row r="91" spans="1:17" s="451" customFormat="1" ht="15.75" thickBot="1">
      <c r="A91" s="535"/>
      <c r="B91" s="525"/>
      <c r="C91" s="2764">
        <v>100</v>
      </c>
      <c r="D91" s="2764">
        <f>C91-1</f>
        <v>99</v>
      </c>
      <c r="E91" s="2764">
        <f t="shared" ref="E91:G91" si="22">D91-1</f>
        <v>98</v>
      </c>
      <c r="F91" s="2764">
        <f t="shared" si="22"/>
        <v>97</v>
      </c>
      <c r="G91" s="2764">
        <f t="shared" si="22"/>
        <v>96</v>
      </c>
      <c r="H91" s="545"/>
      <c r="I91" s="545"/>
      <c r="J91" s="545"/>
      <c r="K91" s="545"/>
      <c r="L91" s="545"/>
      <c r="M91" s="546"/>
      <c r="N91" s="1263"/>
      <c r="O91" s="1263"/>
      <c r="P91" s="2420"/>
      <c r="Q91" s="542"/>
    </row>
    <row r="92" spans="1:17" ht="15.75" thickTop="1">
      <c r="A92" s="515"/>
      <c r="B92" s="520">
        <f>B28</f>
        <v>111</v>
      </c>
      <c r="C92" s="536"/>
      <c r="D92" s="536"/>
      <c r="E92" s="536"/>
      <c r="F92" s="536"/>
      <c r="G92" s="566"/>
      <c r="H92" s="566"/>
      <c r="I92" s="566"/>
      <c r="J92" s="566"/>
      <c r="K92" s="567"/>
      <c r="L92" s="568"/>
      <c r="M92" s="569"/>
      <c r="N92" s="1261"/>
      <c r="O92" s="1261"/>
      <c r="P92" s="2419"/>
      <c r="Q92" s="484"/>
    </row>
    <row r="93" spans="1:17" ht="15.75" thickBot="1">
      <c r="A93" s="515"/>
      <c r="B93" s="525"/>
      <c r="C93" s="543"/>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43"/>
      <c r="E95" s="543"/>
      <c r="F95" s="543"/>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53"/>
      <c r="D97" s="553"/>
      <c r="E97" s="553"/>
      <c r="F97" s="553"/>
      <c r="G97" s="517"/>
      <c r="H97" s="517"/>
      <c r="I97" s="517"/>
      <c r="J97" s="517"/>
      <c r="K97" s="517"/>
      <c r="L97" s="517"/>
      <c r="M97" s="518"/>
      <c r="N97" s="1262"/>
      <c r="O97" s="1262"/>
      <c r="P97" s="2419"/>
      <c r="Q97" s="484"/>
    </row>
    <row r="98" spans="1:17" ht="15.75" thickTop="1">
      <c r="A98" s="515"/>
      <c r="B98" s="528">
        <f>B31</f>
        <v>111</v>
      </c>
      <c r="C98" s="570"/>
      <c r="D98" s="570"/>
      <c r="E98" s="570"/>
      <c r="F98" s="570"/>
      <c r="G98" s="570"/>
      <c r="H98" s="570"/>
      <c r="I98" s="570"/>
      <c r="J98" s="570"/>
      <c r="K98" s="571"/>
      <c r="L98" s="572"/>
      <c r="M98" s="573"/>
      <c r="N98" s="1261"/>
      <c r="O98" s="1261"/>
      <c r="P98" s="2419"/>
      <c r="Q98" s="484"/>
    </row>
    <row r="99" spans="1:17" ht="15.75" thickBot="1">
      <c r="A99" s="2425"/>
      <c r="B99" s="552"/>
      <c r="C99" s="574"/>
      <c r="D99" s="574"/>
      <c r="E99" s="574"/>
      <c r="F99" s="574"/>
      <c r="G99" s="574"/>
      <c r="H99" s="574"/>
      <c r="I99" s="574"/>
      <c r="J99" s="574"/>
      <c r="K99" s="574"/>
      <c r="L99" s="574"/>
      <c r="M99" s="575"/>
      <c r="N99" s="1262"/>
      <c r="O99" s="1262"/>
      <c r="P99" s="2419"/>
      <c r="Q99" s="484"/>
    </row>
    <row r="100" spans="1:17">
      <c r="A100" s="507" t="s">
        <v>2358</v>
      </c>
      <c r="B100" s="508" t="s">
        <v>2407</v>
      </c>
      <c r="C100" s="2765" t="s">
        <v>2871</v>
      </c>
      <c r="D100" s="2765" t="s">
        <v>2872</v>
      </c>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3">C101-$K32</f>
        <v>95</v>
      </c>
      <c r="E101" s="526">
        <f t="shared" si="23"/>
        <v>90</v>
      </c>
      <c r="F101" s="526">
        <f t="shared" si="23"/>
        <v>85</v>
      </c>
      <c r="G101" s="526">
        <f t="shared" si="23"/>
        <v>80</v>
      </c>
      <c r="H101" s="526">
        <f t="shared" si="23"/>
        <v>75</v>
      </c>
      <c r="I101" s="526">
        <f t="shared" si="23"/>
        <v>70</v>
      </c>
      <c r="J101" s="526">
        <f t="shared" si="23"/>
        <v>65</v>
      </c>
      <c r="K101" s="526">
        <f t="shared" si="23"/>
        <v>60</v>
      </c>
      <c r="L101" s="526">
        <f t="shared" si="23"/>
        <v>55</v>
      </c>
      <c r="M101" s="526">
        <f t="shared" si="23"/>
        <v>50</v>
      </c>
      <c r="N101" s="1262"/>
      <c r="O101" s="1262"/>
      <c r="P101" s="2419"/>
      <c r="Q101" s="484"/>
    </row>
    <row r="102" spans="1:17" ht="15.75" thickTop="1">
      <c r="A102" s="515"/>
      <c r="B102" s="520" t="s">
        <v>2408</v>
      </c>
      <c r="C102" s="561" t="str">
        <f>C103&amp;"(含)"&amp;"-"&amp;D103</f>
        <v>0(含)-100</v>
      </c>
      <c r="D102" s="561" t="str">
        <f t="shared" ref="D102:L102" si="24">D103&amp;"(含)"&amp;"-"&amp;E103</f>
        <v>100(含)-300</v>
      </c>
      <c r="E102" s="561" t="str">
        <f t="shared" si="24"/>
        <v>300(含)-500</v>
      </c>
      <c r="F102" s="561" t="str">
        <f t="shared" si="24"/>
        <v>500(含)-800</v>
      </c>
      <c r="G102" s="561" t="str">
        <f t="shared" si="24"/>
        <v>800(含)-</v>
      </c>
      <c r="H102" s="561" t="str">
        <f t="shared" si="24"/>
        <v>(含)-</v>
      </c>
      <c r="I102" s="561" t="str">
        <f t="shared" si="24"/>
        <v>(含)-</v>
      </c>
      <c r="J102" s="561" t="str">
        <f t="shared" si="24"/>
        <v>(含)-</v>
      </c>
      <c r="K102" s="561" t="str">
        <f t="shared" si="24"/>
        <v>(含)-</v>
      </c>
      <c r="L102" s="561" t="str">
        <f t="shared" si="24"/>
        <v>(含)-</v>
      </c>
      <c r="M102" s="561" t="str">
        <f>M103&amp;"(含)"&amp;"-"&amp;P103</f>
        <v>(含)-</v>
      </c>
      <c r="N102" s="1260"/>
      <c r="O102" s="1260"/>
      <c r="P102" s="2419"/>
      <c r="Q102" s="484"/>
    </row>
    <row r="103" spans="1:17" s="451" customFormat="1">
      <c r="A103" s="576"/>
      <c r="B103" s="577"/>
      <c r="C103" s="2766">
        <v>0</v>
      </c>
      <c r="D103" s="2766">
        <v>100</v>
      </c>
      <c r="E103" s="2766">
        <v>300</v>
      </c>
      <c r="F103" s="2766">
        <v>500</v>
      </c>
      <c r="G103" s="2766">
        <v>800</v>
      </c>
      <c r="H103" s="578"/>
      <c r="I103" s="578"/>
      <c r="J103" s="579"/>
      <c r="K103" s="579"/>
      <c r="L103" s="580"/>
      <c r="M103" s="581"/>
      <c r="N103" s="1263"/>
      <c r="O103" s="1263"/>
      <c r="P103" s="2420"/>
      <c r="Q103" s="542"/>
    </row>
    <row r="104" spans="1:17" s="451" customFormat="1" ht="15.75" thickBot="1">
      <c r="A104" s="535"/>
      <c r="B104" s="525"/>
      <c r="C104" s="2764">
        <v>100</v>
      </c>
      <c r="D104" s="2767">
        <v>101</v>
      </c>
      <c r="E104" s="2767">
        <v>102</v>
      </c>
      <c r="F104" s="2767">
        <v>103</v>
      </c>
      <c r="G104" s="2767"/>
      <c r="H104" s="517"/>
      <c r="I104" s="517"/>
      <c r="J104" s="517"/>
      <c r="K104" s="517"/>
      <c r="L104" s="517"/>
      <c r="M104" s="517"/>
      <c r="N104" s="1262"/>
      <c r="O104" s="1262"/>
      <c r="P104" s="2420"/>
      <c r="Q104" s="542"/>
    </row>
    <row r="105" spans="1:17" ht="17.25" thickTop="1">
      <c r="A105" s="582"/>
      <c r="B105" s="520" t="s">
        <v>2409</v>
      </c>
      <c r="C105" s="2769" t="s">
        <v>2874</v>
      </c>
      <c r="D105" s="2769" t="s">
        <v>2875</v>
      </c>
      <c r="E105" s="2768"/>
      <c r="F105" s="2768"/>
      <c r="G105" s="2768"/>
      <c r="H105" s="566"/>
      <c r="I105" s="566"/>
      <c r="J105" s="566"/>
      <c r="K105" s="567"/>
      <c r="L105" s="568"/>
      <c r="M105" s="569"/>
      <c r="N105" s="1261"/>
      <c r="O105" s="1261"/>
      <c r="P105" s="2419"/>
      <c r="Q105" s="484"/>
    </row>
    <row r="106" spans="1:17" ht="15.75" thickBot="1">
      <c r="A106" s="515"/>
      <c r="B106" s="525"/>
      <c r="C106" s="526">
        <v>100</v>
      </c>
      <c r="D106" s="526">
        <f t="shared" ref="D106:M106" si="25">C106-$K34</f>
        <v>99</v>
      </c>
      <c r="E106" s="526">
        <f t="shared" si="25"/>
        <v>98</v>
      </c>
      <c r="F106" s="526">
        <f t="shared" si="25"/>
        <v>97</v>
      </c>
      <c r="G106" s="526">
        <f t="shared" si="25"/>
        <v>96</v>
      </c>
      <c r="H106" s="526">
        <f t="shared" si="25"/>
        <v>95</v>
      </c>
      <c r="I106" s="526">
        <f t="shared" si="25"/>
        <v>94</v>
      </c>
      <c r="J106" s="526">
        <f t="shared" si="25"/>
        <v>93</v>
      </c>
      <c r="K106" s="526">
        <f t="shared" si="25"/>
        <v>92</v>
      </c>
      <c r="L106" s="526">
        <f t="shared" si="25"/>
        <v>91</v>
      </c>
      <c r="M106" s="526">
        <f t="shared" si="25"/>
        <v>90</v>
      </c>
      <c r="N106" s="1262"/>
      <c r="O106" s="1262"/>
      <c r="P106" s="2419"/>
      <c r="Q106" s="484"/>
    </row>
    <row r="107" spans="1:17" ht="15" thickTop="1">
      <c r="A107" s="582"/>
      <c r="B107" s="520" t="s">
        <v>2410</v>
      </c>
      <c r="C107" s="566" t="s">
        <v>29</v>
      </c>
      <c r="D107" s="566" t="s">
        <v>30</v>
      </c>
      <c r="E107" s="566" t="s">
        <v>31</v>
      </c>
      <c r="F107" s="566" t="s">
        <v>32</v>
      </c>
      <c r="G107" s="566" t="s">
        <v>35</v>
      </c>
      <c r="H107" s="566"/>
      <c r="I107" s="566"/>
      <c r="J107" s="566"/>
      <c r="K107" s="567"/>
      <c r="L107" s="568"/>
      <c r="M107" s="569"/>
      <c r="N107" s="1261"/>
      <c r="O107" s="1261"/>
      <c r="P107" s="2419"/>
      <c r="Q107" s="484"/>
    </row>
    <row r="108" spans="1:17" ht="15.75" thickBot="1">
      <c r="A108" s="515"/>
      <c r="B108" s="525"/>
      <c r="C108" s="526">
        <v>100</v>
      </c>
      <c r="D108" s="526">
        <f t="shared" ref="D108:M108" si="26">C108-$K35</f>
        <v>98</v>
      </c>
      <c r="E108" s="526">
        <f t="shared" si="26"/>
        <v>96</v>
      </c>
      <c r="F108" s="526">
        <f t="shared" si="26"/>
        <v>94</v>
      </c>
      <c r="G108" s="526">
        <f t="shared" si="26"/>
        <v>92</v>
      </c>
      <c r="H108" s="526">
        <f t="shared" si="26"/>
        <v>90</v>
      </c>
      <c r="I108" s="526">
        <f t="shared" si="26"/>
        <v>88</v>
      </c>
      <c r="J108" s="526">
        <f t="shared" si="26"/>
        <v>86</v>
      </c>
      <c r="K108" s="526">
        <f t="shared" si="26"/>
        <v>84</v>
      </c>
      <c r="L108" s="526">
        <f t="shared" si="26"/>
        <v>82</v>
      </c>
      <c r="M108" s="526">
        <f t="shared" si="26"/>
        <v>80</v>
      </c>
      <c r="N108" s="1262"/>
      <c r="O108" s="1262"/>
      <c r="P108" s="2419"/>
      <c r="Q108" s="484"/>
    </row>
    <row r="109" spans="1:17" ht="15" thickTop="1">
      <c r="A109" s="582"/>
      <c r="B109" s="520" t="s">
        <v>2411</v>
      </c>
      <c r="C109" s="2770" t="s">
        <v>2876</v>
      </c>
      <c r="D109" s="2770" t="s">
        <v>2877</v>
      </c>
      <c r="E109" s="2770" t="s">
        <v>2878</v>
      </c>
      <c r="F109" s="566"/>
      <c r="G109" s="566"/>
      <c r="H109" s="566"/>
      <c r="I109" s="566"/>
      <c r="J109" s="566"/>
      <c r="K109" s="567"/>
      <c r="L109" s="568"/>
      <c r="M109" s="569"/>
      <c r="N109" s="1261"/>
      <c r="O109" s="1261"/>
      <c r="P109" s="2419"/>
      <c r="Q109" s="484"/>
    </row>
    <row r="110" spans="1:17" ht="15.75" thickBot="1">
      <c r="A110" s="515"/>
      <c r="B110" s="525"/>
      <c r="C110" s="526">
        <v>100</v>
      </c>
      <c r="D110" s="526">
        <f t="shared" ref="D110:M110" si="27">C110-$K36</f>
        <v>98</v>
      </c>
      <c r="E110" s="526">
        <f t="shared" si="27"/>
        <v>96</v>
      </c>
      <c r="F110" s="526">
        <f t="shared" si="27"/>
        <v>94</v>
      </c>
      <c r="G110" s="526">
        <f t="shared" si="27"/>
        <v>92</v>
      </c>
      <c r="H110" s="526">
        <f t="shared" si="27"/>
        <v>90</v>
      </c>
      <c r="I110" s="526">
        <f t="shared" si="27"/>
        <v>88</v>
      </c>
      <c r="J110" s="526">
        <f t="shared" si="27"/>
        <v>86</v>
      </c>
      <c r="K110" s="526">
        <f t="shared" si="27"/>
        <v>84</v>
      </c>
      <c r="L110" s="526">
        <f t="shared" si="27"/>
        <v>82</v>
      </c>
      <c r="M110" s="526">
        <f t="shared" si="27"/>
        <v>80</v>
      </c>
      <c r="N110" s="1262"/>
      <c r="O110" s="1262"/>
      <c r="P110" s="2419"/>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5.75"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3"/>
      <c r="O113" s="1263"/>
      <c r="P113" s="2420"/>
      <c r="Q113" s="542"/>
    </row>
    <row r="114" spans="1:17" ht="15" thickTop="1">
      <c r="A114" s="582"/>
      <c r="B114" s="520" t="s">
        <v>2413</v>
      </c>
      <c r="C114" s="2763" t="s">
        <v>2885</v>
      </c>
      <c r="D114" s="2763" t="s">
        <v>2886</v>
      </c>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8">C115-$K38</f>
        <v>99</v>
      </c>
      <c r="E115" s="526">
        <f t="shared" si="28"/>
        <v>98</v>
      </c>
      <c r="F115" s="526">
        <f t="shared" si="28"/>
        <v>97</v>
      </c>
      <c r="G115" s="526">
        <f t="shared" si="28"/>
        <v>96</v>
      </c>
      <c r="H115" s="526">
        <f t="shared" si="28"/>
        <v>95</v>
      </c>
      <c r="I115" s="526">
        <f t="shared" si="28"/>
        <v>94</v>
      </c>
      <c r="J115" s="526">
        <f t="shared" si="28"/>
        <v>93</v>
      </c>
      <c r="K115" s="526">
        <f t="shared" si="28"/>
        <v>92</v>
      </c>
      <c r="L115" s="526">
        <f t="shared" si="28"/>
        <v>91</v>
      </c>
      <c r="M115" s="526">
        <f t="shared" si="28"/>
        <v>90</v>
      </c>
      <c r="N115" s="1262"/>
      <c r="O115" s="1262"/>
      <c r="P115" s="2419"/>
      <c r="Q115" s="484"/>
    </row>
    <row r="116" spans="1:17" ht="15" thickTop="1">
      <c r="A116" s="582"/>
      <c r="B116" s="520" t="s">
        <v>2414</v>
      </c>
      <c r="C116" s="536" t="s">
        <v>2879</v>
      </c>
      <c r="D116" s="536" t="s">
        <v>2880</v>
      </c>
      <c r="E116" s="536" t="s">
        <v>2881</v>
      </c>
      <c r="F116" s="536" t="s">
        <v>2882</v>
      </c>
      <c r="G116" s="536" t="s">
        <v>2883</v>
      </c>
      <c r="H116" s="566"/>
      <c r="I116" s="566"/>
      <c r="J116" s="566"/>
      <c r="K116" s="567"/>
      <c r="L116" s="568"/>
      <c r="M116" s="569"/>
      <c r="N116" s="1261"/>
      <c r="O116" s="1261"/>
      <c r="P116" s="2419"/>
      <c r="Q116" s="484"/>
    </row>
    <row r="117" spans="1:17" ht="15.75" thickBot="1">
      <c r="A117" s="515"/>
      <c r="B117" s="525"/>
      <c r="C117" s="526">
        <v>100</v>
      </c>
      <c r="D117" s="526">
        <f>C117-$K39</f>
        <v>98</v>
      </c>
      <c r="E117" s="526">
        <f>D117-$K39</f>
        <v>96</v>
      </c>
      <c r="F117" s="526">
        <f>E117-$K39</f>
        <v>94</v>
      </c>
      <c r="G117" s="526">
        <f>F117-$K39</f>
        <v>92</v>
      </c>
      <c r="H117" s="526"/>
      <c r="I117" s="526"/>
      <c r="J117" s="526"/>
      <c r="K117" s="526"/>
      <c r="L117" s="526"/>
      <c r="M117" s="527"/>
      <c r="N117" s="1262"/>
      <c r="O117" s="1262"/>
      <c r="P117" s="2419"/>
      <c r="Q117" s="484"/>
    </row>
    <row r="118" spans="1:17" ht="15" thickTop="1">
      <c r="A118" s="582"/>
      <c r="B118" s="520" t="s">
        <v>2415</v>
      </c>
      <c r="C118" s="566"/>
      <c r="D118" s="566"/>
      <c r="E118" s="566"/>
      <c r="F118" s="566"/>
      <c r="G118" s="566"/>
      <c r="H118" s="566"/>
      <c r="I118" s="566"/>
      <c r="J118" s="566"/>
      <c r="K118" s="567"/>
      <c r="L118" s="568"/>
      <c r="M118" s="569"/>
      <c r="N118" s="1261"/>
      <c r="O118" s="1261"/>
      <c r="P118" s="2419"/>
      <c r="Q118" s="484"/>
    </row>
    <row r="119" spans="1:17" ht="15.75" thickBot="1">
      <c r="A119" s="515"/>
      <c r="B119" s="525"/>
      <c r="C119" s="526">
        <v>100</v>
      </c>
      <c r="D119" s="526">
        <f t="shared" ref="D119:M119" si="29">C119-$K40</f>
        <v>100</v>
      </c>
      <c r="E119" s="526">
        <f t="shared" si="29"/>
        <v>100</v>
      </c>
      <c r="F119" s="526">
        <f t="shared" si="29"/>
        <v>100</v>
      </c>
      <c r="G119" s="526">
        <f t="shared" si="29"/>
        <v>100</v>
      </c>
      <c r="H119" s="526">
        <f t="shared" si="29"/>
        <v>100</v>
      </c>
      <c r="I119" s="526">
        <f t="shared" si="29"/>
        <v>100</v>
      </c>
      <c r="J119" s="526">
        <f t="shared" si="29"/>
        <v>100</v>
      </c>
      <c r="K119" s="526">
        <f t="shared" si="29"/>
        <v>100</v>
      </c>
      <c r="L119" s="526">
        <f t="shared" si="29"/>
        <v>100</v>
      </c>
      <c r="M119" s="526">
        <f t="shared" si="29"/>
        <v>100</v>
      </c>
      <c r="N119" s="1262"/>
      <c r="O119" s="1262"/>
      <c r="P119" s="2419"/>
      <c r="Q119" s="484"/>
    </row>
    <row r="120" spans="1:17" s="451" customFormat="1" ht="28.5" thickTop="1">
      <c r="A120" s="576"/>
      <c r="B120" s="520" t="s">
        <v>2369</v>
      </c>
      <c r="C120" s="536"/>
      <c r="D120" s="536"/>
      <c r="E120" s="536"/>
      <c r="F120" s="536"/>
      <c r="G120" s="536"/>
      <c r="H120" s="536"/>
      <c r="I120" s="536"/>
      <c r="J120" s="536"/>
      <c r="K120" s="536"/>
      <c r="L120" s="563"/>
      <c r="M120" s="564"/>
      <c r="N120" s="1263"/>
      <c r="O120" s="1263"/>
      <c r="P120" s="2420"/>
      <c r="Q120" s="542"/>
    </row>
    <row r="121" spans="1:17" s="451" customFormat="1" ht="15.75"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2416</v>
      </c>
      <c r="C122" s="2770" t="s">
        <v>2876</v>
      </c>
      <c r="D122" s="2770" t="s">
        <v>2877</v>
      </c>
      <c r="E122" s="2770" t="s">
        <v>2878</v>
      </c>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30">C123-$K42</f>
        <v>98</v>
      </c>
      <c r="E123" s="526">
        <f t="shared" si="30"/>
        <v>96</v>
      </c>
      <c r="F123" s="526">
        <f t="shared" si="30"/>
        <v>94</v>
      </c>
      <c r="G123" s="526">
        <f t="shared" si="30"/>
        <v>92</v>
      </c>
      <c r="H123" s="526">
        <f t="shared" si="30"/>
        <v>90</v>
      </c>
      <c r="I123" s="526">
        <f t="shared" si="30"/>
        <v>88</v>
      </c>
      <c r="J123" s="526">
        <f t="shared" si="30"/>
        <v>86</v>
      </c>
      <c r="K123" s="526">
        <f t="shared" si="30"/>
        <v>84</v>
      </c>
      <c r="L123" s="526">
        <f t="shared" si="30"/>
        <v>82</v>
      </c>
      <c r="M123" s="526">
        <f t="shared" si="30"/>
        <v>80</v>
      </c>
      <c r="N123" s="1262"/>
      <c r="O123" s="1262"/>
      <c r="P123" s="2419"/>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5.75" thickBot="1">
      <c r="A125" s="515"/>
      <c r="B125" s="525"/>
      <c r="C125" s="526">
        <v>100</v>
      </c>
      <c r="D125" s="526">
        <f>C125-$K43</f>
        <v>98</v>
      </c>
      <c r="E125" s="526">
        <f>D125-$K43</f>
        <v>96</v>
      </c>
      <c r="F125" s="526">
        <f>E125-$K43</f>
        <v>94</v>
      </c>
      <c r="G125" s="526">
        <f>F125-$K43</f>
        <v>92</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43"/>
      <c r="E129" s="543"/>
      <c r="F129" s="543"/>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2418</v>
      </c>
    </row>
    <row r="137" spans="1:17" ht="15">
      <c r="B137" s="2427" t="s">
        <v>2419</v>
      </c>
      <c r="C137" s="2428"/>
      <c r="D137" s="2428"/>
      <c r="E137" s="2428"/>
      <c r="F137" s="2428"/>
      <c r="G137" s="2429"/>
      <c r="H137" s="2430"/>
      <c r="I137" s="2431" t="s">
        <v>2420</v>
      </c>
      <c r="J137" s="2428"/>
      <c r="K137" s="2432"/>
    </row>
    <row r="138" spans="1:17" ht="15">
      <c r="B138" s="2433"/>
      <c r="C138" s="61" t="s">
        <v>2421</v>
      </c>
      <c r="D138" s="61" t="s">
        <v>2422</v>
      </c>
      <c r="E138" s="2434" t="s">
        <v>2423</v>
      </c>
      <c r="F138" s="2435" t="s">
        <v>2424</v>
      </c>
      <c r="G138" s="61" t="s">
        <v>2422</v>
      </c>
      <c r="H138" s="62" t="s">
        <v>2423</v>
      </c>
      <c r="I138" s="2436"/>
      <c r="J138" s="61" t="s">
        <v>2425</v>
      </c>
      <c r="K138" s="62" t="s">
        <v>2426</v>
      </c>
    </row>
    <row r="139" spans="1:17" ht="15">
      <c r="B139" s="1119">
        <v>6</v>
      </c>
      <c r="C139" s="1127">
        <v>96</v>
      </c>
      <c r="D139" s="2437" t="s">
        <v>2427</v>
      </c>
      <c r="E139" s="1128">
        <v>100</v>
      </c>
      <c r="F139" s="1129">
        <v>102.5</v>
      </c>
      <c r="G139" s="2437" t="s">
        <v>2427</v>
      </c>
      <c r="H139" s="1130">
        <v>105</v>
      </c>
      <c r="I139" s="2438" t="s">
        <v>2428</v>
      </c>
      <c r="J139" s="1127">
        <v>20</v>
      </c>
      <c r="K139" s="1121">
        <f>C145/(J139-2)</f>
        <v>4.0555555555555553E-3</v>
      </c>
    </row>
    <row r="140" spans="1:17" ht="15">
      <c r="B140" s="1120">
        <v>5</v>
      </c>
      <c r="C140" s="1131">
        <v>100</v>
      </c>
      <c r="D140" s="1131"/>
      <c r="E140" s="1132"/>
      <c r="F140" s="1133">
        <v>102</v>
      </c>
      <c r="G140" s="1131"/>
      <c r="H140" s="1134"/>
      <c r="I140" s="2439" t="s">
        <v>2429</v>
      </c>
      <c r="J140" s="216">
        <f>ROUNDUP((J139-1)/2,0)</f>
        <v>10</v>
      </c>
      <c r="K140" s="1122">
        <v>100</v>
      </c>
    </row>
    <row r="141" spans="1:17" ht="15">
      <c r="B141" s="1120">
        <v>4</v>
      </c>
      <c r="C141" s="1131">
        <v>102</v>
      </c>
      <c r="D141" s="1131"/>
      <c r="E141" s="1132"/>
      <c r="F141" s="1133">
        <v>101.5</v>
      </c>
      <c r="G141" s="1131"/>
      <c r="H141" s="1134"/>
      <c r="I141" s="2439" t="s">
        <v>2430</v>
      </c>
      <c r="J141" s="216">
        <v>1</v>
      </c>
      <c r="K141" s="1123">
        <f>ROUND(100+(J141-J140)*K139*100,1)</f>
        <v>96.4</v>
      </c>
    </row>
    <row r="142" spans="1:17" ht="15">
      <c r="B142" s="1120">
        <v>3</v>
      </c>
      <c r="C142" s="1131">
        <v>103</v>
      </c>
      <c r="D142" s="1131"/>
      <c r="E142" s="1132"/>
      <c r="F142" s="1133">
        <v>101</v>
      </c>
      <c r="G142" s="1131"/>
      <c r="H142" s="1134"/>
      <c r="I142" s="2439" t="s">
        <v>2431</v>
      </c>
      <c r="J142" s="216">
        <f>J139</f>
        <v>20</v>
      </c>
      <c r="K142" s="1136">
        <v>95</v>
      </c>
    </row>
    <row r="143" spans="1:17" ht="15">
      <c r="B143" s="1120">
        <v>2</v>
      </c>
      <c r="C143" s="1131">
        <v>100</v>
      </c>
      <c r="D143" s="1131"/>
      <c r="E143" s="1132"/>
      <c r="F143" s="1133">
        <v>100.5</v>
      </c>
      <c r="G143" s="1131"/>
      <c r="H143" s="1134"/>
      <c r="I143" s="2439" t="s">
        <v>2432</v>
      </c>
      <c r="J143" s="1131">
        <v>15</v>
      </c>
      <c r="K143" s="1123">
        <f>ROUND(100+(J143-J140)*K139*100,1)</f>
        <v>102</v>
      </c>
    </row>
    <row r="144" spans="1:17" ht="15">
      <c r="B144" s="1120">
        <v>1</v>
      </c>
      <c r="C144" s="1131">
        <v>98</v>
      </c>
      <c r="D144" s="2440" t="s">
        <v>2433</v>
      </c>
      <c r="E144" s="1132">
        <v>102</v>
      </c>
      <c r="F144" s="1135">
        <v>100</v>
      </c>
      <c r="G144" s="2440" t="s">
        <v>2433</v>
      </c>
      <c r="H144" s="1134">
        <v>105</v>
      </c>
      <c r="I144" s="2439" t="s">
        <v>2432</v>
      </c>
      <c r="J144" s="1131">
        <v>18</v>
      </c>
      <c r="K144" s="1123">
        <f>ROUND(100+(J144-J140)*K139*100,1)</f>
        <v>103.2</v>
      </c>
    </row>
    <row r="145" spans="2:11" ht="15.75" thickBot="1">
      <c r="B145" s="2441" t="s">
        <v>2434</v>
      </c>
      <c r="C145" s="1125">
        <f>ROUND(MAX(C139:C144)/MIN(C139:C144)-1,3)</f>
        <v>7.2999999999999995E-2</v>
      </c>
      <c r="D145" s="1126"/>
      <c r="E145" s="1126"/>
      <c r="F145" s="2442" t="s">
        <v>2435</v>
      </c>
      <c r="G145" s="2443"/>
      <c r="H145" s="2444"/>
      <c r="I145" s="2445" t="s">
        <v>2432</v>
      </c>
      <c r="J145" s="1137">
        <v>8</v>
      </c>
      <c r="K145" s="1124">
        <f>ROUND(100+(J145-J140)*K139*100,1)</f>
        <v>99.2</v>
      </c>
    </row>
    <row r="147" spans="2:11">
      <c r="B147" s="2426" t="s">
        <v>2436</v>
      </c>
    </row>
    <row r="148" spans="2:11">
      <c r="B148" s="2426"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2" workbookViewId="0">
      <selection activeCell="A30" sqref="A30"/>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2438</v>
      </c>
      <c r="C1" s="1720"/>
      <c r="D1" s="2446"/>
      <c r="E1" s="2375"/>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IF(D2="——",IF(C2="元",ROUND(C49*D3,0),ROUND(C49*D3/10000,0)),IF(C2="元",ROUND(C49*D3,0),ROUND(C49*D3/10000,0))-E2)</f>
        <v>#DIV/0!</v>
      </c>
      <c r="C2" s="162" t="str">
        <f>'数据-取费表'!B3</f>
        <v>元</v>
      </c>
      <c r="D2" s="2377"/>
      <c r="E2" s="2447" t="e">
        <f ca="1">SUMIF(INDIRECT("'"&amp;G2&amp;"'"&amp;"!A:A"),"承租人权益价值",INDIRECT("'"&amp;G2&amp;"'"&amp;"!c:c"))</f>
        <v>#REF!</v>
      </c>
      <c r="F2" s="2378" t="str">
        <f>C2</f>
        <v>元</v>
      </c>
      <c r="G2" s="2379"/>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1998</v>
      </c>
      <c r="B3" s="592" t="e">
        <f ca="1">ROUND(IF(D2="——",C49,IF(C2="万元",B2*10000/D3,B2/D3)),0)</f>
        <v>#DIV/0!</v>
      </c>
      <c r="C3" s="378" t="s">
        <v>2328</v>
      </c>
      <c r="D3" s="377">
        <f>IF(C1="仅计算典型户型",'数据-取费表'!E5,'数据-取费表'!B5)</f>
        <v>353.61</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5">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54" t="s">
        <v>2332</v>
      </c>
      <c r="AC4" s="3035" t="s">
        <v>2333</v>
      </c>
    </row>
    <row r="5" spans="1:29" ht="15">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54"/>
      <c r="AC5" s="3036"/>
    </row>
    <row r="6" spans="1:29" ht="15.7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54"/>
      <c r="AC6" s="3037"/>
    </row>
    <row r="7" spans="1:29" s="35" customFormat="1" ht="15.75" thickBot="1">
      <c r="A7" s="386" t="s">
        <v>2342</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75" thickBot="1">
      <c r="A8" s="386" t="s">
        <v>2344</v>
      </c>
      <c r="B8" s="387"/>
      <c r="C8" s="393" t="s">
        <v>2345</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46" si="3">D8/F8</f>
        <v>#DIV/0!</v>
      </c>
      <c r="AB8" s="750" t="e">
        <f t="shared" ref="AB8:AB46" si="4">D8/H8</f>
        <v>#DIV/0!</v>
      </c>
      <c r="AC8" s="750" t="e">
        <f t="shared" ref="AC8:AC46" si="5">D8/J8</f>
        <v>#DIV/0!</v>
      </c>
    </row>
    <row r="9" spans="1:29" s="35" customFormat="1">
      <c r="A9" s="394" t="s">
        <v>2347</v>
      </c>
      <c r="B9" s="28" t="s">
        <v>2348</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74"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7">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74"/>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74"/>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74"/>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74"/>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75" thickBot="1">
      <c r="A14" s="415"/>
      <c r="B14" s="2394">
        <v>111</v>
      </c>
      <c r="C14" s="2395"/>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74"/>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71.25">
      <c r="A15" s="418" t="s">
        <v>2353</v>
      </c>
      <c r="B15" s="26" t="s">
        <v>2439</v>
      </c>
      <c r="C15" s="2396"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77" t="s">
        <v>2354</v>
      </c>
      <c r="Q15" s="1891" t="str">
        <f t="shared" si="6"/>
        <v>商业繁华度</v>
      </c>
      <c r="R15" s="751" t="s">
        <v>25</v>
      </c>
      <c r="S15" s="752">
        <f t="shared" si="0"/>
        <v>100</v>
      </c>
      <c r="T15" s="751" t="s">
        <v>25</v>
      </c>
      <c r="U15" s="752">
        <f t="shared" si="1"/>
        <v>100</v>
      </c>
      <c r="V15" s="751" t="s">
        <v>25</v>
      </c>
      <c r="W15" s="752">
        <f t="shared" si="2"/>
        <v>100</v>
      </c>
      <c r="X15" s="1892"/>
      <c r="Y15" s="3064" t="s">
        <v>2354</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78"/>
      <c r="Q16" s="1891"/>
      <c r="R16" s="751"/>
      <c r="S16" s="752"/>
      <c r="T16" s="751"/>
      <c r="U16" s="752"/>
      <c r="V16" s="751"/>
      <c r="W16" s="752"/>
      <c r="X16" s="1892"/>
      <c r="Y16" s="3065"/>
      <c r="Z16" s="1894"/>
      <c r="AA16" s="1895">
        <v>1</v>
      </c>
      <c r="AB16" s="1895">
        <v>1</v>
      </c>
      <c r="AC16" s="1895">
        <v>1</v>
      </c>
    </row>
    <row r="17" spans="1:29" ht="85.5">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78"/>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38"/>
      <c r="P18" s="3078"/>
      <c r="Q18" s="1891"/>
      <c r="R18" s="751"/>
      <c r="S18" s="752"/>
      <c r="T18" s="751"/>
      <c r="U18" s="752"/>
      <c r="V18" s="751"/>
      <c r="W18" s="752"/>
      <c r="X18" s="1892"/>
      <c r="Y18" s="3065"/>
      <c r="Z18" s="1894"/>
      <c r="AA18" s="1895">
        <v>1</v>
      </c>
      <c r="AB18" s="1895">
        <v>1</v>
      </c>
      <c r="AC18" s="1895">
        <v>1</v>
      </c>
    </row>
    <row r="19" spans="1:29" ht="42.75">
      <c r="A19" s="407"/>
      <c r="B19" s="430" t="s">
        <v>2440</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78"/>
      <c r="Q19" s="1891" t="str">
        <f>B19</f>
        <v>公共配套设施</v>
      </c>
      <c r="R19" s="751" t="s">
        <v>25</v>
      </c>
      <c r="S19" s="752">
        <f>F19</f>
        <v>100</v>
      </c>
      <c r="T19" s="751" t="s">
        <v>25</v>
      </c>
      <c r="U19" s="752">
        <f>H19</f>
        <v>100</v>
      </c>
      <c r="V19" s="751" t="s">
        <v>25</v>
      </c>
      <c r="W19" s="752">
        <f>J19</f>
        <v>100</v>
      </c>
      <c r="X19" s="1892"/>
      <c r="Y19" s="3065"/>
      <c r="Z19" s="1894" t="str">
        <f>Q19</f>
        <v>公共配套设施</v>
      </c>
      <c r="AA19" s="1895">
        <f t="shared" si="3"/>
        <v>1</v>
      </c>
      <c r="AB19" s="1895">
        <f t="shared" si="4"/>
        <v>1</v>
      </c>
      <c r="AC19" s="1895">
        <f t="shared" si="5"/>
        <v>1</v>
      </c>
    </row>
    <row r="20" spans="1:29" ht="15">
      <c r="A20" s="407"/>
      <c r="B20" s="435"/>
      <c r="C20" s="425"/>
      <c r="D20" s="426"/>
      <c r="E20" s="427"/>
      <c r="F20" s="428"/>
      <c r="G20" s="2397"/>
      <c r="H20" s="426"/>
      <c r="I20" s="427"/>
      <c r="J20" s="426"/>
      <c r="K20" s="598"/>
      <c r="L20" s="1247"/>
      <c r="M20" s="1238"/>
      <c r="N20" s="1238"/>
      <c r="O20" s="1238"/>
      <c r="P20" s="3078"/>
      <c r="Q20" s="1891"/>
      <c r="R20" s="751"/>
      <c r="S20" s="752"/>
      <c r="T20" s="751"/>
      <c r="U20" s="752"/>
      <c r="V20" s="751"/>
      <c r="W20" s="752"/>
      <c r="X20" s="1892"/>
      <c r="Y20" s="3065"/>
      <c r="Z20" s="1894"/>
      <c r="AA20" s="1895">
        <v>1</v>
      </c>
      <c r="AB20" s="1895">
        <v>1</v>
      </c>
      <c r="AC20" s="1895">
        <v>1</v>
      </c>
    </row>
    <row r="21" spans="1:29" ht="28.5">
      <c r="A21" s="407"/>
      <c r="B21" s="2401" t="s">
        <v>2441</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78"/>
      <c r="Q21" s="1891" t="str">
        <f>B21</f>
        <v>基础设施水平</v>
      </c>
      <c r="R21" s="751" t="s">
        <v>25</v>
      </c>
      <c r="S21" s="752">
        <f>F21</f>
        <v>100</v>
      </c>
      <c r="T21" s="751" t="s">
        <v>25</v>
      </c>
      <c r="U21" s="752">
        <f>H21</f>
        <v>100</v>
      </c>
      <c r="V21" s="751" t="s">
        <v>25</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38"/>
      <c r="P22" s="3078"/>
      <c r="Q22" s="1891"/>
      <c r="R22" s="751"/>
      <c r="S22" s="752"/>
      <c r="T22" s="751"/>
      <c r="U22" s="752"/>
      <c r="V22" s="751"/>
      <c r="W22" s="752"/>
      <c r="X22" s="1892"/>
      <c r="Y22" s="3065"/>
      <c r="Z22" s="1894"/>
      <c r="AA22" s="1895">
        <v>1</v>
      </c>
      <c r="AB22" s="1895">
        <v>1</v>
      </c>
      <c r="AC22" s="1895">
        <v>1</v>
      </c>
    </row>
    <row r="23" spans="1:29" ht="57">
      <c r="A23" s="407"/>
      <c r="B23" s="430" t="s">
        <v>1744</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78"/>
      <c r="Q23" s="1891" t="str">
        <f>B23</f>
        <v>自然及人文环境</v>
      </c>
      <c r="R23" s="751" t="s">
        <v>25</v>
      </c>
      <c r="S23" s="752">
        <f>F23</f>
        <v>100</v>
      </c>
      <c r="T23" s="751" t="s">
        <v>25</v>
      </c>
      <c r="U23" s="752">
        <f>H23</f>
        <v>100</v>
      </c>
      <c r="V23" s="751" t="s">
        <v>25</v>
      </c>
      <c r="W23" s="752">
        <f>J23</f>
        <v>100</v>
      </c>
      <c r="X23" s="1892"/>
      <c r="Y23" s="3065"/>
      <c r="Z23" s="1894" t="str">
        <f>Q23</f>
        <v>自然及人文环境</v>
      </c>
      <c r="AA23" s="1895">
        <f t="shared" si="3"/>
        <v>1</v>
      </c>
      <c r="AB23" s="1895">
        <f t="shared" si="4"/>
        <v>1</v>
      </c>
      <c r="AC23" s="1895">
        <f t="shared" si="5"/>
        <v>1</v>
      </c>
    </row>
    <row r="24" spans="1:29" ht="15">
      <c r="A24" s="407"/>
      <c r="B24" s="435"/>
      <c r="C24" s="425"/>
      <c r="D24" s="426"/>
      <c r="E24" s="427"/>
      <c r="F24" s="428"/>
      <c r="G24" s="2397"/>
      <c r="H24" s="426"/>
      <c r="I24" s="427"/>
      <c r="J24" s="426"/>
      <c r="K24" s="598"/>
      <c r="L24" s="1247"/>
      <c r="M24" s="1238"/>
      <c r="N24" s="1238"/>
      <c r="O24" s="1238"/>
      <c r="P24" s="3078"/>
      <c r="Q24" s="1891"/>
      <c r="R24" s="751"/>
      <c r="S24" s="752"/>
      <c r="T24" s="751"/>
      <c r="U24" s="752"/>
      <c r="V24" s="751"/>
      <c r="W24" s="752"/>
      <c r="X24" s="1892"/>
      <c r="Y24" s="3065"/>
      <c r="Z24" s="1894"/>
      <c r="AA24" s="1895">
        <v>1</v>
      </c>
      <c r="AB24" s="1895">
        <v>1</v>
      </c>
      <c r="AC24" s="1895">
        <v>1</v>
      </c>
    </row>
    <row r="25" spans="1:29" ht="15">
      <c r="A25" s="407"/>
      <c r="B25" s="401" t="s">
        <v>2442</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78"/>
      <c r="Q25" s="1891" t="str">
        <f t="shared" ref="Q25:Q46" si="11">B25</f>
        <v>临街状况</v>
      </c>
      <c r="R25" s="751" t="s">
        <v>25</v>
      </c>
      <c r="S25" s="752">
        <f>F25</f>
        <v>100</v>
      </c>
      <c r="T25" s="751" t="s">
        <v>25</v>
      </c>
      <c r="U25" s="752">
        <f>H25</f>
        <v>100</v>
      </c>
      <c r="V25" s="751" t="s">
        <v>25</v>
      </c>
      <c r="W25" s="752">
        <f>J25</f>
        <v>100</v>
      </c>
      <c r="X25" s="1892"/>
      <c r="Y25" s="3065"/>
      <c r="Z25" s="1894" t="str">
        <f>Q25</f>
        <v>临街状况</v>
      </c>
      <c r="AA25" s="1895">
        <f t="shared" si="3"/>
        <v>1</v>
      </c>
      <c r="AB25" s="1895">
        <f t="shared" si="4"/>
        <v>1</v>
      </c>
      <c r="AC25" s="1895">
        <f t="shared" si="5"/>
        <v>1</v>
      </c>
    </row>
    <row r="26" spans="1:29" ht="15">
      <c r="A26" s="407"/>
      <c r="B26" s="2405" t="s">
        <v>2443</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78"/>
      <c r="Q26" s="1891" t="str">
        <f t="shared" si="11"/>
        <v>平面位置/可视性</v>
      </c>
      <c r="R26" s="751" t="s">
        <v>25</v>
      </c>
      <c r="S26" s="752">
        <f>F26</f>
        <v>100</v>
      </c>
      <c r="T26" s="751" t="s">
        <v>25</v>
      </c>
      <c r="U26" s="752">
        <f>H26</f>
        <v>100</v>
      </c>
      <c r="V26" s="751" t="s">
        <v>25</v>
      </c>
      <c r="W26" s="752">
        <f>J26</f>
        <v>100</v>
      </c>
      <c r="X26" s="1892"/>
      <c r="Y26" s="3065"/>
      <c r="Z26" s="1894" t="str">
        <f>Q26</f>
        <v>平面位置/可视性</v>
      </c>
      <c r="AA26" s="1895">
        <f t="shared" si="3"/>
        <v>1</v>
      </c>
      <c r="AB26" s="1895">
        <f t="shared" si="4"/>
        <v>1</v>
      </c>
      <c r="AC26" s="1895">
        <f t="shared" si="5"/>
        <v>1</v>
      </c>
    </row>
    <row r="27" spans="1:29" s="35" customFormat="1" ht="15">
      <c r="A27" s="410"/>
      <c r="B27" s="430" t="s">
        <v>2444</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78"/>
      <c r="Q27" s="1879" t="str">
        <f t="shared" si="11"/>
        <v>人流量</v>
      </c>
      <c r="R27" s="747" t="s">
        <v>25</v>
      </c>
      <c r="S27" s="748">
        <f>F27</f>
        <v>100</v>
      </c>
      <c r="T27" s="747" t="s">
        <v>25</v>
      </c>
      <c r="U27" s="748">
        <f>H27</f>
        <v>100</v>
      </c>
      <c r="V27" s="747" t="s">
        <v>25</v>
      </c>
      <c r="W27" s="748">
        <f>J27</f>
        <v>100</v>
      </c>
      <c r="X27" s="749"/>
      <c r="Y27" s="3065"/>
      <c r="Z27" s="23" t="str">
        <f>Q27</f>
        <v>人流量</v>
      </c>
      <c r="AA27" s="1895">
        <f>D27/F27</f>
        <v>1</v>
      </c>
      <c r="AB27" s="1895">
        <f>D27/H27</f>
        <v>1</v>
      </c>
      <c r="AC27" s="1895">
        <f>D27/J27</f>
        <v>1</v>
      </c>
    </row>
    <row r="28" spans="1:29" ht="15">
      <c r="A28" s="407"/>
      <c r="B28" s="401" t="s">
        <v>2445</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78"/>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65"/>
      <c r="Z28" s="1894" t="str">
        <f t="shared" ref="Z28:Z46" si="15">Q28</f>
        <v>楼层</v>
      </c>
      <c r="AA28" s="1895">
        <f t="shared" si="3"/>
        <v>1</v>
      </c>
      <c r="AB28" s="1895">
        <f t="shared" si="4"/>
        <v>1</v>
      </c>
      <c r="AC28" s="1895">
        <f t="shared" si="5"/>
        <v>1</v>
      </c>
    </row>
    <row r="29" spans="1:29" ht="15">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78"/>
      <c r="Q29" s="1891">
        <f t="shared" si="11"/>
        <v>111</v>
      </c>
      <c r="R29" s="751" t="s">
        <v>25</v>
      </c>
      <c r="S29" s="752">
        <f t="shared" si="12"/>
        <v>100</v>
      </c>
      <c r="T29" s="751" t="s">
        <v>25</v>
      </c>
      <c r="U29" s="752">
        <f t="shared" si="13"/>
        <v>100</v>
      </c>
      <c r="V29" s="751" t="s">
        <v>25</v>
      </c>
      <c r="W29" s="752">
        <f t="shared" si="14"/>
        <v>100</v>
      </c>
      <c r="X29" s="1892"/>
      <c r="Y29" s="3065"/>
      <c r="Z29" s="1894">
        <f t="shared" si="15"/>
        <v>111</v>
      </c>
      <c r="AA29" s="1895">
        <f t="shared" si="3"/>
        <v>1</v>
      </c>
      <c r="AB29" s="1895">
        <f t="shared" si="4"/>
        <v>1</v>
      </c>
      <c r="AC29" s="1895">
        <f t="shared" si="5"/>
        <v>1</v>
      </c>
    </row>
    <row r="30" spans="1:29" ht="15">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78"/>
      <c r="Q30" s="1891">
        <f t="shared" si="11"/>
        <v>111</v>
      </c>
      <c r="R30" s="751" t="s">
        <v>25</v>
      </c>
      <c r="S30" s="752">
        <f t="shared" si="12"/>
        <v>100</v>
      </c>
      <c r="T30" s="751" t="s">
        <v>25</v>
      </c>
      <c r="U30" s="752">
        <f t="shared" si="13"/>
        <v>100</v>
      </c>
      <c r="V30" s="751" t="s">
        <v>25</v>
      </c>
      <c r="W30" s="752">
        <f t="shared" si="14"/>
        <v>100</v>
      </c>
      <c r="X30" s="1892"/>
      <c r="Y30" s="3065"/>
      <c r="Z30" s="1894">
        <f t="shared" si="15"/>
        <v>111</v>
      </c>
      <c r="AA30" s="1895">
        <f t="shared" si="3"/>
        <v>1</v>
      </c>
      <c r="AB30" s="1895">
        <f t="shared" si="4"/>
        <v>1</v>
      </c>
      <c r="AC30" s="1895">
        <f t="shared" si="5"/>
        <v>1</v>
      </c>
    </row>
    <row r="31" spans="1:29" ht="15.75" thickBot="1">
      <c r="A31" s="415"/>
      <c r="B31" s="2405">
        <v>111</v>
      </c>
      <c r="C31" s="2395"/>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78"/>
      <c r="Q31" s="1891">
        <f t="shared" si="11"/>
        <v>111</v>
      </c>
      <c r="R31" s="751" t="s">
        <v>25</v>
      </c>
      <c r="S31" s="752">
        <f t="shared" si="12"/>
        <v>100</v>
      </c>
      <c r="T31" s="751" t="s">
        <v>25</v>
      </c>
      <c r="U31" s="752">
        <f t="shared" si="13"/>
        <v>100</v>
      </c>
      <c r="V31" s="751" t="s">
        <v>25</v>
      </c>
      <c r="W31" s="752">
        <f t="shared" si="14"/>
        <v>100</v>
      </c>
      <c r="X31" s="1892"/>
      <c r="Y31" s="3065"/>
      <c r="Z31" s="1894">
        <f t="shared" si="15"/>
        <v>111</v>
      </c>
      <c r="AA31" s="1895">
        <f t="shared" si="3"/>
        <v>1</v>
      </c>
      <c r="AB31" s="1895">
        <f t="shared" si="4"/>
        <v>1</v>
      </c>
      <c r="AC31" s="1895">
        <f t="shared" si="5"/>
        <v>1</v>
      </c>
    </row>
    <row r="32" spans="1:29" ht="15">
      <c r="A32" s="418" t="s">
        <v>2358</v>
      </c>
      <c r="B32" s="28" t="s">
        <v>2446</v>
      </c>
      <c r="C32" s="2406"/>
      <c r="D32" s="447">
        <v>100</v>
      </c>
      <c r="E32" s="2406"/>
      <c r="F32" s="441">
        <f>SUMIF(100:100,E32,101:101)-SUMIF(100:100,C32,101:101)+100</f>
        <v>100</v>
      </c>
      <c r="G32" s="2406"/>
      <c r="H32" s="414">
        <f>SUMIF(100:100,G32,101:101)-SUMIF(100:100,C32,101:101)+100</f>
        <v>100</v>
      </c>
      <c r="I32" s="2406"/>
      <c r="J32" s="447">
        <f>SUMIF(100:100,I32,101:101)-SUMIF(100:100,C32,101:101)+100</f>
        <v>100</v>
      </c>
      <c r="K32" s="595"/>
      <c r="L32" s="1247"/>
      <c r="M32" s="1238"/>
      <c r="N32" s="1238"/>
      <c r="O32" s="1238"/>
      <c r="P32" s="3066" t="s">
        <v>2360</v>
      </c>
      <c r="Q32" s="1891" t="str">
        <f t="shared" si="11"/>
        <v>商业类型</v>
      </c>
      <c r="R32" s="751" t="s">
        <v>25</v>
      </c>
      <c r="S32" s="752">
        <f t="shared" si="12"/>
        <v>100</v>
      </c>
      <c r="T32" s="751" t="s">
        <v>25</v>
      </c>
      <c r="U32" s="752">
        <f t="shared" si="13"/>
        <v>100</v>
      </c>
      <c r="V32" s="751" t="s">
        <v>25</v>
      </c>
      <c r="W32" s="752">
        <f t="shared" si="14"/>
        <v>100</v>
      </c>
      <c r="X32" s="1892"/>
      <c r="Y32" s="3069" t="s">
        <v>2360</v>
      </c>
      <c r="Z32" s="1894" t="str">
        <f t="shared" si="15"/>
        <v>商业类型</v>
      </c>
      <c r="AA32" s="1895">
        <f t="shared" si="3"/>
        <v>1</v>
      </c>
      <c r="AB32" s="1895">
        <f t="shared" si="4"/>
        <v>1</v>
      </c>
      <c r="AC32" s="1895">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67"/>
      <c r="Q33" s="753" t="str">
        <f t="shared" si="11"/>
        <v>项目建筑规模</v>
      </c>
      <c r="R33" s="754" t="s">
        <v>25</v>
      </c>
      <c r="S33" s="755" t="e">
        <f t="shared" si="12"/>
        <v>#N/A</v>
      </c>
      <c r="T33" s="754" t="s">
        <v>25</v>
      </c>
      <c r="U33" s="755" t="e">
        <f t="shared" si="13"/>
        <v>#N/A</v>
      </c>
      <c r="V33" s="754" t="s">
        <v>25</v>
      </c>
      <c r="W33" s="755" t="e">
        <f t="shared" si="14"/>
        <v>#N/A</v>
      </c>
      <c r="X33" s="756"/>
      <c r="Y33" s="3069"/>
      <c r="Z33" s="757" t="str">
        <f t="shared" si="15"/>
        <v>项目建筑规模</v>
      </c>
      <c r="AA33" s="1895" t="e">
        <f t="shared" si="3"/>
        <v>#N/A</v>
      </c>
      <c r="AB33" s="1895" t="e">
        <f t="shared" si="4"/>
        <v>#N/A</v>
      </c>
      <c r="AC33" s="1895" t="e">
        <f t="shared" si="5"/>
        <v>#N/A</v>
      </c>
    </row>
    <row r="34" spans="1:29" ht="15">
      <c r="A34" s="452"/>
      <c r="B34" s="401" t="s">
        <v>2362</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67"/>
      <c r="Q34" s="1891" t="str">
        <f t="shared" si="11"/>
        <v>建筑结构</v>
      </c>
      <c r="R34" s="751" t="s">
        <v>25</v>
      </c>
      <c r="S34" s="752">
        <f t="shared" si="12"/>
        <v>100</v>
      </c>
      <c r="T34" s="751" t="s">
        <v>25</v>
      </c>
      <c r="U34" s="752">
        <f t="shared" si="13"/>
        <v>100</v>
      </c>
      <c r="V34" s="751" t="s">
        <v>25</v>
      </c>
      <c r="W34" s="752">
        <f t="shared" si="14"/>
        <v>100</v>
      </c>
      <c r="X34" s="1892"/>
      <c r="Y34" s="3069"/>
      <c r="Z34" s="1894" t="str">
        <f t="shared" si="15"/>
        <v>建筑结构</v>
      </c>
      <c r="AA34" s="1895">
        <f t="shared" si="3"/>
        <v>1</v>
      </c>
      <c r="AB34" s="1895">
        <f t="shared" si="4"/>
        <v>1</v>
      </c>
      <c r="AC34" s="1895">
        <f t="shared" si="5"/>
        <v>1</v>
      </c>
    </row>
    <row r="35" spans="1:29" ht="15">
      <c r="A35" s="452"/>
      <c r="B35" s="401" t="s">
        <v>2447</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595"/>
      <c r="L35" s="1247"/>
      <c r="M35" s="1238"/>
      <c r="N35" s="1238"/>
      <c r="O35" s="1238"/>
      <c r="P35" s="3067"/>
      <c r="Q35" s="1891" t="str">
        <f t="shared" si="11"/>
        <v>公共部分装修</v>
      </c>
      <c r="R35" s="751" t="s">
        <v>25</v>
      </c>
      <c r="S35" s="752">
        <f t="shared" si="12"/>
        <v>100</v>
      </c>
      <c r="T35" s="751" t="s">
        <v>25</v>
      </c>
      <c r="U35" s="752">
        <f t="shared" si="13"/>
        <v>100</v>
      </c>
      <c r="V35" s="751" t="s">
        <v>25</v>
      </c>
      <c r="W35" s="752">
        <f t="shared" si="14"/>
        <v>100</v>
      </c>
      <c r="X35" s="1892"/>
      <c r="Y35" s="3069"/>
      <c r="Z35" s="1894" t="str">
        <f t="shared" si="15"/>
        <v>公共部分装修</v>
      </c>
      <c r="AA35" s="1895">
        <f t="shared" si="3"/>
        <v>1</v>
      </c>
      <c r="AB35" s="1895">
        <f t="shared" si="4"/>
        <v>1</v>
      </c>
      <c r="AC35" s="1895">
        <f t="shared" si="5"/>
        <v>1</v>
      </c>
    </row>
    <row r="36" spans="1:29" ht="15">
      <c r="A36" s="452"/>
      <c r="B36" s="401" t="s">
        <v>2448</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67"/>
      <c r="Q36" s="1891" t="str">
        <f t="shared" si="11"/>
        <v>成新度</v>
      </c>
      <c r="R36" s="751" t="s">
        <v>25</v>
      </c>
      <c r="S36" s="752" t="e">
        <f t="shared" si="12"/>
        <v>#N/A</v>
      </c>
      <c r="T36" s="751" t="s">
        <v>25</v>
      </c>
      <c r="U36" s="752" t="e">
        <f t="shared" si="13"/>
        <v>#N/A</v>
      </c>
      <c r="V36" s="751" t="s">
        <v>25</v>
      </c>
      <c r="W36" s="752" t="e">
        <f t="shared" si="14"/>
        <v>#N/A</v>
      </c>
      <c r="X36" s="1892"/>
      <c r="Y36" s="3069"/>
      <c r="Z36" s="1894" t="str">
        <f t="shared" si="15"/>
        <v>成新度</v>
      </c>
      <c r="AA36" s="1895" t="e">
        <f t="shared" si="3"/>
        <v>#N/A</v>
      </c>
      <c r="AB36" s="1895" t="e">
        <f t="shared" si="4"/>
        <v>#N/A</v>
      </c>
      <c r="AC36" s="1895" t="e">
        <f t="shared" si="5"/>
        <v>#N/A</v>
      </c>
    </row>
    <row r="37" spans="1:29" s="35" customFormat="1" ht="15">
      <c r="A37" s="453"/>
      <c r="B37" s="401" t="s">
        <v>2449</v>
      </c>
      <c r="C37" s="2404"/>
      <c r="D37" s="51">
        <v>100</v>
      </c>
      <c r="E37" s="2404"/>
      <c r="F37" s="441">
        <f>SUMIF(112:112,E37,113:113)-SUMIF(112:112,C37,113:113)+100</f>
        <v>100</v>
      </c>
      <c r="G37" s="2404"/>
      <c r="H37" s="414">
        <f>SUMIF(112:112,G37,113:113)-SUMIF(112:112,C37,113:113)+100</f>
        <v>100</v>
      </c>
      <c r="I37" s="2404"/>
      <c r="J37" s="414">
        <f>SUMIF(112:112,I37,113:113)-SUMIF(112:112,C37,113:113)+100</f>
        <v>100</v>
      </c>
      <c r="K37" s="595"/>
      <c r="L37" s="1239"/>
      <c r="M37" s="1240"/>
      <c r="N37" s="1240"/>
      <c r="O37" s="1240"/>
      <c r="P37" s="3067"/>
      <c r="Q37" s="1879" t="str">
        <f t="shared" si="11"/>
        <v>市政基础设施</v>
      </c>
      <c r="R37" s="747" t="s">
        <v>25</v>
      </c>
      <c r="S37" s="748">
        <f t="shared" si="12"/>
        <v>100</v>
      </c>
      <c r="T37" s="747" t="s">
        <v>25</v>
      </c>
      <c r="U37" s="748">
        <f t="shared" si="13"/>
        <v>100</v>
      </c>
      <c r="V37" s="747" t="s">
        <v>25</v>
      </c>
      <c r="W37" s="748">
        <f t="shared" si="14"/>
        <v>100</v>
      </c>
      <c r="X37" s="749"/>
      <c r="Y37" s="3069"/>
      <c r="Z37" s="23" t="str">
        <f t="shared" si="15"/>
        <v>市政基础设施</v>
      </c>
      <c r="AA37" s="750">
        <f t="shared" si="3"/>
        <v>1</v>
      </c>
      <c r="AB37" s="750">
        <f t="shared" si="4"/>
        <v>1</v>
      </c>
      <c r="AC37" s="750">
        <f t="shared" si="5"/>
        <v>1</v>
      </c>
    </row>
    <row r="38" spans="1:29" ht="15">
      <c r="A38" s="452"/>
      <c r="B38" s="401" t="s">
        <v>2450</v>
      </c>
      <c r="C38" s="2404"/>
      <c r="D38" s="414">
        <v>100</v>
      </c>
      <c r="E38" s="2404"/>
      <c r="F38" s="441">
        <f>SUMIF(114:114,E38,115:115)-SUMIF(114:114,C38,115:115)+100</f>
        <v>100</v>
      </c>
      <c r="G38" s="2404"/>
      <c r="H38" s="414">
        <f>SUMIF(114:114,G38,115:115)-SUMIF(114:114,C38,115:115)+100</f>
        <v>100</v>
      </c>
      <c r="I38" s="2404"/>
      <c r="J38" s="414">
        <f>SUMIF(114:114,I38,115:115)-SUMIF(114:114,C38,115:115)+100</f>
        <v>100</v>
      </c>
      <c r="K38" s="595"/>
      <c r="L38" s="1247"/>
      <c r="M38" s="1238"/>
      <c r="N38" s="1238"/>
      <c r="O38" s="1238"/>
      <c r="P38" s="3067" t="s">
        <v>2360</v>
      </c>
      <c r="Q38" s="1891" t="str">
        <f t="shared" si="11"/>
        <v>业态</v>
      </c>
      <c r="R38" s="751" t="s">
        <v>25</v>
      </c>
      <c r="S38" s="752">
        <f t="shared" si="12"/>
        <v>100</v>
      </c>
      <c r="T38" s="751" t="s">
        <v>25</v>
      </c>
      <c r="U38" s="752">
        <f t="shared" si="13"/>
        <v>100</v>
      </c>
      <c r="V38" s="751" t="s">
        <v>25</v>
      </c>
      <c r="W38" s="752">
        <f t="shared" si="14"/>
        <v>100</v>
      </c>
      <c r="X38" s="1892"/>
      <c r="Y38" s="3069" t="s">
        <v>2360</v>
      </c>
      <c r="Z38" s="1894" t="str">
        <f t="shared" si="15"/>
        <v>业态</v>
      </c>
      <c r="AA38" s="1895">
        <f t="shared" si="3"/>
        <v>1</v>
      </c>
      <c r="AB38" s="1895">
        <f t="shared" si="4"/>
        <v>1</v>
      </c>
      <c r="AC38" s="1895">
        <f t="shared" si="5"/>
        <v>1</v>
      </c>
    </row>
    <row r="39" spans="1:29" ht="15">
      <c r="A39" s="452"/>
      <c r="B39" s="401" t="s">
        <v>2451</v>
      </c>
      <c r="C39" s="2404"/>
      <c r="D39" s="414">
        <v>100</v>
      </c>
      <c r="E39" s="2404"/>
      <c r="F39" s="441">
        <f>SUMIF(116:116,E39,117:117)-SUMIF(116:116,C39,117:117)+100</f>
        <v>100</v>
      </c>
      <c r="G39" s="2404"/>
      <c r="H39" s="414">
        <f>SUMIF(116:116,G39,117:117)-SUMIF(116:116,C39,117:117)+100</f>
        <v>100</v>
      </c>
      <c r="I39" s="2404"/>
      <c r="J39" s="414">
        <f>SUMIF(116:116,I39,117:117)-SUMIF(116:116,C39,117:117)+100</f>
        <v>100</v>
      </c>
      <c r="K39" s="595"/>
      <c r="L39" s="1247"/>
      <c r="M39" s="1238"/>
      <c r="N39" s="1238"/>
      <c r="O39" s="1238"/>
      <c r="P39" s="3067"/>
      <c r="Q39" s="1891" t="str">
        <f t="shared" si="11"/>
        <v>层高</v>
      </c>
      <c r="R39" s="751" t="s">
        <v>25</v>
      </c>
      <c r="S39" s="752">
        <f t="shared" si="12"/>
        <v>100</v>
      </c>
      <c r="T39" s="751" t="s">
        <v>25</v>
      </c>
      <c r="U39" s="752">
        <f t="shared" si="13"/>
        <v>100</v>
      </c>
      <c r="V39" s="751" t="s">
        <v>25</v>
      </c>
      <c r="W39" s="752">
        <f t="shared" si="14"/>
        <v>100</v>
      </c>
      <c r="X39" s="1892"/>
      <c r="Y39" s="3069"/>
      <c r="Z39" s="1894" t="str">
        <f t="shared" si="15"/>
        <v>层高</v>
      </c>
      <c r="AA39" s="1895">
        <f t="shared" si="3"/>
        <v>1</v>
      </c>
      <c r="AB39" s="1895">
        <f t="shared" si="4"/>
        <v>1</v>
      </c>
      <c r="AC39" s="1895">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67"/>
      <c r="Q40" s="1891" t="str">
        <f t="shared" si="11"/>
        <v>单套建筑面积</v>
      </c>
      <c r="R40" s="751" t="s">
        <v>25</v>
      </c>
      <c r="S40" s="752">
        <f t="shared" si="12"/>
        <v>100</v>
      </c>
      <c r="T40" s="751" t="s">
        <v>25</v>
      </c>
      <c r="U40" s="752">
        <f t="shared" si="13"/>
        <v>100</v>
      </c>
      <c r="V40" s="751" t="s">
        <v>25</v>
      </c>
      <c r="W40" s="752">
        <f t="shared" si="14"/>
        <v>100</v>
      </c>
      <c r="X40" s="1892"/>
      <c r="Y40" s="3069"/>
      <c r="Z40" s="1894" t="str">
        <f t="shared" si="15"/>
        <v>单套建筑面积</v>
      </c>
      <c r="AA40" s="1895">
        <f t="shared" si="3"/>
        <v>1</v>
      </c>
      <c r="AB40" s="1895">
        <f t="shared" si="4"/>
        <v>1</v>
      </c>
      <c r="AC40" s="1895">
        <f t="shared" si="5"/>
        <v>1</v>
      </c>
    </row>
    <row r="41" spans="1:29" s="451" customFormat="1" ht="15">
      <c r="A41" s="448"/>
      <c r="B41" s="1896"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67"/>
      <c r="Q41" s="753" t="str">
        <f t="shared" si="11"/>
        <v>进深比</v>
      </c>
      <c r="R41" s="754" t="s">
        <v>25</v>
      </c>
      <c r="S41" s="755">
        <f t="shared" si="12"/>
        <v>100</v>
      </c>
      <c r="T41" s="754" t="s">
        <v>25</v>
      </c>
      <c r="U41" s="755">
        <f t="shared" si="13"/>
        <v>100</v>
      </c>
      <c r="V41" s="754" t="s">
        <v>25</v>
      </c>
      <c r="W41" s="755">
        <f t="shared" si="14"/>
        <v>100</v>
      </c>
      <c r="X41" s="756"/>
      <c r="Y41" s="3069"/>
      <c r="Z41" s="757" t="str">
        <f t="shared" si="15"/>
        <v>进深比</v>
      </c>
      <c r="AA41" s="1895">
        <f t="shared" si="3"/>
        <v>1</v>
      </c>
      <c r="AB41" s="1895">
        <f t="shared" si="4"/>
        <v>1</v>
      </c>
      <c r="AC41" s="1895">
        <f t="shared" si="5"/>
        <v>1</v>
      </c>
    </row>
    <row r="42" spans="1:29" ht="15">
      <c r="A42" s="452"/>
      <c r="B42" s="401" t="s">
        <v>2454</v>
      </c>
      <c r="C42" s="2404"/>
      <c r="D42" s="414">
        <v>100</v>
      </c>
      <c r="E42" s="2404"/>
      <c r="F42" s="441">
        <f>SUMIF(122:122,E42,123:123)-SUMIF(122:122,C42,123:123)+100</f>
        <v>100</v>
      </c>
      <c r="G42" s="2404"/>
      <c r="H42" s="414">
        <f>SUMIF(122:122,G42,123:123)-SUMIF(122:122,C42,123:123)+100</f>
        <v>100</v>
      </c>
      <c r="I42" s="2404"/>
      <c r="J42" s="414">
        <f>SUMIF(122:122,I42,123:123)-SUMIF(122:122,C42,123:123)+100</f>
        <v>100</v>
      </c>
      <c r="K42" s="595"/>
      <c r="L42" s="1247"/>
      <c r="M42" s="1238"/>
      <c r="N42" s="1238"/>
      <c r="O42" s="1238"/>
      <c r="P42" s="3067"/>
      <c r="Q42" s="1891" t="str">
        <f t="shared" si="11"/>
        <v>内部装修</v>
      </c>
      <c r="R42" s="751" t="s">
        <v>25</v>
      </c>
      <c r="S42" s="752">
        <f t="shared" si="12"/>
        <v>100</v>
      </c>
      <c r="T42" s="751" t="s">
        <v>25</v>
      </c>
      <c r="U42" s="752">
        <f t="shared" si="13"/>
        <v>100</v>
      </c>
      <c r="V42" s="751" t="s">
        <v>25</v>
      </c>
      <c r="W42" s="752">
        <f t="shared" si="14"/>
        <v>100</v>
      </c>
      <c r="X42" s="1892"/>
      <c r="Y42" s="3069"/>
      <c r="Z42" s="1894" t="str">
        <f t="shared" si="15"/>
        <v>内部装修</v>
      </c>
      <c r="AA42" s="1895">
        <f t="shared" si="3"/>
        <v>1</v>
      </c>
      <c r="AB42" s="1895">
        <f t="shared" si="4"/>
        <v>1</v>
      </c>
      <c r="AC42" s="1895">
        <f t="shared" si="5"/>
        <v>1</v>
      </c>
    </row>
    <row r="43" spans="1:29" ht="15">
      <c r="A43" s="452"/>
      <c r="B43" s="401" t="s">
        <v>2371</v>
      </c>
      <c r="C43" s="2404"/>
      <c r="D43" s="414">
        <v>100</v>
      </c>
      <c r="E43" s="2404"/>
      <c r="F43" s="441">
        <f>SUMIF(124:124,E43,125:125)-SUMIF(124:124,C43,125:125)+100</f>
        <v>100</v>
      </c>
      <c r="G43" s="2404"/>
      <c r="H43" s="414">
        <f>SUMIF(124:124,G43,125:125)-SUMIF(124:124,C43,125:125)+100</f>
        <v>100</v>
      </c>
      <c r="I43" s="2404"/>
      <c r="J43" s="414">
        <f>SUMIF(124:124,I43,125:125)-SUMIF(124:124,C43,125:125)+100</f>
        <v>100</v>
      </c>
      <c r="K43" s="595"/>
      <c r="L43" s="1247"/>
      <c r="M43" s="1238"/>
      <c r="N43" s="1238"/>
      <c r="O43" s="1238"/>
      <c r="P43" s="3067"/>
      <c r="Q43" s="1891" t="str">
        <f t="shared" si="11"/>
        <v>内部装修维护情况</v>
      </c>
      <c r="R43" s="751" t="s">
        <v>25</v>
      </c>
      <c r="S43" s="752">
        <f t="shared" si="12"/>
        <v>100</v>
      </c>
      <c r="T43" s="751" t="s">
        <v>25</v>
      </c>
      <c r="U43" s="752">
        <f t="shared" si="13"/>
        <v>100</v>
      </c>
      <c r="V43" s="751" t="s">
        <v>25</v>
      </c>
      <c r="W43" s="752">
        <f t="shared" si="14"/>
        <v>100</v>
      </c>
      <c r="X43" s="1892"/>
      <c r="Y43" s="306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67"/>
      <c r="Q44" s="1879">
        <f t="shared" si="11"/>
        <v>111</v>
      </c>
      <c r="R44" s="747" t="s">
        <v>25</v>
      </c>
      <c r="S44" s="748">
        <f t="shared" si="12"/>
        <v>100</v>
      </c>
      <c r="T44" s="747" t="s">
        <v>25</v>
      </c>
      <c r="U44" s="748">
        <f t="shared" si="13"/>
        <v>100</v>
      </c>
      <c r="V44" s="747" t="s">
        <v>25</v>
      </c>
      <c r="W44" s="748">
        <f t="shared" si="14"/>
        <v>100</v>
      </c>
      <c r="X44" s="749"/>
      <c r="Y44" s="306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67"/>
      <c r="Q45" s="1891">
        <f t="shared" si="11"/>
        <v>111</v>
      </c>
      <c r="R45" s="751" t="s">
        <v>25</v>
      </c>
      <c r="S45" s="752">
        <f t="shared" si="12"/>
        <v>100</v>
      </c>
      <c r="T45" s="751" t="s">
        <v>25</v>
      </c>
      <c r="U45" s="752">
        <f t="shared" si="13"/>
        <v>100</v>
      </c>
      <c r="V45" s="751" t="s">
        <v>25</v>
      </c>
      <c r="W45" s="752">
        <f t="shared" si="14"/>
        <v>100</v>
      </c>
      <c r="X45" s="1892"/>
      <c r="Y45" s="3069"/>
      <c r="Z45" s="1894">
        <f t="shared" si="15"/>
        <v>111</v>
      </c>
      <c r="AA45" s="1895">
        <f t="shared" si="3"/>
        <v>1</v>
      </c>
      <c r="AB45" s="1895">
        <f t="shared" si="4"/>
        <v>1</v>
      </c>
      <c r="AC45" s="1895">
        <f t="shared" si="5"/>
        <v>1</v>
      </c>
    </row>
    <row r="46" spans="1:29" ht="15.75" thickBot="1">
      <c r="A46" s="458"/>
      <c r="B46" s="2394">
        <v>111</v>
      </c>
      <c r="C46" s="2395"/>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68"/>
      <c r="Q46" s="1891">
        <f t="shared" si="11"/>
        <v>111</v>
      </c>
      <c r="R46" s="751" t="s">
        <v>25</v>
      </c>
      <c r="S46" s="752">
        <f t="shared" si="12"/>
        <v>100</v>
      </c>
      <c r="T46" s="751" t="s">
        <v>25</v>
      </c>
      <c r="U46" s="752">
        <f t="shared" si="13"/>
        <v>100</v>
      </c>
      <c r="V46" s="751" t="s">
        <v>25</v>
      </c>
      <c r="W46" s="752">
        <f t="shared" si="14"/>
        <v>100</v>
      </c>
      <c r="X46" s="1892"/>
      <c r="Y46" s="3070"/>
      <c r="Z46" s="1894">
        <f t="shared" si="15"/>
        <v>111</v>
      </c>
      <c r="AA46" s="1895">
        <f t="shared" si="3"/>
        <v>1</v>
      </c>
      <c r="AB46" s="1895">
        <f t="shared" si="4"/>
        <v>1</v>
      </c>
      <c r="AC46" s="1895">
        <f t="shared" si="5"/>
        <v>1</v>
      </c>
    </row>
    <row r="47" spans="1:29" ht="15">
      <c r="A47" s="459" t="s">
        <v>2372</v>
      </c>
      <c r="B47" s="460"/>
      <c r="C47" s="1496" t="s">
        <v>1</v>
      </c>
      <c r="D47" s="1497"/>
      <c r="E47" s="1498"/>
      <c r="F47" s="1499"/>
      <c r="G47" s="1500"/>
      <c r="H47" s="1501"/>
      <c r="I47" s="1498"/>
      <c r="J47" s="1501"/>
      <c r="K47" s="760"/>
      <c r="L47" s="1250"/>
      <c r="M47" s="1251"/>
      <c r="N47" s="1238"/>
      <c r="O47" s="1251"/>
      <c r="P47" s="3075" t="str">
        <f>A47</f>
        <v>成交单价（元/平方米）</v>
      </c>
      <c r="Q47" s="3075"/>
      <c r="R47" s="3076">
        <f>E47</f>
        <v>0</v>
      </c>
      <c r="S47" s="3076"/>
      <c r="T47" s="3076">
        <f>G47</f>
        <v>0</v>
      </c>
      <c r="U47" s="3076"/>
      <c r="V47" s="3076">
        <f>I47</f>
        <v>0</v>
      </c>
      <c r="W47" s="3076"/>
      <c r="X47" s="736"/>
      <c r="Y47" s="758"/>
      <c r="Z47" s="736"/>
      <c r="AA47" s="736"/>
      <c r="AB47" s="736"/>
      <c r="AC47" s="736"/>
    </row>
    <row r="48" spans="1:29" ht="15.75" thickBot="1">
      <c r="A48" s="466" t="s">
        <v>2455</v>
      </c>
      <c r="B48" s="467"/>
      <c r="C48" s="1502" t="e">
        <f>R49</f>
        <v>#DIV/0!</v>
      </c>
      <c r="D48" s="1503"/>
      <c r="E48" s="1504" t="e">
        <f>R48</f>
        <v>#DIV/0!</v>
      </c>
      <c r="F48" s="1504"/>
      <c r="G48" s="1502" t="e">
        <f>T48</f>
        <v>#DIV/0!</v>
      </c>
      <c r="H48" s="1503"/>
      <c r="I48" s="1504" t="e">
        <f>V48</f>
        <v>#DIV/0!</v>
      </c>
      <c r="J48" s="1503"/>
      <c r="K48" s="761"/>
      <c r="L48" s="1250"/>
      <c r="M48" s="1251"/>
      <c r="N48" s="1238"/>
      <c r="O48" s="1251"/>
      <c r="P48" s="3075" t="str">
        <f>A48</f>
        <v>比较价值（元/平方米）</v>
      </c>
      <c r="Q48" s="3075"/>
      <c r="R48" s="3076" t="e">
        <f>IF(E1="售价",ROUND(PRODUCT(R47,AA7:AA46),0),ROUND(PRODUCT(R47,AA7:AA46),1))</f>
        <v>#DIV/0!</v>
      </c>
      <c r="S48" s="3076"/>
      <c r="T48" s="3076" t="e">
        <f>IF(E1="售价",ROUND(PRODUCT(T47,AB7:AB46),0),ROUND(PRODUCT(T47,AB7:AB46),1))</f>
        <v>#DIV/0!</v>
      </c>
      <c r="U48" s="3076"/>
      <c r="V48" s="3076" t="e">
        <f>IF(E1="售价",ROUND(PRODUCT(V47,AC7:AC46),0),ROUND(PRODUCT(V47,AC7:AC46),1))</f>
        <v>#DIV/0!</v>
      </c>
      <c r="W48" s="3076"/>
      <c r="X48" s="736"/>
      <c r="Y48" s="736"/>
      <c r="Z48" s="736"/>
      <c r="AA48" s="736"/>
      <c r="AB48" s="736"/>
      <c r="AC48" s="736"/>
    </row>
    <row r="49" spans="1:29" ht="15.75" thickBot="1">
      <c r="A49" s="472" t="s">
        <v>2456</v>
      </c>
      <c r="B49" s="473"/>
      <c r="C49" s="1506" t="e">
        <f>R49</f>
        <v>#DIV/0!</v>
      </c>
      <c r="D49" s="1506"/>
      <c r="E49" s="1506"/>
      <c r="F49" s="1506"/>
      <c r="G49" s="1506"/>
      <c r="H49" s="1506"/>
      <c r="I49" s="1506"/>
      <c r="J49" s="1506"/>
      <c r="K49" s="762"/>
      <c r="L49" s="1250"/>
      <c r="M49" s="1251"/>
      <c r="N49" s="1238"/>
      <c r="O49" s="1251"/>
      <c r="P49" s="3081" t="str">
        <f>A49</f>
        <v>估价对象XX用房的比较价值（楼面单价，元/平方米）</v>
      </c>
      <c r="Q49" s="3082"/>
      <c r="R49" s="3083" t="e">
        <f>IF(E1="售价",ROUND(AVERAGE(R48:V48),0),ROUND(AVERAGE(R48:V48),1))</f>
        <v>#DIV/0!</v>
      </c>
      <c r="S49" s="3083"/>
      <c r="T49" s="3083"/>
      <c r="U49" s="3083"/>
      <c r="V49" s="3083"/>
      <c r="W49" s="3083"/>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2459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1.75" thickBot="1">
      <c r="A57" s="740" t="s">
        <v>2460</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5">
      <c r="A58" s="485" t="s">
        <v>2342</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c r="E59" s="492"/>
      <c r="F59" s="492"/>
      <c r="G59" s="492"/>
      <c r="H59" s="492"/>
      <c r="I59" s="492"/>
      <c r="J59" s="492"/>
      <c r="K59" s="492"/>
      <c r="L59" s="492"/>
      <c r="M59" s="493"/>
      <c r="N59" s="492"/>
      <c r="O59" s="493"/>
      <c r="P59" s="2417"/>
    </row>
    <row r="60" spans="1:29" s="35" customFormat="1" ht="15.75" thickBot="1">
      <c r="A60" s="495" t="s">
        <v>2380</v>
      </c>
      <c r="B60" s="496"/>
      <c r="C60" s="497"/>
      <c r="D60" s="498"/>
      <c r="E60" s="498"/>
      <c r="F60" s="498"/>
      <c r="G60" s="498"/>
      <c r="H60" s="498"/>
      <c r="I60" s="498"/>
      <c r="J60" s="498"/>
      <c r="K60" s="498"/>
      <c r="L60" s="498"/>
      <c r="M60" s="499"/>
      <c r="N60" s="498"/>
      <c r="O60" s="499"/>
      <c r="P60" s="2417"/>
      <c r="Q60" s="484"/>
    </row>
    <row r="61" spans="1:29" s="35" customFormat="1" ht="15">
      <c r="A61" s="501" t="s">
        <v>2344</v>
      </c>
      <c r="B61" s="490"/>
      <c r="C61" s="502" t="s">
        <v>2345</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2383</v>
      </c>
      <c r="B63" s="508" t="s">
        <v>2348</v>
      </c>
      <c r="C63" s="509">
        <f>C9</f>
        <v>0</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75" thickTop="1">
      <c r="A67" s="515"/>
      <c r="B67" s="528" t="s">
        <v>2352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ht="15">
      <c r="A68" s="515"/>
      <c r="B68" s="530"/>
      <c r="C68" s="531"/>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17"/>
      <c r="E73" s="517"/>
      <c r="F73" s="517"/>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75" thickTop="1">
      <c r="A82" s="515"/>
      <c r="B82" s="528" t="s">
        <v>2441</v>
      </c>
      <c r="C82" s="521" t="s">
        <v>2399</v>
      </c>
      <c r="D82" s="521" t="s">
        <v>2400</v>
      </c>
      <c r="E82" s="521" t="s">
        <v>2401</v>
      </c>
      <c r="F82" s="521" t="s">
        <v>2402</v>
      </c>
      <c r="G82" s="521" t="s">
        <v>2403</v>
      </c>
      <c r="H82" s="521"/>
      <c r="I82" s="521"/>
      <c r="J82" s="521"/>
      <c r="K82" s="521"/>
      <c r="L82" s="521"/>
      <c r="M82" s="1461"/>
      <c r="N82" s="1262"/>
      <c r="O82" s="1262"/>
      <c r="P82" s="2419"/>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75" thickTop="1">
      <c r="A86" s="562"/>
      <c r="B86" s="520" t="s">
        <v>2461</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5.75"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5.75" thickBot="1">
      <c r="A89" s="562"/>
      <c r="B89" s="525"/>
      <c r="C89" s="543"/>
      <c r="D89" s="517"/>
      <c r="E89" s="517"/>
      <c r="F89" s="517"/>
      <c r="G89" s="517"/>
      <c r="H89" s="517"/>
      <c r="I89" s="517"/>
      <c r="J89" s="517"/>
      <c r="K89" s="517"/>
      <c r="L89" s="517"/>
      <c r="M89" s="517"/>
      <c r="N89" s="1262"/>
      <c r="O89" s="1262"/>
      <c r="P89" s="2419"/>
      <c r="Q89" s="484"/>
    </row>
    <row r="90" spans="1:17" s="451" customFormat="1" ht="15.75"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5.75" thickTop="1">
      <c r="A92" s="515"/>
      <c r="B92" s="520" t="str">
        <f>B28</f>
        <v>楼层</v>
      </c>
      <c r="C92" s="536"/>
      <c r="D92" s="536"/>
      <c r="E92" s="536"/>
      <c r="F92" s="536"/>
      <c r="G92" s="536"/>
      <c r="H92" s="536"/>
      <c r="I92" s="536"/>
      <c r="J92" s="536"/>
      <c r="K92" s="536"/>
      <c r="L92" s="563"/>
      <c r="M92" s="564"/>
      <c r="N92" s="1261"/>
      <c r="O92" s="1261"/>
      <c r="P92" s="2419"/>
      <c r="Q92" s="484"/>
    </row>
    <row r="93" spans="1:17" ht="15.75" thickBot="1">
      <c r="A93" s="515"/>
      <c r="B93" s="525"/>
      <c r="C93" s="517"/>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17"/>
      <c r="E95" s="517"/>
      <c r="F95" s="517"/>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43"/>
      <c r="D97" s="517"/>
      <c r="E97" s="517"/>
      <c r="F97" s="517"/>
      <c r="G97" s="517"/>
      <c r="H97" s="517"/>
      <c r="I97" s="517"/>
      <c r="J97" s="517"/>
      <c r="K97" s="517"/>
      <c r="L97" s="517"/>
      <c r="M97" s="518"/>
      <c r="N97" s="1262"/>
      <c r="O97" s="1262"/>
      <c r="P97" s="2419"/>
      <c r="Q97" s="484"/>
    </row>
    <row r="98" spans="1:17" ht="15.75" thickTop="1">
      <c r="A98" s="515"/>
      <c r="B98" s="528">
        <f>B31</f>
        <v>111</v>
      </c>
      <c r="C98" s="536"/>
      <c r="D98" s="536"/>
      <c r="E98" s="536"/>
      <c r="F98" s="536"/>
      <c r="G98" s="570"/>
      <c r="H98" s="570"/>
      <c r="I98" s="570"/>
      <c r="J98" s="570"/>
      <c r="K98" s="571"/>
      <c r="L98" s="572"/>
      <c r="M98" s="573"/>
      <c r="N98" s="1261"/>
      <c r="O98" s="1261"/>
      <c r="P98" s="2419"/>
      <c r="Q98" s="484"/>
    </row>
    <row r="99" spans="1:17" ht="15.75" thickBot="1">
      <c r="A99" s="2425"/>
      <c r="B99" s="552"/>
      <c r="C99" s="553"/>
      <c r="D99" s="553"/>
      <c r="E99" s="553"/>
      <c r="F99" s="553"/>
      <c r="G99" s="574"/>
      <c r="H99" s="574"/>
      <c r="I99" s="574"/>
      <c r="J99" s="574"/>
      <c r="K99" s="574"/>
      <c r="L99" s="574"/>
      <c r="M99" s="575"/>
      <c r="N99" s="1262"/>
      <c r="O99" s="1262"/>
      <c r="P99" s="2419"/>
      <c r="Q99" s="484"/>
    </row>
    <row r="100" spans="1:17">
      <c r="A100" s="507" t="s">
        <v>2358</v>
      </c>
      <c r="B100" s="508" t="s">
        <v>2462</v>
      </c>
      <c r="C100" s="510"/>
      <c r="D100" s="510"/>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75" thickTop="1">
      <c r="A102" s="515"/>
      <c r="B102" s="520" t="s">
        <v>2408</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5.75"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2409</v>
      </c>
      <c r="C105" s="536"/>
      <c r="D105" s="536"/>
      <c r="E105" s="566"/>
      <c r="F105" s="566"/>
      <c r="G105" s="566"/>
      <c r="H105" s="566"/>
      <c r="I105" s="566"/>
      <c r="J105" s="566"/>
      <c r="K105" s="567"/>
      <c r="L105" s="568"/>
      <c r="M105" s="569"/>
      <c r="N105" s="1261"/>
      <c r="O105" s="1261"/>
      <c r="P105" s="2419"/>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2411</v>
      </c>
      <c r="C107" s="536"/>
      <c r="D107" s="536"/>
      <c r="E107" s="536"/>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2414</v>
      </c>
      <c r="C112" s="536"/>
      <c r="D112" s="536"/>
      <c r="E112" s="536"/>
      <c r="F112" s="536"/>
      <c r="G112" s="536"/>
      <c r="H112" s="566"/>
      <c r="I112" s="566"/>
      <c r="J112" s="566"/>
      <c r="K112" s="567"/>
      <c r="L112" s="568"/>
      <c r="M112" s="569"/>
      <c r="N112" s="1263"/>
      <c r="O112" s="1263"/>
      <c r="P112" s="2420"/>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2463</v>
      </c>
      <c r="C114" s="536"/>
      <c r="D114" s="536"/>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2464</v>
      </c>
      <c r="C116" s="536"/>
      <c r="D116" s="536"/>
      <c r="E116" s="536"/>
      <c r="F116" s="536"/>
      <c r="G116" s="536"/>
      <c r="H116" s="566"/>
      <c r="I116" s="566"/>
      <c r="J116" s="566"/>
      <c r="K116" s="567"/>
      <c r="L116" s="568"/>
      <c r="M116" s="569"/>
      <c r="N116" s="1261"/>
      <c r="O116" s="1261"/>
      <c r="P116" s="2419"/>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2465</v>
      </c>
      <c r="C118" s="610"/>
      <c r="D118" s="610"/>
      <c r="E118" s="610"/>
      <c r="F118" s="610"/>
      <c r="G118" s="610"/>
      <c r="H118" s="537"/>
      <c r="I118" s="537"/>
      <c r="J118" s="537"/>
      <c r="K118" s="537"/>
      <c r="L118" s="538"/>
      <c r="M118" s="539"/>
      <c r="N118" s="1261"/>
      <c r="O118" s="1261"/>
      <c r="P118" s="2419"/>
      <c r="Q118" s="484"/>
    </row>
    <row r="119" spans="1:17" ht="15.75"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2466</v>
      </c>
      <c r="C120" s="566"/>
      <c r="D120" s="566"/>
      <c r="E120" s="566"/>
      <c r="F120" s="566"/>
      <c r="G120" s="537"/>
      <c r="H120" s="537"/>
      <c r="I120" s="537"/>
      <c r="J120" s="537"/>
      <c r="K120" s="537"/>
      <c r="L120" s="538"/>
      <c r="M120" s="539"/>
      <c r="N120" s="1263"/>
      <c r="O120" s="1263"/>
      <c r="P120" s="2420"/>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2416</v>
      </c>
      <c r="C122" s="536"/>
      <c r="D122" s="536"/>
      <c r="E122" s="536"/>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17"/>
      <c r="E129" s="517"/>
      <c r="F129" s="517"/>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2467</v>
      </c>
      <c r="C1" s="1720"/>
      <c r="D1" s="1733"/>
      <c r="E1" s="2375"/>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1997</v>
      </c>
      <c r="B2" s="1719" t="e">
        <f ca="1">IF(D2="——",IF(C2="元",ROUND(C50*D3,0),ROUND(C50*D3/10000,0)),IF(C2="元",ROUND(C50*D3,0),ROUND(C50*D3/10000,0))-E2)</f>
        <v>#DIV/0!</v>
      </c>
      <c r="C2" s="162" t="str">
        <f>'数据-取费表'!B3</f>
        <v>元</v>
      </c>
      <c r="D2" s="2377"/>
      <c r="E2" s="1835"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1998</v>
      </c>
      <c r="B3" s="592" t="e">
        <f ca="1">ROUND(IF(D2="——",C50,IF(C2="万元",B2*10000/D3,B2/D3)),0)</f>
        <v>#DIV/0!</v>
      </c>
      <c r="C3" s="378" t="s">
        <v>2328</v>
      </c>
      <c r="D3" s="377">
        <f>IF(C1="仅计算典型户型",'数据-取费表'!E5,'数据-取费表'!B5)</f>
        <v>353.61</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5">
      <c r="A4" s="379" t="s">
        <v>2329</v>
      </c>
      <c r="B4" s="380"/>
      <c r="C4" s="3038" t="s">
        <v>2330</v>
      </c>
      <c r="D4" s="3039"/>
      <c r="E4" s="3040" t="s">
        <v>2331</v>
      </c>
      <c r="F4" s="3041"/>
      <c r="G4" s="3038" t="s">
        <v>2332</v>
      </c>
      <c r="H4" s="3039"/>
      <c r="I4" s="3038" t="s">
        <v>2333</v>
      </c>
      <c r="J4" s="3039"/>
      <c r="K4" s="593" t="s">
        <v>2334</v>
      </c>
      <c r="L4" s="1237"/>
      <c r="M4" s="1238"/>
      <c r="N4" s="1238"/>
      <c r="O4" s="1238"/>
      <c r="P4" s="3084" t="s">
        <v>2335</v>
      </c>
      <c r="Q4" s="3043"/>
      <c r="R4" s="3048" t="s">
        <v>2331</v>
      </c>
      <c r="S4" s="3049"/>
      <c r="T4" s="3048" t="s">
        <v>2332</v>
      </c>
      <c r="U4" s="3049"/>
      <c r="V4" s="3054" t="s">
        <v>2333</v>
      </c>
      <c r="W4" s="3054"/>
      <c r="X4" s="1892"/>
      <c r="Y4" s="3048" t="s">
        <v>2335</v>
      </c>
      <c r="Z4" s="3049"/>
      <c r="AA4" s="3035" t="s">
        <v>2331</v>
      </c>
      <c r="AB4" s="3035" t="s">
        <v>2332</v>
      </c>
      <c r="AC4" s="3035" t="s">
        <v>2333</v>
      </c>
    </row>
    <row r="5" spans="1:29" ht="15">
      <c r="A5" s="382"/>
      <c r="B5" s="383"/>
      <c r="C5" s="3061" t="s">
        <v>2336</v>
      </c>
      <c r="D5" s="3058"/>
      <c r="E5" s="3055" t="s">
        <v>2337</v>
      </c>
      <c r="F5" s="3056"/>
      <c r="G5" s="3061" t="s">
        <v>2338</v>
      </c>
      <c r="H5" s="3058"/>
      <c r="I5" s="3061" t="s">
        <v>2339</v>
      </c>
      <c r="J5" s="3058"/>
      <c r="K5" s="593"/>
      <c r="L5" s="1237"/>
      <c r="M5" s="1238"/>
      <c r="N5" s="1238"/>
      <c r="O5" s="1238"/>
      <c r="P5" s="3085"/>
      <c r="Q5" s="3045"/>
      <c r="R5" s="3050"/>
      <c r="S5" s="3051"/>
      <c r="T5" s="3050"/>
      <c r="U5" s="3051"/>
      <c r="V5" s="3054"/>
      <c r="W5" s="3054"/>
      <c r="X5" s="1892"/>
      <c r="Y5" s="3050"/>
      <c r="Z5" s="3051"/>
      <c r="AA5" s="3036"/>
      <c r="AB5" s="3036"/>
      <c r="AC5" s="3036"/>
    </row>
    <row r="6" spans="1:29" ht="15.75" thickBot="1">
      <c r="A6" s="384"/>
      <c r="B6" s="385"/>
      <c r="C6" s="3059" t="s">
        <v>2340</v>
      </c>
      <c r="D6" s="3060"/>
      <c r="E6" s="3062" t="s">
        <v>2340</v>
      </c>
      <c r="F6" s="3063"/>
      <c r="G6" s="3059" t="s">
        <v>2340</v>
      </c>
      <c r="H6" s="3060"/>
      <c r="I6" s="3059" t="s">
        <v>2340</v>
      </c>
      <c r="J6" s="3060"/>
      <c r="K6" s="593" t="s">
        <v>2341</v>
      </c>
      <c r="L6" s="1237"/>
      <c r="M6" s="1238"/>
      <c r="N6" s="1238"/>
      <c r="O6" s="1238"/>
      <c r="P6" s="3086"/>
      <c r="Q6" s="3047"/>
      <c r="R6" s="3050"/>
      <c r="S6" s="3051"/>
      <c r="T6" s="3052"/>
      <c r="U6" s="3053"/>
      <c r="V6" s="3054"/>
      <c r="W6" s="3054"/>
      <c r="X6" s="1892"/>
      <c r="Y6" s="3052"/>
      <c r="Z6" s="3053"/>
      <c r="AA6" s="3037"/>
      <c r="AB6" s="3037"/>
      <c r="AC6" s="3037"/>
    </row>
    <row r="7" spans="1:29" s="35" customFormat="1" ht="15.75" thickBot="1">
      <c r="A7" s="386" t="s">
        <v>2342</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73"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7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73" t="s">
        <v>2346</v>
      </c>
      <c r="Q8" s="3072"/>
      <c r="R8" s="747" t="s">
        <v>25</v>
      </c>
      <c r="S8" s="748">
        <f t="shared" si="0"/>
        <v>0</v>
      </c>
      <c r="T8" s="747" t="s">
        <v>25</v>
      </c>
      <c r="U8" s="748">
        <f t="shared" si="1"/>
        <v>0</v>
      </c>
      <c r="V8" s="747" t="s">
        <v>25</v>
      </c>
      <c r="W8" s="748">
        <f t="shared" si="2"/>
        <v>0</v>
      </c>
      <c r="X8" s="749"/>
      <c r="Y8" s="3071" t="s">
        <v>2346</v>
      </c>
      <c r="Z8" s="3072"/>
      <c r="AA8" s="750" t="e">
        <f t="shared" ref="AA8:AA47" si="3">D8/F8</f>
        <v>#DIV/0!</v>
      </c>
      <c r="AB8" s="750" t="e">
        <f t="shared" ref="AB8:AB47" si="4">D8/H8</f>
        <v>#DIV/0!</v>
      </c>
      <c r="AC8" s="750" t="e">
        <f t="shared" ref="AC8:AC47" si="5">D8/J8</f>
        <v>#DIV/0!</v>
      </c>
    </row>
    <row r="9" spans="1:29" s="35" customFormat="1">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82"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7">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82"/>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82"/>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82"/>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82"/>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75" thickBot="1">
      <c r="A14" s="415"/>
      <c r="B14" s="2394">
        <v>111</v>
      </c>
      <c r="C14" s="2395"/>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82"/>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71.25">
      <c r="A15" s="418" t="s">
        <v>2353</v>
      </c>
      <c r="B15" s="612" t="s">
        <v>2468</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43" t="s">
        <v>2354</v>
      </c>
      <c r="Q15" s="1891" t="str">
        <f t="shared" si="6"/>
        <v>办公集聚程度</v>
      </c>
      <c r="R15" s="751" t="s">
        <v>25</v>
      </c>
      <c r="S15" s="752">
        <f t="shared" si="0"/>
        <v>100</v>
      </c>
      <c r="T15" s="751" t="s">
        <v>25</v>
      </c>
      <c r="U15" s="752">
        <f t="shared" si="1"/>
        <v>100</v>
      </c>
      <c r="V15" s="751" t="s">
        <v>25</v>
      </c>
      <c r="W15" s="752">
        <f t="shared" si="2"/>
        <v>100</v>
      </c>
      <c r="X15" s="1892"/>
      <c r="Y15" s="3064" t="s">
        <v>2354</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45"/>
      <c r="Q16" s="1891"/>
      <c r="R16" s="751"/>
      <c r="S16" s="752"/>
      <c r="T16" s="751"/>
      <c r="U16" s="752"/>
      <c r="V16" s="751"/>
      <c r="W16" s="752"/>
      <c r="X16" s="1892"/>
      <c r="Y16" s="3065"/>
      <c r="Z16" s="1894"/>
      <c r="AA16" s="1895">
        <v>1</v>
      </c>
      <c r="AB16" s="1895">
        <v>1</v>
      </c>
      <c r="AC16" s="1895">
        <v>1</v>
      </c>
    </row>
    <row r="17" spans="1:29" ht="85.5">
      <c r="A17" s="407"/>
      <c r="B17" s="614" t="s">
        <v>1739</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45"/>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615"/>
      <c r="C18" s="2462"/>
      <c r="D18" s="429"/>
      <c r="E18" s="2400"/>
      <c r="F18" s="429"/>
      <c r="G18" s="1462"/>
      <c r="H18" s="426"/>
      <c r="I18" s="1462"/>
      <c r="J18" s="426"/>
      <c r="K18" s="598"/>
      <c r="L18" s="1247"/>
      <c r="M18" s="1238"/>
      <c r="N18" s="1238"/>
      <c r="O18" s="1238"/>
      <c r="P18" s="3045"/>
      <c r="Q18" s="1891"/>
      <c r="R18" s="751"/>
      <c r="S18" s="752"/>
      <c r="T18" s="751"/>
      <c r="U18" s="752"/>
      <c r="V18" s="751"/>
      <c r="W18" s="752"/>
      <c r="X18" s="1892"/>
      <c r="Y18" s="3065"/>
      <c r="Z18" s="1894"/>
      <c r="AA18" s="1895">
        <v>1</v>
      </c>
      <c r="AB18" s="1895">
        <v>1</v>
      </c>
      <c r="AC18" s="1895">
        <v>1</v>
      </c>
    </row>
    <row r="19" spans="1:29" ht="42.75">
      <c r="A19" s="407"/>
      <c r="B19" s="614" t="s">
        <v>2469</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45"/>
      <c r="Q19" s="1891" t="str">
        <f>B19</f>
        <v>公共配套设施</v>
      </c>
      <c r="R19" s="751" t="s">
        <v>25</v>
      </c>
      <c r="S19" s="752">
        <f>F19</f>
        <v>100</v>
      </c>
      <c r="T19" s="751" t="s">
        <v>25</v>
      </c>
      <c r="U19" s="752">
        <f>H19</f>
        <v>100</v>
      </c>
      <c r="V19" s="751" t="s">
        <v>25</v>
      </c>
      <c r="W19" s="752">
        <f>J19</f>
        <v>100</v>
      </c>
      <c r="X19" s="1892"/>
      <c r="Y19" s="3065"/>
      <c r="Z19" s="1894" t="str">
        <f>Q19</f>
        <v>公共配套设施</v>
      </c>
      <c r="AA19" s="1895">
        <f t="shared" si="3"/>
        <v>1</v>
      </c>
      <c r="AB19" s="1895">
        <f t="shared" si="4"/>
        <v>1</v>
      </c>
      <c r="AC19" s="1895">
        <f t="shared" si="5"/>
        <v>1</v>
      </c>
    </row>
    <row r="20" spans="1:29" ht="15">
      <c r="A20" s="407"/>
      <c r="B20" s="615"/>
      <c r="C20" s="1466"/>
      <c r="D20" s="426"/>
      <c r="E20" s="2397"/>
      <c r="F20" s="426"/>
      <c r="G20" s="427"/>
      <c r="H20" s="426"/>
      <c r="I20" s="427"/>
      <c r="J20" s="426"/>
      <c r="K20" s="598"/>
      <c r="L20" s="1247"/>
      <c r="M20" s="1238"/>
      <c r="N20" s="1238"/>
      <c r="O20" s="1238"/>
      <c r="P20" s="3045"/>
      <c r="Q20" s="1891"/>
      <c r="R20" s="751"/>
      <c r="S20" s="752"/>
      <c r="T20" s="751"/>
      <c r="U20" s="752"/>
      <c r="V20" s="751"/>
      <c r="W20" s="752"/>
      <c r="X20" s="1892"/>
      <c r="Y20" s="3065"/>
      <c r="Z20" s="1894"/>
      <c r="AA20" s="1895">
        <v>1</v>
      </c>
      <c r="AB20" s="1895">
        <v>1</v>
      </c>
      <c r="AC20" s="1895">
        <v>1</v>
      </c>
    </row>
    <row r="21" spans="1:29" ht="28.5">
      <c r="A21" s="407"/>
      <c r="B21" s="616" t="s">
        <v>2470</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45"/>
      <c r="Q21" s="1891" t="str">
        <f>B21</f>
        <v>基础设施水平</v>
      </c>
      <c r="R21" s="751" t="s">
        <v>25</v>
      </c>
      <c r="S21" s="752">
        <f>F21</f>
        <v>100</v>
      </c>
      <c r="T21" s="751" t="s">
        <v>25</v>
      </c>
      <c r="U21" s="752">
        <f>H21</f>
        <v>100</v>
      </c>
      <c r="V21" s="751" t="s">
        <v>25</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45"/>
      <c r="Q22" s="1891"/>
      <c r="R22" s="751"/>
      <c r="S22" s="752"/>
      <c r="T22" s="751"/>
      <c r="U22" s="752"/>
      <c r="V22" s="751"/>
      <c r="W22" s="752"/>
      <c r="X22" s="1892"/>
      <c r="Y22" s="3065"/>
      <c r="Z22" s="1894"/>
      <c r="AA22" s="1895">
        <v>1</v>
      </c>
      <c r="AB22" s="1895">
        <v>1</v>
      </c>
      <c r="AC22" s="1895">
        <v>1</v>
      </c>
    </row>
    <row r="23" spans="1:29" ht="57">
      <c r="A23" s="407"/>
      <c r="B23" s="614" t="s">
        <v>2471</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45"/>
      <c r="Q23" s="1891" t="str">
        <f>B23</f>
        <v>环境质量</v>
      </c>
      <c r="R23" s="751" t="s">
        <v>25</v>
      </c>
      <c r="S23" s="752">
        <f>F23</f>
        <v>100</v>
      </c>
      <c r="T23" s="751" t="s">
        <v>25</v>
      </c>
      <c r="U23" s="752">
        <f>H23</f>
        <v>100</v>
      </c>
      <c r="V23" s="751" t="s">
        <v>25</v>
      </c>
      <c r="W23" s="752">
        <f>J23</f>
        <v>100</v>
      </c>
      <c r="X23" s="1892"/>
      <c r="Y23" s="3065"/>
      <c r="Z23" s="1894" t="str">
        <f>Q23</f>
        <v>环境质量</v>
      </c>
      <c r="AA23" s="1895">
        <f t="shared" si="3"/>
        <v>1</v>
      </c>
      <c r="AB23" s="1895">
        <f t="shared" si="4"/>
        <v>1</v>
      </c>
      <c r="AC23" s="1895">
        <f t="shared" si="5"/>
        <v>1</v>
      </c>
    </row>
    <row r="24" spans="1:29" ht="15">
      <c r="A24" s="407"/>
      <c r="B24" s="616"/>
      <c r="C24" s="1466"/>
      <c r="D24" s="426"/>
      <c r="E24" s="2397"/>
      <c r="F24" s="426"/>
      <c r="G24" s="427"/>
      <c r="H24" s="426"/>
      <c r="I24" s="427"/>
      <c r="J24" s="426"/>
      <c r="K24" s="598"/>
      <c r="L24" s="1247"/>
      <c r="M24" s="1238"/>
      <c r="N24" s="1238"/>
      <c r="O24" s="1238"/>
      <c r="P24" s="3045"/>
      <c r="Q24" s="1891"/>
      <c r="R24" s="751"/>
      <c r="S24" s="752"/>
      <c r="T24" s="751"/>
      <c r="U24" s="752"/>
      <c r="V24" s="751"/>
      <c r="W24" s="752"/>
      <c r="X24" s="1892"/>
      <c r="Y24" s="3065"/>
      <c r="Z24" s="1894"/>
      <c r="AA24" s="1895">
        <v>1</v>
      </c>
      <c r="AB24" s="1895">
        <v>1</v>
      </c>
      <c r="AC24" s="1895">
        <v>1</v>
      </c>
    </row>
    <row r="25" spans="1:29" ht="27">
      <c r="A25" s="382"/>
      <c r="B25" s="614" t="s">
        <v>2472</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45"/>
      <c r="Q25" s="1891" t="str">
        <f>B25</f>
        <v>毗邻道路的类型与等级</v>
      </c>
      <c r="R25" s="751" t="s">
        <v>25</v>
      </c>
      <c r="S25" s="752">
        <f>F25</f>
        <v>100</v>
      </c>
      <c r="T25" s="751" t="s">
        <v>25</v>
      </c>
      <c r="U25" s="752">
        <f>H25</f>
        <v>100</v>
      </c>
      <c r="V25" s="751" t="s">
        <v>25</v>
      </c>
      <c r="W25" s="752">
        <f>J25</f>
        <v>100</v>
      </c>
      <c r="X25" s="1892"/>
      <c r="Y25" s="3065"/>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45"/>
      <c r="Q26" s="1891"/>
      <c r="R26" s="751"/>
      <c r="S26" s="752"/>
      <c r="T26" s="751"/>
      <c r="U26" s="752"/>
      <c r="V26" s="751"/>
      <c r="W26" s="752"/>
      <c r="X26" s="1892"/>
      <c r="Y26" s="3065"/>
      <c r="Z26" s="1894"/>
      <c r="AA26" s="1895">
        <v>1</v>
      </c>
      <c r="AB26" s="1895">
        <v>1</v>
      </c>
      <c r="AC26" s="1895">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45"/>
      <c r="Q27" s="1891" t="str">
        <f t="shared" ref="Q27:Q47" si="11">B27</f>
        <v>楼层</v>
      </c>
      <c r="R27" s="751" t="s">
        <v>25</v>
      </c>
      <c r="S27" s="752">
        <f>F27</f>
        <v>100</v>
      </c>
      <c r="T27" s="751" t="s">
        <v>25</v>
      </c>
      <c r="U27" s="752">
        <f>H27</f>
        <v>100</v>
      </c>
      <c r="V27" s="751" t="s">
        <v>25</v>
      </c>
      <c r="W27" s="752">
        <f>J27</f>
        <v>100</v>
      </c>
      <c r="X27" s="1892"/>
      <c r="Y27" s="3065"/>
      <c r="Z27" s="1894" t="str">
        <f>Q27</f>
        <v>楼层</v>
      </c>
      <c r="AA27" s="1895">
        <f t="shared" si="3"/>
        <v>1</v>
      </c>
      <c r="AB27" s="1895">
        <f t="shared" si="4"/>
        <v>1</v>
      </c>
      <c r="AC27" s="1895">
        <f t="shared" si="5"/>
        <v>1</v>
      </c>
    </row>
    <row r="28" spans="1:29" s="35" customFormat="1" ht="15">
      <c r="A28" s="410"/>
      <c r="B28" s="614" t="s">
        <v>2473</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45"/>
      <c r="Q28" s="1879" t="str">
        <f t="shared" si="11"/>
        <v>朝向</v>
      </c>
      <c r="R28" s="747" t="s">
        <v>25</v>
      </c>
      <c r="S28" s="748">
        <f>F28</f>
        <v>100</v>
      </c>
      <c r="T28" s="747" t="s">
        <v>25</v>
      </c>
      <c r="U28" s="748">
        <f>H28</f>
        <v>100</v>
      </c>
      <c r="V28" s="747" t="s">
        <v>25</v>
      </c>
      <c r="W28" s="748">
        <f>J28</f>
        <v>100</v>
      </c>
      <c r="X28" s="749"/>
      <c r="Y28" s="3065"/>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45"/>
      <c r="Q29" s="1891">
        <f t="shared" si="11"/>
        <v>111</v>
      </c>
      <c r="R29" s="751" t="s">
        <v>25</v>
      </c>
      <c r="S29" s="752">
        <f t="shared" ref="S29:S47" si="12">F29</f>
        <v>100</v>
      </c>
      <c r="T29" s="751" t="s">
        <v>25</v>
      </c>
      <c r="U29" s="752">
        <f t="shared" ref="U29:U47" si="13">H29</f>
        <v>100</v>
      </c>
      <c r="V29" s="751" t="s">
        <v>25</v>
      </c>
      <c r="W29" s="752">
        <f t="shared" ref="W29:W47" si="14">J29</f>
        <v>100</v>
      </c>
      <c r="X29" s="1892"/>
      <c r="Y29" s="3065"/>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45"/>
      <c r="Q30" s="1891">
        <f t="shared" si="11"/>
        <v>111</v>
      </c>
      <c r="R30" s="751" t="s">
        <v>25</v>
      </c>
      <c r="S30" s="752">
        <f t="shared" si="12"/>
        <v>100</v>
      </c>
      <c r="T30" s="751" t="s">
        <v>25</v>
      </c>
      <c r="U30" s="752">
        <f t="shared" si="13"/>
        <v>100</v>
      </c>
      <c r="V30" s="751" t="s">
        <v>25</v>
      </c>
      <c r="W30" s="752">
        <f t="shared" si="14"/>
        <v>100</v>
      </c>
      <c r="X30" s="1892"/>
      <c r="Y30" s="3065"/>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45"/>
      <c r="Q31" s="1891">
        <f t="shared" si="11"/>
        <v>111</v>
      </c>
      <c r="R31" s="751" t="s">
        <v>25</v>
      </c>
      <c r="S31" s="752">
        <f t="shared" si="12"/>
        <v>100</v>
      </c>
      <c r="T31" s="751" t="s">
        <v>25</v>
      </c>
      <c r="U31" s="752">
        <f t="shared" si="13"/>
        <v>100</v>
      </c>
      <c r="V31" s="751" t="s">
        <v>25</v>
      </c>
      <c r="W31" s="752">
        <f t="shared" si="14"/>
        <v>100</v>
      </c>
      <c r="X31" s="1892"/>
      <c r="Y31" s="3065"/>
      <c r="Z31" s="1894">
        <f t="shared" si="15"/>
        <v>111</v>
      </c>
      <c r="AA31" s="1895">
        <f t="shared" si="3"/>
        <v>1</v>
      </c>
      <c r="AB31" s="1895">
        <f t="shared" si="4"/>
        <v>1</v>
      </c>
      <c r="AC31" s="1895">
        <f t="shared" si="5"/>
        <v>1</v>
      </c>
    </row>
    <row r="32" spans="1:29" ht="15.75"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45"/>
      <c r="Q32" s="1891">
        <f t="shared" si="11"/>
        <v>111</v>
      </c>
      <c r="R32" s="751" t="s">
        <v>25</v>
      </c>
      <c r="S32" s="752">
        <f t="shared" si="12"/>
        <v>100</v>
      </c>
      <c r="T32" s="751" t="s">
        <v>25</v>
      </c>
      <c r="U32" s="752">
        <f t="shared" si="13"/>
        <v>100</v>
      </c>
      <c r="V32" s="751" t="s">
        <v>25</v>
      </c>
      <c r="W32" s="752">
        <f t="shared" si="14"/>
        <v>100</v>
      </c>
      <c r="X32" s="1892"/>
      <c r="Y32" s="3065"/>
      <c r="Z32" s="1894">
        <f t="shared" si="15"/>
        <v>111</v>
      </c>
      <c r="AA32" s="1895">
        <f t="shared" si="3"/>
        <v>1</v>
      </c>
      <c r="AB32" s="1895">
        <f t="shared" si="4"/>
        <v>1</v>
      </c>
      <c r="AC32" s="1895">
        <f t="shared" si="5"/>
        <v>1</v>
      </c>
    </row>
    <row r="33" spans="1:29" ht="15">
      <c r="A33" s="418" t="s">
        <v>2358</v>
      </c>
      <c r="B33" s="28" t="s">
        <v>2474</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87" t="s">
        <v>2360</v>
      </c>
      <c r="Q33" s="1891" t="str">
        <f t="shared" si="11"/>
        <v>建筑类型</v>
      </c>
      <c r="R33" s="751" t="s">
        <v>25</v>
      </c>
      <c r="S33" s="752">
        <f t="shared" si="12"/>
        <v>100</v>
      </c>
      <c r="T33" s="751" t="s">
        <v>25</v>
      </c>
      <c r="U33" s="752">
        <f t="shared" si="13"/>
        <v>100</v>
      </c>
      <c r="V33" s="751" t="s">
        <v>25</v>
      </c>
      <c r="W33" s="752">
        <f t="shared" si="14"/>
        <v>100</v>
      </c>
      <c r="X33" s="1892"/>
      <c r="Y33" s="3069" t="s">
        <v>2360</v>
      </c>
      <c r="Z33" s="1894" t="str">
        <f t="shared" si="15"/>
        <v>建筑类型</v>
      </c>
      <c r="AA33" s="1895">
        <f t="shared" si="3"/>
        <v>1</v>
      </c>
      <c r="AB33" s="1895">
        <f t="shared" si="4"/>
        <v>1</v>
      </c>
      <c r="AC33" s="1895">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88"/>
      <c r="Q34" s="753" t="str">
        <f t="shared" si="11"/>
        <v>项目建筑规模</v>
      </c>
      <c r="R34" s="754" t="s">
        <v>25</v>
      </c>
      <c r="S34" s="755" t="e">
        <f t="shared" si="12"/>
        <v>#N/A</v>
      </c>
      <c r="T34" s="754" t="s">
        <v>25</v>
      </c>
      <c r="U34" s="755" t="e">
        <f t="shared" si="13"/>
        <v>#N/A</v>
      </c>
      <c r="V34" s="754" t="s">
        <v>25</v>
      </c>
      <c r="W34" s="755" t="e">
        <f t="shared" si="14"/>
        <v>#N/A</v>
      </c>
      <c r="X34" s="756"/>
      <c r="Y34" s="3069"/>
      <c r="Z34" s="757" t="str">
        <f t="shared" si="15"/>
        <v>项目建筑规模</v>
      </c>
      <c r="AA34" s="1895" t="e">
        <f t="shared" si="3"/>
        <v>#N/A</v>
      </c>
      <c r="AB34" s="1895" t="e">
        <f t="shared" si="4"/>
        <v>#N/A</v>
      </c>
      <c r="AC34" s="1895"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88"/>
      <c r="Q35" s="1891" t="str">
        <f t="shared" si="11"/>
        <v>建筑结构</v>
      </c>
      <c r="R35" s="751" t="s">
        <v>25</v>
      </c>
      <c r="S35" s="752">
        <f t="shared" si="12"/>
        <v>100</v>
      </c>
      <c r="T35" s="751" t="s">
        <v>25</v>
      </c>
      <c r="U35" s="752">
        <f t="shared" si="13"/>
        <v>100</v>
      </c>
      <c r="V35" s="751" t="s">
        <v>25</v>
      </c>
      <c r="W35" s="752">
        <f t="shared" si="14"/>
        <v>100</v>
      </c>
      <c r="X35" s="1892"/>
      <c r="Y35" s="3069"/>
      <c r="Z35" s="1894" t="str">
        <f t="shared" si="15"/>
        <v>建筑结构</v>
      </c>
      <c r="AA35" s="1895">
        <f t="shared" si="3"/>
        <v>1</v>
      </c>
      <c r="AB35" s="1895">
        <f t="shared" si="4"/>
        <v>1</v>
      </c>
      <c r="AC35" s="1895">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88"/>
      <c r="Q36" s="1891" t="str">
        <f t="shared" si="11"/>
        <v>公共部分装修</v>
      </c>
      <c r="R36" s="751" t="s">
        <v>25</v>
      </c>
      <c r="S36" s="752">
        <f t="shared" si="12"/>
        <v>100</v>
      </c>
      <c r="T36" s="751" t="s">
        <v>25</v>
      </c>
      <c r="U36" s="752">
        <f t="shared" si="13"/>
        <v>100</v>
      </c>
      <c r="V36" s="751" t="s">
        <v>25</v>
      </c>
      <c r="W36" s="752">
        <f t="shared" si="14"/>
        <v>100</v>
      </c>
      <c r="X36" s="1892"/>
      <c r="Y36" s="3069"/>
      <c r="Z36" s="1894" t="str">
        <f t="shared" si="15"/>
        <v>公共部分装修</v>
      </c>
      <c r="AA36" s="1895">
        <f t="shared" si="3"/>
        <v>1</v>
      </c>
      <c r="AB36" s="1895">
        <f t="shared" si="4"/>
        <v>1</v>
      </c>
      <c r="AC36" s="1895">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88"/>
      <c r="Q37" s="1891" t="str">
        <f t="shared" si="11"/>
        <v>成新度</v>
      </c>
      <c r="R37" s="751" t="s">
        <v>25</v>
      </c>
      <c r="S37" s="752" t="e">
        <f t="shared" si="12"/>
        <v>#N/A</v>
      </c>
      <c r="T37" s="751" t="s">
        <v>25</v>
      </c>
      <c r="U37" s="752" t="e">
        <f t="shared" si="13"/>
        <v>#N/A</v>
      </c>
      <c r="V37" s="751" t="s">
        <v>25</v>
      </c>
      <c r="W37" s="752" t="e">
        <f t="shared" si="14"/>
        <v>#N/A</v>
      </c>
      <c r="X37" s="1892"/>
      <c r="Y37" s="3069"/>
      <c r="Z37" s="1894" t="str">
        <f t="shared" si="15"/>
        <v>成新度</v>
      </c>
      <c r="AA37" s="1895" t="e">
        <f t="shared" si="3"/>
        <v>#N/A</v>
      </c>
      <c r="AB37" s="1895" t="e">
        <f t="shared" si="4"/>
        <v>#N/A</v>
      </c>
      <c r="AC37" s="1895" t="e">
        <f t="shared" si="5"/>
        <v>#N/A</v>
      </c>
    </row>
    <row r="38" spans="1:29" s="35"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88"/>
      <c r="Q38" s="1879" t="str">
        <f t="shared" si="11"/>
        <v>写字楼等级</v>
      </c>
      <c r="R38" s="747" t="s">
        <v>25</v>
      </c>
      <c r="S38" s="748">
        <f t="shared" si="12"/>
        <v>100</v>
      </c>
      <c r="T38" s="747" t="s">
        <v>25</v>
      </c>
      <c r="U38" s="748">
        <f t="shared" si="13"/>
        <v>100</v>
      </c>
      <c r="V38" s="747" t="s">
        <v>25</v>
      </c>
      <c r="W38" s="748">
        <f t="shared" si="14"/>
        <v>100</v>
      </c>
      <c r="X38" s="749"/>
      <c r="Y38" s="3069"/>
      <c r="Z38" s="23" t="str">
        <f t="shared" si="15"/>
        <v>写字楼等级</v>
      </c>
      <c r="AA38" s="750">
        <f t="shared" si="3"/>
        <v>1</v>
      </c>
      <c r="AB38" s="750">
        <f t="shared" si="4"/>
        <v>1</v>
      </c>
      <c r="AC38" s="750">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88" t="s">
        <v>2360</v>
      </c>
      <c r="Q39" s="1891" t="str">
        <f t="shared" si="11"/>
        <v>物业管理</v>
      </c>
      <c r="R39" s="751" t="s">
        <v>25</v>
      </c>
      <c r="S39" s="752">
        <f t="shared" si="12"/>
        <v>100</v>
      </c>
      <c r="T39" s="751" t="s">
        <v>25</v>
      </c>
      <c r="U39" s="752">
        <f t="shared" si="13"/>
        <v>100</v>
      </c>
      <c r="V39" s="751" t="s">
        <v>25</v>
      </c>
      <c r="W39" s="752">
        <f t="shared" si="14"/>
        <v>100</v>
      </c>
      <c r="X39" s="1892"/>
      <c r="Y39" s="3069" t="s">
        <v>2360</v>
      </c>
      <c r="Z39" s="1894" t="str">
        <f t="shared" si="15"/>
        <v>物业管理</v>
      </c>
      <c r="AA39" s="1895">
        <f t="shared" si="3"/>
        <v>1</v>
      </c>
      <c r="AB39" s="1895">
        <f t="shared" si="4"/>
        <v>1</v>
      </c>
      <c r="AC39" s="1895">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88"/>
      <c r="Q40" s="1891" t="str">
        <f t="shared" si="11"/>
        <v>市政基础设施</v>
      </c>
      <c r="R40" s="751" t="s">
        <v>25</v>
      </c>
      <c r="S40" s="752">
        <f t="shared" si="12"/>
        <v>100</v>
      </c>
      <c r="T40" s="751" t="s">
        <v>25</v>
      </c>
      <c r="U40" s="752">
        <f t="shared" si="13"/>
        <v>100</v>
      </c>
      <c r="V40" s="751" t="s">
        <v>25</v>
      </c>
      <c r="W40" s="752">
        <f t="shared" si="14"/>
        <v>100</v>
      </c>
      <c r="X40" s="1892"/>
      <c r="Y40" s="3069"/>
      <c r="Z40" s="1894" t="str">
        <f t="shared" si="15"/>
        <v>市政基础设施</v>
      </c>
      <c r="AA40" s="1895">
        <f t="shared" si="3"/>
        <v>1</v>
      </c>
      <c r="AB40" s="1895">
        <f t="shared" si="4"/>
        <v>1</v>
      </c>
      <c r="AC40" s="1895">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88"/>
      <c r="Q41" s="1891" t="str">
        <f t="shared" si="11"/>
        <v>层高</v>
      </c>
      <c r="R41" s="751" t="s">
        <v>25</v>
      </c>
      <c r="S41" s="752">
        <f t="shared" si="12"/>
        <v>100</v>
      </c>
      <c r="T41" s="751" t="s">
        <v>25</v>
      </c>
      <c r="U41" s="752">
        <f t="shared" si="13"/>
        <v>100</v>
      </c>
      <c r="V41" s="751" t="s">
        <v>25</v>
      </c>
      <c r="W41" s="752">
        <f t="shared" si="14"/>
        <v>100</v>
      </c>
      <c r="X41" s="1892"/>
      <c r="Y41" s="3069"/>
      <c r="Z41" s="1894" t="str">
        <f t="shared" si="15"/>
        <v>层高</v>
      </c>
      <c r="AA41" s="1895">
        <f t="shared" si="3"/>
        <v>1</v>
      </c>
      <c r="AB41" s="1895">
        <f t="shared" si="4"/>
        <v>1</v>
      </c>
      <c r="AC41" s="1895">
        <f t="shared" si="5"/>
        <v>1</v>
      </c>
    </row>
    <row r="42" spans="1:29" s="451" customFormat="1" ht="15">
      <c r="A42" s="448"/>
      <c r="B42" s="1896"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88"/>
      <c r="Q42" s="753" t="str">
        <f t="shared" si="11"/>
        <v>单套建筑面积</v>
      </c>
      <c r="R42" s="754" t="s">
        <v>25</v>
      </c>
      <c r="S42" s="755">
        <f t="shared" si="12"/>
        <v>100</v>
      </c>
      <c r="T42" s="754" t="s">
        <v>25</v>
      </c>
      <c r="U42" s="755">
        <f t="shared" si="13"/>
        <v>100</v>
      </c>
      <c r="V42" s="754" t="s">
        <v>25</v>
      </c>
      <c r="W42" s="755">
        <f t="shared" si="14"/>
        <v>100</v>
      </c>
      <c r="X42" s="756"/>
      <c r="Y42" s="3069"/>
      <c r="Z42" s="757" t="str">
        <f t="shared" si="15"/>
        <v>单套建筑面积</v>
      </c>
      <c r="AA42" s="1895">
        <f t="shared" si="3"/>
        <v>1</v>
      </c>
      <c r="AB42" s="1895">
        <f t="shared" si="4"/>
        <v>1</v>
      </c>
      <c r="AC42" s="1895">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88"/>
      <c r="Q43" s="1891" t="str">
        <f t="shared" si="11"/>
        <v>内部装修</v>
      </c>
      <c r="R43" s="751" t="s">
        <v>25</v>
      </c>
      <c r="S43" s="752">
        <f t="shared" si="12"/>
        <v>100</v>
      </c>
      <c r="T43" s="751" t="s">
        <v>25</v>
      </c>
      <c r="U43" s="752">
        <f t="shared" si="13"/>
        <v>100</v>
      </c>
      <c r="V43" s="751" t="s">
        <v>25</v>
      </c>
      <c r="W43" s="752">
        <f t="shared" si="14"/>
        <v>100</v>
      </c>
      <c r="X43" s="1892"/>
      <c r="Y43" s="3069"/>
      <c r="Z43" s="1894" t="str">
        <f t="shared" si="15"/>
        <v>内部装修</v>
      </c>
      <c r="AA43" s="1895">
        <f t="shared" si="3"/>
        <v>1</v>
      </c>
      <c r="AB43" s="1895">
        <f t="shared" si="4"/>
        <v>1</v>
      </c>
      <c r="AC43" s="1895">
        <f t="shared" si="5"/>
        <v>1</v>
      </c>
    </row>
    <row r="44" spans="1:29" ht="15">
      <c r="A44" s="452"/>
      <c r="B44" s="401" t="s">
        <v>2371</v>
      </c>
      <c r="C44" s="440"/>
      <c r="D44" s="414">
        <v>100</v>
      </c>
      <c r="E44" s="2404"/>
      <c r="F44" s="441">
        <f>SUMIF(125:125,E44,126:126)-SUMIF(125:125,C44,126:126)+100</f>
        <v>100</v>
      </c>
      <c r="G44" s="2404"/>
      <c r="H44" s="414">
        <f>SUMIF(125:125,G44,126:126)-SUMIF(125:125,C44,126:126)+100</f>
        <v>100</v>
      </c>
      <c r="I44" s="2404"/>
      <c r="J44" s="414">
        <f>SUMIF(125:125,I44,126:126)-SUMIF(125:125,C44,126:126)+100</f>
        <v>100</v>
      </c>
      <c r="K44" s="595"/>
      <c r="L44" s="1247"/>
      <c r="M44" s="1238"/>
      <c r="N44" s="1238"/>
      <c r="O44" s="1238"/>
      <c r="P44" s="3088"/>
      <c r="Q44" s="1891" t="str">
        <f t="shared" si="11"/>
        <v>内部装修维护情况</v>
      </c>
      <c r="R44" s="751" t="s">
        <v>25</v>
      </c>
      <c r="S44" s="752">
        <f t="shared" si="12"/>
        <v>100</v>
      </c>
      <c r="T44" s="751" t="s">
        <v>25</v>
      </c>
      <c r="U44" s="752">
        <f t="shared" si="13"/>
        <v>100</v>
      </c>
      <c r="V44" s="751" t="s">
        <v>25</v>
      </c>
      <c r="W44" s="752">
        <f t="shared" si="14"/>
        <v>100</v>
      </c>
      <c r="X44" s="1892"/>
      <c r="Y44" s="3069"/>
      <c r="Z44" s="1894" t="str">
        <f t="shared" si="15"/>
        <v>内部装修维护情况</v>
      </c>
      <c r="AA44" s="1895">
        <f t="shared" si="3"/>
        <v>1</v>
      </c>
      <c r="AB44" s="1895">
        <f t="shared" si="4"/>
        <v>1</v>
      </c>
      <c r="AC44" s="1895">
        <f t="shared" si="5"/>
        <v>1</v>
      </c>
    </row>
    <row r="45" spans="1:29" s="35" customFormat="1" ht="15">
      <c r="A45" s="453"/>
      <c r="B45" s="2405">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88"/>
      <c r="Q45" s="1879">
        <f t="shared" si="11"/>
        <v>111</v>
      </c>
      <c r="R45" s="747" t="s">
        <v>25</v>
      </c>
      <c r="S45" s="748">
        <f t="shared" si="12"/>
        <v>100</v>
      </c>
      <c r="T45" s="747" t="s">
        <v>25</v>
      </c>
      <c r="U45" s="748">
        <f t="shared" si="13"/>
        <v>100</v>
      </c>
      <c r="V45" s="747" t="s">
        <v>25</v>
      </c>
      <c r="W45" s="748">
        <f t="shared" si="14"/>
        <v>100</v>
      </c>
      <c r="X45" s="749"/>
      <c r="Y45" s="3069"/>
      <c r="Z45" s="23">
        <f t="shared" si="15"/>
        <v>111</v>
      </c>
      <c r="AA45" s="750">
        <f t="shared" si="3"/>
        <v>1</v>
      </c>
      <c r="AB45" s="750">
        <f t="shared" si="4"/>
        <v>1</v>
      </c>
      <c r="AC45" s="750">
        <f t="shared" si="5"/>
        <v>1</v>
      </c>
    </row>
    <row r="46" spans="1:29" ht="15">
      <c r="A46" s="452"/>
      <c r="B46" s="2405">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88"/>
      <c r="Q46" s="1891">
        <f t="shared" si="11"/>
        <v>111</v>
      </c>
      <c r="R46" s="751" t="s">
        <v>25</v>
      </c>
      <c r="S46" s="752">
        <f t="shared" si="12"/>
        <v>100</v>
      </c>
      <c r="T46" s="751" t="s">
        <v>25</v>
      </c>
      <c r="U46" s="752">
        <f t="shared" si="13"/>
        <v>100</v>
      </c>
      <c r="V46" s="751" t="s">
        <v>25</v>
      </c>
      <c r="W46" s="752">
        <f t="shared" si="14"/>
        <v>100</v>
      </c>
      <c r="X46" s="1892"/>
      <c r="Y46" s="3069"/>
      <c r="Z46" s="1894">
        <f t="shared" si="15"/>
        <v>111</v>
      </c>
      <c r="AA46" s="1895">
        <f t="shared" si="3"/>
        <v>1</v>
      </c>
      <c r="AB46" s="1895">
        <f t="shared" si="4"/>
        <v>1</v>
      </c>
      <c r="AC46" s="1895">
        <f t="shared" si="5"/>
        <v>1</v>
      </c>
    </row>
    <row r="47" spans="1:29" ht="15.75" thickBot="1">
      <c r="A47" s="458"/>
      <c r="B47" s="2394">
        <v>111</v>
      </c>
      <c r="C47" s="2395"/>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89"/>
      <c r="Q47" s="1891">
        <f t="shared" si="11"/>
        <v>111</v>
      </c>
      <c r="R47" s="751" t="s">
        <v>25</v>
      </c>
      <c r="S47" s="752">
        <f t="shared" si="12"/>
        <v>100</v>
      </c>
      <c r="T47" s="751" t="s">
        <v>25</v>
      </c>
      <c r="U47" s="752">
        <f t="shared" si="13"/>
        <v>100</v>
      </c>
      <c r="V47" s="751" t="s">
        <v>25</v>
      </c>
      <c r="W47" s="752">
        <f t="shared" si="14"/>
        <v>100</v>
      </c>
      <c r="X47" s="1892"/>
      <c r="Y47" s="3070"/>
      <c r="Z47" s="1894">
        <f t="shared" si="15"/>
        <v>111</v>
      </c>
      <c r="AA47" s="1895">
        <f t="shared" si="3"/>
        <v>1</v>
      </c>
      <c r="AB47" s="1895">
        <f t="shared" si="4"/>
        <v>1</v>
      </c>
      <c r="AC47" s="1895">
        <f t="shared" si="5"/>
        <v>1</v>
      </c>
    </row>
    <row r="48" spans="1:29" ht="15">
      <c r="A48" s="459" t="s">
        <v>2372</v>
      </c>
      <c r="B48" s="460"/>
      <c r="C48" s="1496" t="s">
        <v>1</v>
      </c>
      <c r="D48" s="1497"/>
      <c r="E48" s="1498"/>
      <c r="F48" s="1499"/>
      <c r="G48" s="1500"/>
      <c r="H48" s="1501"/>
      <c r="I48" s="1498"/>
      <c r="J48" s="1501"/>
      <c r="K48" s="760"/>
      <c r="L48" s="1250"/>
      <c r="M48" s="1238"/>
      <c r="N48" s="1238"/>
      <c r="O48" s="1238"/>
      <c r="P48" s="3082" t="str">
        <f>A48</f>
        <v>成交单价（元/平方米）</v>
      </c>
      <c r="Q48" s="3075"/>
      <c r="R48" s="3076">
        <f>E48</f>
        <v>0</v>
      </c>
      <c r="S48" s="3076"/>
      <c r="T48" s="3076">
        <f>G48</f>
        <v>0</v>
      </c>
      <c r="U48" s="3076"/>
      <c r="V48" s="3076">
        <f>I48</f>
        <v>0</v>
      </c>
      <c r="W48" s="3076"/>
      <c r="X48" s="736"/>
      <c r="Y48" s="758"/>
      <c r="Z48" s="736"/>
      <c r="AA48" s="736"/>
      <c r="AB48" s="736"/>
      <c r="AC48" s="736"/>
    </row>
    <row r="49" spans="1:29" ht="15.75" thickBot="1">
      <c r="A49" s="466" t="s">
        <v>2455</v>
      </c>
      <c r="B49" s="467"/>
      <c r="C49" s="1502" t="e">
        <f>R50</f>
        <v>#DIV/0!</v>
      </c>
      <c r="D49" s="1503"/>
      <c r="E49" s="1504" t="e">
        <f>R49</f>
        <v>#DIV/0!</v>
      </c>
      <c r="F49" s="1504"/>
      <c r="G49" s="1502" t="e">
        <f>T49</f>
        <v>#DIV/0!</v>
      </c>
      <c r="H49" s="1503"/>
      <c r="I49" s="1504" t="e">
        <f>V49</f>
        <v>#DIV/0!</v>
      </c>
      <c r="J49" s="1503"/>
      <c r="K49" s="761"/>
      <c r="L49" s="1250"/>
      <c r="M49" s="1238"/>
      <c r="N49" s="1238"/>
      <c r="O49" s="1238"/>
      <c r="P49" s="3082" t="str">
        <f>A49</f>
        <v>比较价值（元/平方米）</v>
      </c>
      <c r="Q49" s="3075"/>
      <c r="R49" s="3076" t="e">
        <f>IF(E1="售价",ROUND(PRODUCT(R48,AA7:AA47),0),ROUND(PRODUCT(R48,AA7:AA47),1))</f>
        <v>#DIV/0!</v>
      </c>
      <c r="S49" s="3076"/>
      <c r="T49" s="3076" t="e">
        <f>IF(E1="售价",ROUND(PRODUCT(T48,AB7:AB47),0),ROUND(PRODUCT(T48,AB7:AB47),1))</f>
        <v>#DIV/0!</v>
      </c>
      <c r="U49" s="3076"/>
      <c r="V49" s="3076" t="e">
        <f>IF(E1="售价",ROUND(PRODUCT(V48,AC7:AC47),0),ROUND(PRODUCT(V48,AC7:AC47),1))</f>
        <v>#DIV/0!</v>
      </c>
      <c r="W49" s="3076"/>
      <c r="X49" s="736"/>
      <c r="Y49" s="736"/>
      <c r="Z49" s="736"/>
      <c r="AA49" s="736"/>
      <c r="AB49" s="736"/>
      <c r="AC49" s="736"/>
    </row>
    <row r="50" spans="1:29" ht="15.75" thickBot="1">
      <c r="A50" s="472" t="s">
        <v>2478</v>
      </c>
      <c r="B50" s="473"/>
      <c r="C50" s="1506" t="e">
        <f>R50</f>
        <v>#DIV/0!</v>
      </c>
      <c r="D50" s="1506"/>
      <c r="E50" s="1506"/>
      <c r="F50" s="1506"/>
      <c r="G50" s="1506"/>
      <c r="H50" s="1506"/>
      <c r="I50" s="1506"/>
      <c r="J50" s="1506"/>
      <c r="K50" s="762"/>
      <c r="L50" s="1250"/>
      <c r="M50" s="1238"/>
      <c r="N50" s="1238"/>
      <c r="O50" s="1238"/>
      <c r="P50" s="3090" t="str">
        <f>A50</f>
        <v>估价对象XX用房的比较价值（楼面单价，元/平方米）</v>
      </c>
      <c r="Q50" s="3082"/>
      <c r="R50" s="3083" t="e">
        <f>IF(E1="售价",ROUND(AVERAGE(R49:V49),0),ROUND(AVERAGE(R49:V49),1))</f>
        <v>#DIV/0!</v>
      </c>
      <c r="S50" s="3083"/>
      <c r="T50" s="3083"/>
      <c r="U50" s="3083"/>
      <c r="V50" s="3083"/>
      <c r="W50" s="3083"/>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0" t="s">
        <v>2460</v>
      </c>
      <c r="B58" s="736"/>
      <c r="C58" s="741"/>
      <c r="D58" s="741"/>
      <c r="E58" s="741"/>
      <c r="F58" s="742"/>
      <c r="G58" s="742"/>
      <c r="H58" s="741"/>
      <c r="I58" s="741"/>
      <c r="J58" s="741"/>
      <c r="K58" s="743"/>
      <c r="L58" s="744"/>
      <c r="M58" s="741"/>
      <c r="N58" s="741"/>
      <c r="O58" s="741"/>
      <c r="P58" s="483"/>
      <c r="Q58" s="484"/>
    </row>
    <row r="59" spans="1:29" s="488" customFormat="1" ht="15">
      <c r="A59" s="485" t="s">
        <v>2342</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2380</v>
      </c>
      <c r="B61" s="496"/>
      <c r="C61" s="497"/>
      <c r="D61" s="498"/>
      <c r="E61" s="498"/>
      <c r="F61" s="498"/>
      <c r="G61" s="498"/>
      <c r="H61" s="498"/>
      <c r="I61" s="498"/>
      <c r="J61" s="498"/>
      <c r="K61" s="498"/>
      <c r="L61" s="498"/>
      <c r="M61" s="499"/>
      <c r="N61" s="498"/>
      <c r="O61" s="500"/>
      <c r="P61" s="484"/>
      <c r="Q61" s="484"/>
    </row>
    <row r="62" spans="1:29" s="35" customFormat="1" ht="15">
      <c r="A62" s="501" t="s">
        <v>2344</v>
      </c>
      <c r="B62" s="490"/>
      <c r="C62" s="502" t="s">
        <v>2345</v>
      </c>
      <c r="D62" s="503"/>
      <c r="E62" s="503"/>
      <c r="F62" s="503"/>
      <c r="G62" s="503"/>
      <c r="H62" s="503"/>
      <c r="I62" s="503"/>
      <c r="J62" s="503"/>
      <c r="K62" s="503"/>
      <c r="L62" s="504"/>
      <c r="M62" s="505"/>
      <c r="N62" s="1260"/>
      <c r="O62" s="1260"/>
      <c r="P62" s="506"/>
      <c r="Q62" s="484"/>
    </row>
    <row r="63" spans="1:29" s="35" customFormat="1" ht="15.75" thickBot="1">
      <c r="A63" s="501"/>
      <c r="B63" s="490"/>
      <c r="C63" s="491">
        <v>100</v>
      </c>
      <c r="D63" s="492"/>
      <c r="E63" s="492"/>
      <c r="F63" s="492"/>
      <c r="G63" s="492"/>
      <c r="H63" s="492"/>
      <c r="I63" s="492"/>
      <c r="J63" s="492"/>
      <c r="K63" s="492"/>
      <c r="L63" s="492"/>
      <c r="M63" s="494"/>
      <c r="N63" s="1260"/>
      <c r="O63" s="1260"/>
      <c r="P63" s="484"/>
      <c r="Q63" s="484"/>
    </row>
    <row r="64" spans="1:29">
      <c r="A64" s="507" t="s">
        <v>2383</v>
      </c>
      <c r="B64" s="508" t="s">
        <v>2348</v>
      </c>
      <c r="C64" s="509">
        <f>C9</f>
        <v>0</v>
      </c>
      <c r="D64" s="510"/>
      <c r="E64" s="510"/>
      <c r="F64" s="510"/>
      <c r="G64" s="510"/>
      <c r="H64" s="510"/>
      <c r="I64" s="510"/>
      <c r="J64" s="510"/>
      <c r="K64" s="511"/>
      <c r="L64" s="512"/>
      <c r="M64" s="513"/>
      <c r="N64" s="1261"/>
      <c r="O64" s="1261"/>
      <c r="P64" s="22"/>
      <c r="Q64" s="484"/>
    </row>
    <row r="65" spans="1:17" ht="15.75" thickBot="1">
      <c r="A65" s="515"/>
      <c r="B65" s="516"/>
      <c r="C65" s="517">
        <v>100</v>
      </c>
      <c r="D65" s="517"/>
      <c r="E65" s="517"/>
      <c r="F65" s="517"/>
      <c r="G65" s="517"/>
      <c r="H65" s="517"/>
      <c r="I65" s="517"/>
      <c r="J65" s="517"/>
      <c r="K65" s="517"/>
      <c r="L65" s="517"/>
      <c r="M65" s="518"/>
      <c r="N65" s="1262"/>
      <c r="O65" s="1262"/>
      <c r="P65" s="22"/>
      <c r="Q65" s="484"/>
    </row>
    <row r="66" spans="1:17" ht="27.75" thickTop="1">
      <c r="A66" s="515"/>
      <c r="B66" s="520" t="s">
        <v>2351</v>
      </c>
      <c r="C66" s="521" t="s">
        <v>2384</v>
      </c>
      <c r="D66" s="521" t="s">
        <v>2385</v>
      </c>
      <c r="E66" s="521" t="s">
        <v>2386</v>
      </c>
      <c r="F66" s="521" t="s">
        <v>2387</v>
      </c>
      <c r="G66" s="521" t="s">
        <v>2388</v>
      </c>
      <c r="H66" s="521" t="s">
        <v>2389</v>
      </c>
      <c r="I66" s="521" t="s">
        <v>2390</v>
      </c>
      <c r="J66" s="521"/>
      <c r="K66" s="522"/>
      <c r="L66" s="523"/>
      <c r="M66" s="524"/>
      <c r="N66" s="1261"/>
      <c r="O66" s="1261"/>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7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ht="15">
      <c r="A69" s="515"/>
      <c r="B69" s="530"/>
      <c r="C69" s="531"/>
      <c r="D69" s="531"/>
      <c r="E69" s="531"/>
      <c r="F69" s="531"/>
      <c r="G69" s="531"/>
      <c r="H69" s="531"/>
      <c r="I69" s="531"/>
      <c r="J69" s="531"/>
      <c r="K69" s="532"/>
      <c r="L69" s="533"/>
      <c r="M69" s="534"/>
      <c r="N69" s="1261"/>
      <c r="O69" s="1261"/>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5.75" thickTop="1">
      <c r="A71" s="535"/>
      <c r="B71" s="520">
        <f>B12</f>
        <v>111</v>
      </c>
      <c r="C71" s="536"/>
      <c r="D71" s="536"/>
      <c r="E71" s="536"/>
      <c r="F71" s="536"/>
      <c r="G71" s="536"/>
      <c r="H71" s="537"/>
      <c r="I71" s="537"/>
      <c r="J71" s="537"/>
      <c r="K71" s="537"/>
      <c r="L71" s="538"/>
      <c r="M71" s="539"/>
      <c r="N71" s="1263"/>
      <c r="O71" s="1263"/>
      <c r="P71" s="541"/>
      <c r="Q71" s="542"/>
    </row>
    <row r="72" spans="1:17" s="451" customFormat="1" ht="15.75" thickBot="1">
      <c r="A72" s="535"/>
      <c r="B72" s="525"/>
      <c r="C72" s="543"/>
      <c r="D72" s="517"/>
      <c r="E72" s="517"/>
      <c r="F72" s="517"/>
      <c r="G72" s="517"/>
      <c r="H72" s="517"/>
      <c r="I72" s="517"/>
      <c r="J72" s="517"/>
      <c r="K72" s="517"/>
      <c r="L72" s="517"/>
      <c r="M72" s="518"/>
      <c r="N72" s="1262"/>
      <c r="O72" s="1262"/>
      <c r="P72" s="541"/>
      <c r="Q72" s="542"/>
    </row>
    <row r="73" spans="1:17" s="451" customFormat="1" ht="15.75" thickTop="1">
      <c r="A73" s="535"/>
      <c r="B73" s="520">
        <f>B13</f>
        <v>111</v>
      </c>
      <c r="C73" s="536"/>
      <c r="D73" s="536"/>
      <c r="E73" s="536"/>
      <c r="F73" s="536"/>
      <c r="G73" s="536"/>
      <c r="H73" s="537"/>
      <c r="I73" s="537"/>
      <c r="J73" s="537"/>
      <c r="K73" s="537"/>
      <c r="L73" s="538"/>
      <c r="M73" s="539"/>
      <c r="N73" s="1263"/>
      <c r="O73" s="1263"/>
      <c r="P73" s="450"/>
      <c r="Q73" s="544"/>
    </row>
    <row r="74" spans="1:17" s="451" customFormat="1" ht="15.75" thickBot="1">
      <c r="A74" s="535"/>
      <c r="B74" s="525"/>
      <c r="C74" s="543"/>
      <c r="D74" s="543"/>
      <c r="E74" s="543"/>
      <c r="F74" s="543"/>
      <c r="G74" s="543"/>
      <c r="H74" s="545"/>
      <c r="I74" s="545"/>
      <c r="J74" s="545"/>
      <c r="K74" s="545"/>
      <c r="L74" s="545"/>
      <c r="M74" s="546"/>
      <c r="N74" s="1263"/>
      <c r="O74" s="1263"/>
      <c r="P74" s="541"/>
      <c r="Q74" s="542"/>
    </row>
    <row r="75" spans="1:17" s="451" customFormat="1" ht="15.75" thickTop="1">
      <c r="A75" s="535"/>
      <c r="B75" s="528">
        <f>B14</f>
        <v>111</v>
      </c>
      <c r="C75" s="503"/>
      <c r="D75" s="503"/>
      <c r="E75" s="503"/>
      <c r="F75" s="503"/>
      <c r="G75" s="503"/>
      <c r="H75" s="547"/>
      <c r="I75" s="547"/>
      <c r="J75" s="547"/>
      <c r="K75" s="547"/>
      <c r="L75" s="548"/>
      <c r="M75" s="549"/>
      <c r="N75" s="1263"/>
      <c r="O75" s="1263"/>
      <c r="P75" s="550"/>
      <c r="Q75" s="542"/>
    </row>
    <row r="76" spans="1:17" s="451" customFormat="1" ht="15.75" thickBot="1">
      <c r="A76" s="551"/>
      <c r="B76" s="552"/>
      <c r="C76" s="553"/>
      <c r="D76" s="553"/>
      <c r="E76" s="553"/>
      <c r="F76" s="553"/>
      <c r="G76" s="553"/>
      <c r="H76" s="554"/>
      <c r="I76" s="554"/>
      <c r="J76" s="554"/>
      <c r="K76" s="554"/>
      <c r="L76" s="554"/>
      <c r="M76" s="555"/>
      <c r="N76" s="1263"/>
      <c r="O76" s="1263"/>
      <c r="P76" s="541"/>
      <c r="Q76" s="542"/>
    </row>
    <row r="77" spans="1:17">
      <c r="A77" s="507" t="s">
        <v>2353</v>
      </c>
      <c r="B77" s="508" t="s">
        <v>2479</v>
      </c>
      <c r="C77" s="556" t="s">
        <v>2392</v>
      </c>
      <c r="D77" s="556" t="s">
        <v>2393</v>
      </c>
      <c r="E77" s="556" t="s">
        <v>2394</v>
      </c>
      <c r="F77" s="556" t="s">
        <v>2395</v>
      </c>
      <c r="G77" s="556" t="s">
        <v>2396</v>
      </c>
      <c r="H77" s="509"/>
      <c r="I77" s="509"/>
      <c r="J77" s="509"/>
      <c r="K77" s="557"/>
      <c r="L77" s="558"/>
      <c r="M77" s="559"/>
      <c r="N77" s="1261"/>
      <c r="O77" s="1261"/>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75" thickTop="1">
      <c r="A79" s="515"/>
      <c r="B79" s="520" t="s">
        <v>2397</v>
      </c>
      <c r="C79" s="561" t="s">
        <v>2392</v>
      </c>
      <c r="D79" s="561" t="s">
        <v>2393</v>
      </c>
      <c r="E79" s="561" t="s">
        <v>2394</v>
      </c>
      <c r="F79" s="561" t="s">
        <v>2395</v>
      </c>
      <c r="G79" s="561" t="s">
        <v>2396</v>
      </c>
      <c r="H79" s="521"/>
      <c r="I79" s="521"/>
      <c r="J79" s="521"/>
      <c r="K79" s="522"/>
      <c r="L79" s="523"/>
      <c r="M79" s="524"/>
      <c r="N79" s="1261"/>
      <c r="O79" s="1261"/>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75" thickTop="1">
      <c r="A81" s="515"/>
      <c r="B81" s="520" t="s">
        <v>2398</v>
      </c>
      <c r="C81" s="561" t="s">
        <v>2392</v>
      </c>
      <c r="D81" s="561" t="s">
        <v>2393</v>
      </c>
      <c r="E81" s="561" t="s">
        <v>2394</v>
      </c>
      <c r="F81" s="561" t="s">
        <v>2395</v>
      </c>
      <c r="G81" s="561" t="s">
        <v>2396</v>
      </c>
      <c r="H81" s="521"/>
      <c r="I81" s="521"/>
      <c r="J81" s="521"/>
      <c r="K81" s="522"/>
      <c r="L81" s="523"/>
      <c r="M81" s="524"/>
      <c r="N81" s="1261"/>
      <c r="O81" s="1261"/>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75" thickTop="1">
      <c r="A83" s="515"/>
      <c r="B83" s="528" t="s">
        <v>2441</v>
      </c>
      <c r="C83" s="521" t="s">
        <v>2399</v>
      </c>
      <c r="D83" s="521" t="s">
        <v>2400</v>
      </c>
      <c r="E83" s="521" t="s">
        <v>2401</v>
      </c>
      <c r="F83" s="521" t="s">
        <v>2402</v>
      </c>
      <c r="G83" s="521" t="s">
        <v>2403</v>
      </c>
      <c r="H83" s="521"/>
      <c r="I83" s="521"/>
      <c r="J83" s="521"/>
      <c r="K83" s="521"/>
      <c r="L83" s="521"/>
      <c r="M83" s="1461"/>
      <c r="N83" s="1262"/>
      <c r="O83" s="1262"/>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75" thickTop="1">
      <c r="A85" s="515"/>
      <c r="B85" s="520" t="s">
        <v>2480</v>
      </c>
      <c r="C85" s="561" t="s">
        <v>2392</v>
      </c>
      <c r="D85" s="561" t="s">
        <v>2393</v>
      </c>
      <c r="E85" s="561" t="s">
        <v>2394</v>
      </c>
      <c r="F85" s="561" t="s">
        <v>2395</v>
      </c>
      <c r="G85" s="561" t="s">
        <v>2396</v>
      </c>
      <c r="H85" s="521"/>
      <c r="I85" s="521"/>
      <c r="J85" s="521"/>
      <c r="K85" s="522"/>
      <c r="L85" s="523"/>
      <c r="M85" s="524"/>
      <c r="N85" s="1261"/>
      <c r="O85" s="1261"/>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7.75" thickTop="1">
      <c r="A87" s="562"/>
      <c r="B87" s="520" t="s">
        <v>2481</v>
      </c>
      <c r="C87" s="536"/>
      <c r="D87" s="536"/>
      <c r="E87" s="536"/>
      <c r="F87" s="536"/>
      <c r="G87" s="536"/>
      <c r="H87" s="536"/>
      <c r="I87" s="536"/>
      <c r="J87" s="536"/>
      <c r="K87" s="536"/>
      <c r="L87" s="563"/>
      <c r="M87" s="564"/>
      <c r="N87" s="1260"/>
      <c r="O87" s="1260"/>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5.75"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5.75"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5.75" thickTop="1">
      <c r="A93" s="515"/>
      <c r="B93" s="520">
        <f>B29</f>
        <v>111</v>
      </c>
      <c r="C93" s="536"/>
      <c r="D93" s="536"/>
      <c r="E93" s="536"/>
      <c r="F93" s="536"/>
      <c r="G93" s="536"/>
      <c r="H93" s="536"/>
      <c r="I93" s="536"/>
      <c r="J93" s="536"/>
      <c r="K93" s="536"/>
      <c r="L93" s="563"/>
      <c r="M93" s="564"/>
      <c r="N93" s="1261"/>
      <c r="O93" s="1261"/>
      <c r="P93" s="22"/>
      <c r="Q93" s="484"/>
    </row>
    <row r="94" spans="1:17" ht="15.75" thickBot="1">
      <c r="A94" s="515"/>
      <c r="B94" s="525"/>
      <c r="C94" s="543"/>
      <c r="D94" s="517"/>
      <c r="E94" s="517"/>
      <c r="F94" s="517"/>
      <c r="G94" s="517"/>
      <c r="H94" s="517"/>
      <c r="I94" s="517"/>
      <c r="J94" s="517"/>
      <c r="K94" s="517"/>
      <c r="L94" s="517"/>
      <c r="M94" s="518"/>
      <c r="N94" s="1262"/>
      <c r="O94" s="1262"/>
      <c r="P94" s="22"/>
      <c r="Q94" s="484"/>
    </row>
    <row r="95" spans="1:17" ht="15.75" thickTop="1">
      <c r="A95" s="515"/>
      <c r="B95" s="520">
        <f>B30</f>
        <v>111</v>
      </c>
      <c r="C95" s="536"/>
      <c r="D95" s="536"/>
      <c r="E95" s="536"/>
      <c r="F95" s="536"/>
      <c r="G95" s="566"/>
      <c r="H95" s="566"/>
      <c r="I95" s="566"/>
      <c r="J95" s="566"/>
      <c r="K95" s="567"/>
      <c r="L95" s="568"/>
      <c r="M95" s="569"/>
      <c r="N95" s="1261"/>
      <c r="O95" s="1261"/>
      <c r="P95" s="22"/>
      <c r="Q95" s="484"/>
    </row>
    <row r="96" spans="1:17" ht="15.75" thickBot="1">
      <c r="A96" s="515"/>
      <c r="B96" s="525"/>
      <c r="C96" s="543"/>
      <c r="D96" s="543"/>
      <c r="E96" s="543"/>
      <c r="F96" s="543"/>
      <c r="G96" s="517"/>
      <c r="H96" s="517"/>
      <c r="I96" s="517"/>
      <c r="J96" s="517"/>
      <c r="K96" s="517"/>
      <c r="L96" s="517"/>
      <c r="M96" s="518"/>
      <c r="N96" s="1262"/>
      <c r="O96" s="1262"/>
      <c r="P96" s="22"/>
      <c r="Q96" s="484"/>
    </row>
    <row r="97" spans="1:17" ht="15.75" thickTop="1">
      <c r="A97" s="515"/>
      <c r="B97" s="520">
        <f>B31</f>
        <v>111</v>
      </c>
      <c r="C97" s="536"/>
      <c r="D97" s="536"/>
      <c r="E97" s="536"/>
      <c r="F97" s="536"/>
      <c r="G97" s="566"/>
      <c r="H97" s="566"/>
      <c r="I97" s="566"/>
      <c r="J97" s="566"/>
      <c r="K97" s="567"/>
      <c r="L97" s="568"/>
      <c r="M97" s="569"/>
      <c r="N97" s="1261"/>
      <c r="O97" s="1261"/>
      <c r="P97" s="22"/>
      <c r="Q97" s="484"/>
    </row>
    <row r="98" spans="1:17" ht="15.75" thickBot="1">
      <c r="A98" s="515"/>
      <c r="B98" s="525"/>
      <c r="C98" s="543"/>
      <c r="D98" s="517"/>
      <c r="E98" s="517"/>
      <c r="F98" s="517"/>
      <c r="G98" s="517"/>
      <c r="H98" s="517"/>
      <c r="I98" s="517"/>
      <c r="J98" s="517"/>
      <c r="K98" s="517"/>
      <c r="L98" s="517"/>
      <c r="M98" s="518"/>
      <c r="N98" s="1262"/>
      <c r="O98" s="1262"/>
      <c r="P98" s="22"/>
      <c r="Q98" s="484"/>
    </row>
    <row r="99" spans="1:17" ht="15.75" thickTop="1">
      <c r="A99" s="515"/>
      <c r="B99" s="528">
        <f>B32</f>
        <v>111</v>
      </c>
      <c r="C99" s="503"/>
      <c r="D99" s="503"/>
      <c r="E99" s="503"/>
      <c r="F99" s="503"/>
      <c r="G99" s="570"/>
      <c r="H99" s="570"/>
      <c r="I99" s="570"/>
      <c r="J99" s="570"/>
      <c r="K99" s="571"/>
      <c r="L99" s="572"/>
      <c r="M99" s="573"/>
      <c r="N99" s="1261"/>
      <c r="O99" s="1261"/>
      <c r="P99" s="22"/>
      <c r="Q99" s="484"/>
    </row>
    <row r="100" spans="1:17" ht="15.75" thickBot="1">
      <c r="A100" s="2425"/>
      <c r="B100" s="552"/>
      <c r="C100" s="553"/>
      <c r="D100" s="553"/>
      <c r="E100" s="553"/>
      <c r="F100" s="553"/>
      <c r="G100" s="574"/>
      <c r="H100" s="574"/>
      <c r="I100" s="574"/>
      <c r="J100" s="574"/>
      <c r="K100" s="574"/>
      <c r="L100" s="574"/>
      <c r="M100" s="575"/>
      <c r="N100" s="1262"/>
      <c r="O100" s="1262"/>
      <c r="P100" s="22"/>
      <c r="Q100" s="484"/>
    </row>
    <row r="101" spans="1:17">
      <c r="A101" s="507" t="s">
        <v>2358</v>
      </c>
      <c r="B101" s="508" t="s">
        <v>2407</v>
      </c>
      <c r="C101" s="510"/>
      <c r="D101" s="510"/>
      <c r="E101" s="510"/>
      <c r="F101" s="510"/>
      <c r="G101" s="510"/>
      <c r="H101" s="510"/>
      <c r="I101" s="510"/>
      <c r="J101" s="510"/>
      <c r="K101" s="511"/>
      <c r="L101" s="512"/>
      <c r="M101" s="513"/>
      <c r="N101" s="1261"/>
      <c r="O101" s="1261"/>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7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5.75"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2409</v>
      </c>
      <c r="C106" s="536"/>
      <c r="D106" s="536"/>
      <c r="E106" s="566"/>
      <c r="F106" s="566"/>
      <c r="G106" s="566"/>
      <c r="H106" s="566"/>
      <c r="I106" s="566"/>
      <c r="J106" s="566"/>
      <c r="K106" s="567"/>
      <c r="L106" s="568"/>
      <c r="M106" s="569"/>
      <c r="N106" s="1261"/>
      <c r="O106" s="1261"/>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2411</v>
      </c>
      <c r="C108" s="536"/>
      <c r="D108" s="536"/>
      <c r="E108" s="536"/>
      <c r="F108" s="566"/>
      <c r="G108" s="566"/>
      <c r="H108" s="566"/>
      <c r="I108" s="566"/>
      <c r="J108" s="566"/>
      <c r="K108" s="567"/>
      <c r="L108" s="568"/>
      <c r="M108" s="569"/>
      <c r="N108" s="1261"/>
      <c r="O108" s="1261"/>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2482</v>
      </c>
      <c r="C113" s="536"/>
      <c r="D113" s="536"/>
      <c r="E113" s="536"/>
      <c r="F113" s="536"/>
      <c r="G113" s="536"/>
      <c r="H113" s="566"/>
      <c r="I113" s="566"/>
      <c r="J113" s="566"/>
      <c r="K113" s="567"/>
      <c r="L113" s="568"/>
      <c r="M113" s="569"/>
      <c r="N113" s="1263"/>
      <c r="O113" s="1263"/>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2413</v>
      </c>
      <c r="C115" s="536"/>
      <c r="D115" s="536"/>
      <c r="E115" s="566"/>
      <c r="F115" s="566"/>
      <c r="G115" s="566"/>
      <c r="H115" s="566"/>
      <c r="I115" s="566"/>
      <c r="J115" s="566"/>
      <c r="K115" s="567"/>
      <c r="L115" s="568"/>
      <c r="M115" s="569"/>
      <c r="N115" s="1261"/>
      <c r="O115" s="1261"/>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2414</v>
      </c>
      <c r="C117" s="536"/>
      <c r="D117" s="536"/>
      <c r="E117" s="536"/>
      <c r="F117" s="536"/>
      <c r="G117" s="536"/>
      <c r="H117" s="566"/>
      <c r="I117" s="566"/>
      <c r="J117" s="566"/>
      <c r="K117" s="567"/>
      <c r="L117" s="568"/>
      <c r="M117" s="569"/>
      <c r="N117" s="1261"/>
      <c r="O117" s="1261"/>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2483</v>
      </c>
      <c r="C119" s="566"/>
      <c r="D119" s="566"/>
      <c r="E119" s="566"/>
      <c r="F119" s="566"/>
      <c r="G119" s="566"/>
      <c r="H119" s="566"/>
      <c r="I119" s="566"/>
      <c r="J119" s="566"/>
      <c r="K119" s="566"/>
      <c r="L119" s="2467"/>
      <c r="M119" s="2468"/>
      <c r="N119" s="1262"/>
      <c r="O119" s="1262"/>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2465</v>
      </c>
      <c r="C121" s="536"/>
      <c r="D121" s="536"/>
      <c r="E121" s="536"/>
      <c r="F121" s="566"/>
      <c r="G121" s="537"/>
      <c r="H121" s="537"/>
      <c r="I121" s="537"/>
      <c r="J121" s="537"/>
      <c r="K121" s="537"/>
      <c r="L121" s="538"/>
      <c r="M121" s="539"/>
      <c r="N121" s="1263"/>
      <c r="O121" s="1263"/>
      <c r="P121" s="541"/>
      <c r="Q121" s="542"/>
    </row>
    <row r="122" spans="1:17" s="451" customFormat="1" ht="15.75"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2416</v>
      </c>
      <c r="C123" s="536"/>
      <c r="D123" s="536"/>
      <c r="E123" s="536"/>
      <c r="F123" s="566"/>
      <c r="G123" s="566"/>
      <c r="H123" s="566"/>
      <c r="I123" s="566"/>
      <c r="J123" s="566"/>
      <c r="K123" s="567"/>
      <c r="L123" s="568"/>
      <c r="M123" s="569"/>
      <c r="N123" s="1261"/>
      <c r="O123" s="1261"/>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15" thickTop="1">
      <c r="A125" s="582"/>
      <c r="B125" s="520" t="s">
        <v>2417</v>
      </c>
      <c r="C125" s="561" t="s">
        <v>2392</v>
      </c>
      <c r="D125" s="561" t="s">
        <v>2393</v>
      </c>
      <c r="E125" s="561" t="s">
        <v>2394</v>
      </c>
      <c r="F125" s="561" t="s">
        <v>2395</v>
      </c>
      <c r="G125" s="561" t="s">
        <v>2396</v>
      </c>
      <c r="H125" s="521"/>
      <c r="I125" s="521"/>
      <c r="J125" s="521"/>
      <c r="K125" s="522"/>
      <c r="L125" s="523"/>
      <c r="M125" s="524"/>
      <c r="N125" s="1261"/>
      <c r="O125" s="1261"/>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5"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5.75" thickBot="1">
      <c r="A128" s="535"/>
      <c r="B128" s="525"/>
      <c r="C128" s="543"/>
      <c r="D128" s="517"/>
      <c r="E128" s="517"/>
      <c r="F128" s="517"/>
      <c r="G128" s="543"/>
      <c r="H128" s="545"/>
      <c r="I128" s="545"/>
      <c r="J128" s="545"/>
      <c r="K128" s="545"/>
      <c r="L128" s="545"/>
      <c r="M128" s="546"/>
      <c r="N128" s="1263"/>
      <c r="O128" s="1263"/>
      <c r="P128" s="541"/>
      <c r="Q128" s="542"/>
    </row>
    <row r="129" spans="1:17" ht="15" thickTop="1">
      <c r="A129" s="582"/>
      <c r="B129" s="520">
        <f>B46</f>
        <v>111</v>
      </c>
      <c r="C129" s="536"/>
      <c r="D129" s="536"/>
      <c r="E129" s="536"/>
      <c r="F129" s="536"/>
      <c r="G129" s="566"/>
      <c r="H129" s="566"/>
      <c r="I129" s="566"/>
      <c r="J129" s="566"/>
      <c r="K129" s="567"/>
      <c r="L129" s="568"/>
      <c r="M129" s="569"/>
      <c r="N129" s="1261"/>
      <c r="O129" s="1261"/>
      <c r="P129" s="22"/>
      <c r="Q129" s="484"/>
    </row>
    <row r="130" spans="1:17" ht="15.75" thickBot="1">
      <c r="A130" s="515"/>
      <c r="B130" s="525"/>
      <c r="C130" s="543"/>
      <c r="D130" s="543"/>
      <c r="E130" s="543"/>
      <c r="F130" s="543"/>
      <c r="G130" s="517"/>
      <c r="H130" s="517"/>
      <c r="I130" s="517"/>
      <c r="J130" s="517"/>
      <c r="K130" s="517"/>
      <c r="L130" s="517"/>
      <c r="M130" s="518"/>
      <c r="N130" s="1262"/>
      <c r="O130" s="1262"/>
      <c r="P130" s="22"/>
      <c r="Q130" s="484"/>
    </row>
    <row r="131" spans="1:17" ht="15" thickTop="1">
      <c r="A131" s="582"/>
      <c r="B131" s="528">
        <f>B47</f>
        <v>111</v>
      </c>
      <c r="C131" s="503"/>
      <c r="D131" s="503"/>
      <c r="E131" s="503"/>
      <c r="F131" s="503"/>
      <c r="G131" s="570"/>
      <c r="H131" s="570"/>
      <c r="I131" s="570"/>
      <c r="J131" s="570"/>
      <c r="K131" s="503"/>
      <c r="L131" s="504"/>
      <c r="M131" s="573"/>
      <c r="N131" s="1261"/>
      <c r="O131" s="1261"/>
      <c r="P131" s="22"/>
      <c r="Q131" s="484"/>
    </row>
    <row r="132" spans="1:17" ht="15.75"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2484</v>
      </c>
      <c r="C1" s="1720"/>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IF(D2="——",IF(C2="元",ROUND(C43*D3,0),ROUND(C43*D3/10000,0)),IF(C2="元",ROUND(C43*D3,0),ROUND(C43*D3/10000,0))-E2)</f>
        <v>#DIV/0!</v>
      </c>
      <c r="C2" s="162" t="str">
        <f>'数据-取费表'!B3</f>
        <v>元</v>
      </c>
      <c r="D2" s="2377"/>
      <c r="E2" s="2470"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1998</v>
      </c>
      <c r="B3" s="592" t="e">
        <f ca="1">ROUND(IF(D2="——",C43,IF(C2="万元",B2*10000/D3,B2/D3)),0)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ht="15">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29" ht="15.7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29" s="35" customFormat="1" ht="15.75" thickBot="1">
      <c r="A7" s="386" t="s">
        <v>2342</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7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71" t="s">
        <v>2346</v>
      </c>
      <c r="Q8" s="3072"/>
      <c r="R8" s="747" t="s">
        <v>25</v>
      </c>
      <c r="S8" s="748">
        <f t="shared" si="0"/>
        <v>100</v>
      </c>
      <c r="T8" s="747" t="s">
        <v>25</v>
      </c>
      <c r="U8" s="748">
        <f t="shared" si="1"/>
        <v>100</v>
      </c>
      <c r="V8" s="747" t="s">
        <v>25</v>
      </c>
      <c r="W8" s="748">
        <f t="shared" si="2"/>
        <v>100</v>
      </c>
      <c r="X8" s="749"/>
      <c r="Y8" s="3071" t="s">
        <v>2346</v>
      </c>
      <c r="Z8" s="3072"/>
      <c r="AA8" s="750">
        <f t="shared" ref="AA8:AA40" si="3">D8/F8</f>
        <v>1</v>
      </c>
      <c r="AB8" s="750">
        <f t="shared" ref="AB8:AB40" si="4">D8/H8</f>
        <v>1</v>
      </c>
      <c r="AC8" s="750">
        <f t="shared" ref="AC8:AC40" si="5">D8/J8</f>
        <v>1</v>
      </c>
    </row>
    <row r="9" spans="1:29" s="35" customFormat="1">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75"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7">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75"/>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75"/>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75" thickBot="1">
      <c r="A14" s="415"/>
      <c r="B14" s="2394">
        <v>111</v>
      </c>
      <c r="C14" s="2395"/>
      <c r="D14" s="416">
        <v>100</v>
      </c>
      <c r="E14" s="2395"/>
      <c r="F14" s="416">
        <f>SUMIF(68:68,E14,69:69)-SUMIF(68:68,C14,69:69)+100</f>
        <v>100</v>
      </c>
      <c r="G14" s="2471"/>
      <c r="H14" s="416">
        <f>SUMIF(68:68,G14,69:69)-SUMIF(68:68,C14,69:69)+100</f>
        <v>100</v>
      </c>
      <c r="I14" s="449"/>
      <c r="J14" s="416">
        <f>SUMIF(68:68,I14,69:69)-SUMIF(68:68,C14,69:69)+100</f>
        <v>100</v>
      </c>
      <c r="K14" s="596"/>
      <c r="L14" s="1247"/>
      <c r="M14" s="1238"/>
      <c r="N14" s="1238"/>
      <c r="O14" s="1246"/>
      <c r="P14" s="3075"/>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57">
      <c r="A15" s="418" t="s">
        <v>2353</v>
      </c>
      <c r="B15" s="26" t="s">
        <v>2485</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64" t="s">
        <v>2354</v>
      </c>
      <c r="Q15" s="1891" t="str">
        <f t="shared" si="6"/>
        <v>产业集聚程度</v>
      </c>
      <c r="R15" s="751" t="s">
        <v>25</v>
      </c>
      <c r="S15" s="752">
        <f t="shared" si="0"/>
        <v>100</v>
      </c>
      <c r="T15" s="751" t="s">
        <v>25</v>
      </c>
      <c r="U15" s="752">
        <f t="shared" si="1"/>
        <v>100</v>
      </c>
      <c r="V15" s="751" t="s">
        <v>25</v>
      </c>
      <c r="W15" s="752">
        <f t="shared" si="2"/>
        <v>100</v>
      </c>
      <c r="X15" s="1892"/>
      <c r="Y15" s="3064" t="s">
        <v>2354</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65"/>
      <c r="Q16" s="1891"/>
      <c r="R16" s="751"/>
      <c r="S16" s="752"/>
      <c r="T16" s="751"/>
      <c r="U16" s="752"/>
      <c r="V16" s="751"/>
      <c r="W16" s="752"/>
      <c r="X16" s="1892"/>
      <c r="Y16" s="3065"/>
      <c r="Z16" s="1894"/>
      <c r="AA16" s="1895">
        <v>1</v>
      </c>
      <c r="AB16" s="1895">
        <v>1</v>
      </c>
      <c r="AC16" s="1895">
        <v>1</v>
      </c>
    </row>
    <row r="17" spans="1:29" ht="85.5">
      <c r="A17" s="407"/>
      <c r="B17" s="430" t="s">
        <v>1739</v>
      </c>
      <c r="C17" s="2399"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65"/>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46"/>
      <c r="P18" s="3065"/>
      <c r="Q18" s="1891"/>
      <c r="R18" s="751"/>
      <c r="S18" s="752"/>
      <c r="T18" s="751"/>
      <c r="U18" s="752"/>
      <c r="V18" s="751"/>
      <c r="W18" s="752"/>
      <c r="X18" s="1892"/>
      <c r="Y18" s="3065"/>
      <c r="Z18" s="1894"/>
      <c r="AA18" s="1895">
        <v>1</v>
      </c>
      <c r="AB18" s="1895">
        <v>1</v>
      </c>
      <c r="AC18" s="1895">
        <v>1</v>
      </c>
    </row>
    <row r="19" spans="1:29" ht="42.75">
      <c r="A19" s="407"/>
      <c r="B19" s="614" t="s">
        <v>2469</v>
      </c>
      <c r="C19" s="2399"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65"/>
      <c r="Q19" s="1891" t="str">
        <f>B19</f>
        <v>公共配套设施</v>
      </c>
      <c r="R19" s="751" t="s">
        <v>25</v>
      </c>
      <c r="S19" s="752">
        <f>F19</f>
        <v>100</v>
      </c>
      <c r="T19" s="751" t="s">
        <v>25</v>
      </c>
      <c r="U19" s="752">
        <f>H19</f>
        <v>100</v>
      </c>
      <c r="V19" s="751" t="s">
        <v>25</v>
      </c>
      <c r="W19" s="752">
        <f>J19</f>
        <v>100</v>
      </c>
      <c r="X19" s="1892"/>
      <c r="Y19" s="3065"/>
      <c r="Z19" s="1894" t="str">
        <f>Q19</f>
        <v>公共配套设施</v>
      </c>
      <c r="AA19" s="1895">
        <f t="shared" si="3"/>
        <v>1</v>
      </c>
      <c r="AB19" s="1895">
        <f t="shared" si="4"/>
        <v>1</v>
      </c>
      <c r="AC19" s="1895">
        <f t="shared" si="5"/>
        <v>1</v>
      </c>
    </row>
    <row r="20" spans="1:29" ht="15">
      <c r="A20" s="407"/>
      <c r="B20" s="615"/>
      <c r="C20" s="425"/>
      <c r="D20" s="426"/>
      <c r="E20" s="427"/>
      <c r="F20" s="428"/>
      <c r="G20" s="2397"/>
      <c r="H20" s="426"/>
      <c r="I20" s="427"/>
      <c r="J20" s="426"/>
      <c r="K20" s="598"/>
      <c r="L20" s="1247"/>
      <c r="M20" s="1238"/>
      <c r="N20" s="1238"/>
      <c r="O20" s="1246"/>
      <c r="P20" s="3065"/>
      <c r="Q20" s="1891"/>
      <c r="R20" s="751"/>
      <c r="S20" s="752"/>
      <c r="T20" s="751"/>
      <c r="U20" s="752"/>
      <c r="V20" s="751"/>
      <c r="W20" s="752"/>
      <c r="X20" s="1892"/>
      <c r="Y20" s="3065"/>
      <c r="Z20" s="1894"/>
      <c r="AA20" s="1895">
        <v>1</v>
      </c>
      <c r="AB20" s="1895">
        <v>1</v>
      </c>
      <c r="AC20" s="1895">
        <v>1</v>
      </c>
    </row>
    <row r="21" spans="1:29" ht="28.5">
      <c r="A21" s="407"/>
      <c r="B21" s="616" t="s">
        <v>2470</v>
      </c>
      <c r="C21" s="2399"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65"/>
      <c r="Q21" s="1891" t="str">
        <f>B21</f>
        <v>基础设施水平</v>
      </c>
      <c r="R21" s="751" t="s">
        <v>25</v>
      </c>
      <c r="S21" s="752">
        <f>F21</f>
        <v>100</v>
      </c>
      <c r="T21" s="751" t="s">
        <v>25</v>
      </c>
      <c r="U21" s="752">
        <f>H21</f>
        <v>100</v>
      </c>
      <c r="V21" s="751" t="s">
        <v>25</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46"/>
      <c r="P22" s="3065"/>
      <c r="Q22" s="1891"/>
      <c r="R22" s="751"/>
      <c r="S22" s="752"/>
      <c r="T22" s="751"/>
      <c r="U22" s="752"/>
      <c r="V22" s="751"/>
      <c r="W22" s="752"/>
      <c r="X22" s="1892"/>
      <c r="Y22" s="3065"/>
      <c r="Z22" s="1894"/>
      <c r="AA22" s="1895">
        <v>1</v>
      </c>
      <c r="AB22" s="1895">
        <v>1</v>
      </c>
      <c r="AC22" s="1895">
        <v>1</v>
      </c>
    </row>
    <row r="23" spans="1:29" ht="71.25">
      <c r="A23" s="407"/>
      <c r="B23" s="430" t="s">
        <v>2471</v>
      </c>
      <c r="C23" s="2399"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65"/>
      <c r="Q23" s="1891" t="str">
        <f>B23</f>
        <v>环境质量</v>
      </c>
      <c r="R23" s="751" t="s">
        <v>25</v>
      </c>
      <c r="S23" s="752">
        <f>F23</f>
        <v>100</v>
      </c>
      <c r="T23" s="751" t="s">
        <v>25</v>
      </c>
      <c r="U23" s="752">
        <f>H23</f>
        <v>100</v>
      </c>
      <c r="V23" s="751" t="s">
        <v>25</v>
      </c>
      <c r="W23" s="752">
        <f>J23</f>
        <v>100</v>
      </c>
      <c r="X23" s="1892"/>
      <c r="Y23" s="3065"/>
      <c r="Z23" s="1894" t="str">
        <f>Q23</f>
        <v>环境质量</v>
      </c>
      <c r="AA23" s="1895">
        <f t="shared" si="3"/>
        <v>1</v>
      </c>
      <c r="AB23" s="1895">
        <f t="shared" si="4"/>
        <v>1</v>
      </c>
      <c r="AC23" s="1895">
        <f t="shared" si="5"/>
        <v>1</v>
      </c>
    </row>
    <row r="24" spans="1:29" ht="15">
      <c r="A24" s="407"/>
      <c r="B24" s="2401"/>
      <c r="C24" s="425"/>
      <c r="D24" s="426"/>
      <c r="E24" s="427"/>
      <c r="F24" s="428"/>
      <c r="G24" s="2397"/>
      <c r="H24" s="426"/>
      <c r="I24" s="427"/>
      <c r="J24" s="426"/>
      <c r="K24" s="598"/>
      <c r="L24" s="1247"/>
      <c r="M24" s="1238"/>
      <c r="N24" s="1238"/>
      <c r="O24" s="1246"/>
      <c r="P24" s="3065"/>
      <c r="Q24" s="1891"/>
      <c r="R24" s="751"/>
      <c r="S24" s="752"/>
      <c r="T24" s="751"/>
      <c r="U24" s="752"/>
      <c r="V24" s="751"/>
      <c r="W24" s="752"/>
      <c r="X24" s="1892"/>
      <c r="Y24" s="3065"/>
      <c r="Z24" s="1894"/>
      <c r="AA24" s="1895">
        <v>1</v>
      </c>
      <c r="AB24" s="1895">
        <v>1</v>
      </c>
      <c r="AC24" s="1895">
        <v>1</v>
      </c>
    </row>
    <row r="25" spans="1:29" ht="15">
      <c r="A25" s="382"/>
      <c r="B25" s="2405">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65"/>
      <c r="Q25" s="1891">
        <f>B25</f>
        <v>111</v>
      </c>
      <c r="R25" s="751" t="s">
        <v>25</v>
      </c>
      <c r="S25" s="752">
        <f>F25</f>
        <v>100</v>
      </c>
      <c r="T25" s="751" t="s">
        <v>25</v>
      </c>
      <c r="U25" s="752">
        <f>H25</f>
        <v>100</v>
      </c>
      <c r="V25" s="751" t="s">
        <v>25</v>
      </c>
      <c r="W25" s="752">
        <f>J25</f>
        <v>100</v>
      </c>
      <c r="X25" s="1892"/>
      <c r="Y25" s="3065"/>
      <c r="Z25" s="1894">
        <f>Q25</f>
        <v>111</v>
      </c>
      <c r="AA25" s="1895">
        <f t="shared" si="3"/>
        <v>1</v>
      </c>
      <c r="AB25" s="1895">
        <f t="shared" si="4"/>
        <v>1</v>
      </c>
      <c r="AC25" s="1895">
        <f t="shared" si="5"/>
        <v>1</v>
      </c>
    </row>
    <row r="26" spans="1:29" ht="15">
      <c r="A26" s="407"/>
      <c r="B26" s="2405">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65"/>
      <c r="Q26" s="1891">
        <f t="shared" ref="Q26:Q40" si="11">B26</f>
        <v>111</v>
      </c>
      <c r="R26" s="751" t="s">
        <v>25</v>
      </c>
      <c r="S26" s="752">
        <f>F26</f>
        <v>100</v>
      </c>
      <c r="T26" s="751" t="s">
        <v>25</v>
      </c>
      <c r="U26" s="752">
        <f>H26</f>
        <v>100</v>
      </c>
      <c r="V26" s="751" t="s">
        <v>25</v>
      </c>
      <c r="W26" s="752">
        <f>J26</f>
        <v>100</v>
      </c>
      <c r="X26" s="1892"/>
      <c r="Y26" s="3065"/>
      <c r="Z26" s="1894">
        <f>Q26</f>
        <v>111</v>
      </c>
      <c r="AA26" s="1895">
        <f t="shared" si="3"/>
        <v>1</v>
      </c>
      <c r="AB26" s="1895">
        <f t="shared" si="4"/>
        <v>1</v>
      </c>
      <c r="AC26" s="1895">
        <f t="shared" si="5"/>
        <v>1</v>
      </c>
    </row>
    <row r="27" spans="1:29" s="35" customFormat="1" ht="15">
      <c r="A27" s="410"/>
      <c r="B27" s="2405">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65"/>
      <c r="Q27" s="1879">
        <f t="shared" si="11"/>
        <v>111</v>
      </c>
      <c r="R27" s="747" t="s">
        <v>25</v>
      </c>
      <c r="S27" s="748">
        <f>F27</f>
        <v>100</v>
      </c>
      <c r="T27" s="747" t="s">
        <v>25</v>
      </c>
      <c r="U27" s="748">
        <f>H27</f>
        <v>100</v>
      </c>
      <c r="V27" s="747" t="s">
        <v>25</v>
      </c>
      <c r="W27" s="748">
        <f>J27</f>
        <v>100</v>
      </c>
      <c r="X27" s="749"/>
      <c r="Y27" s="3065"/>
      <c r="Z27" s="23">
        <f>Q27</f>
        <v>111</v>
      </c>
      <c r="AA27" s="1895">
        <f>D27/F27</f>
        <v>1</v>
      </c>
      <c r="AB27" s="1895">
        <f>D27/H27</f>
        <v>1</v>
      </c>
      <c r="AC27" s="1895">
        <f>D27/J27</f>
        <v>1</v>
      </c>
    </row>
    <row r="28" spans="1:29" ht="15.75" thickBot="1">
      <c r="A28" s="415"/>
      <c r="B28" s="2405">
        <v>111</v>
      </c>
      <c r="C28" s="2395"/>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65"/>
      <c r="Q28" s="1891">
        <f t="shared" si="11"/>
        <v>111</v>
      </c>
      <c r="R28" s="751" t="s">
        <v>25</v>
      </c>
      <c r="S28" s="752">
        <f t="shared" ref="S28:S40" si="12">F28</f>
        <v>100</v>
      </c>
      <c r="T28" s="751" t="s">
        <v>25</v>
      </c>
      <c r="U28" s="752">
        <f t="shared" ref="U28:U40" si="13">H28</f>
        <v>100</v>
      </c>
      <c r="V28" s="751" t="s">
        <v>25</v>
      </c>
      <c r="W28" s="752">
        <f t="shared" ref="W28:W40" si="14">J28</f>
        <v>100</v>
      </c>
      <c r="X28" s="1892"/>
      <c r="Y28" s="3065"/>
      <c r="Z28" s="1894">
        <f t="shared" ref="Z28:Z40" si="15">Q28</f>
        <v>111</v>
      </c>
      <c r="AA28" s="1895">
        <f t="shared" si="3"/>
        <v>1</v>
      </c>
      <c r="AB28" s="1895">
        <f t="shared" si="4"/>
        <v>1</v>
      </c>
      <c r="AC28" s="1895">
        <f t="shared" si="5"/>
        <v>1</v>
      </c>
    </row>
    <row r="29" spans="1:29" ht="28.5">
      <c r="A29" s="446" t="s">
        <v>2358</v>
      </c>
      <c r="B29" s="28" t="s">
        <v>2474</v>
      </c>
      <c r="C29" s="2466" t="s">
        <v>2486</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1" t="s">
        <v>2360</v>
      </c>
      <c r="Q29" s="1891" t="str">
        <f t="shared" si="11"/>
        <v>建筑类型</v>
      </c>
      <c r="R29" s="751" t="s">
        <v>25</v>
      </c>
      <c r="S29" s="752">
        <f t="shared" si="12"/>
        <v>100</v>
      </c>
      <c r="T29" s="751" t="s">
        <v>25</v>
      </c>
      <c r="U29" s="752">
        <f t="shared" si="13"/>
        <v>100</v>
      </c>
      <c r="V29" s="751" t="s">
        <v>25</v>
      </c>
      <c r="W29" s="752">
        <f t="shared" si="14"/>
        <v>100</v>
      </c>
      <c r="X29" s="1892"/>
      <c r="Y29" s="3069" t="s">
        <v>2360</v>
      </c>
      <c r="Z29" s="1894" t="str">
        <f t="shared" si="15"/>
        <v>建筑类型</v>
      </c>
      <c r="AA29" s="1895">
        <f t="shared" si="3"/>
        <v>1</v>
      </c>
      <c r="AB29" s="1895">
        <f t="shared" si="4"/>
        <v>1</v>
      </c>
      <c r="AC29" s="1895">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69"/>
      <c r="Q30" s="753" t="str">
        <f t="shared" si="11"/>
        <v>项目建筑规模</v>
      </c>
      <c r="R30" s="754" t="s">
        <v>25</v>
      </c>
      <c r="S30" s="755" t="e">
        <f t="shared" si="12"/>
        <v>#N/A</v>
      </c>
      <c r="T30" s="754" t="s">
        <v>25</v>
      </c>
      <c r="U30" s="755" t="e">
        <f t="shared" si="13"/>
        <v>#N/A</v>
      </c>
      <c r="V30" s="754" t="s">
        <v>25</v>
      </c>
      <c r="W30" s="755" t="e">
        <f t="shared" si="14"/>
        <v>#N/A</v>
      </c>
      <c r="X30" s="756"/>
      <c r="Y30" s="3069"/>
      <c r="Z30" s="757" t="str">
        <f t="shared" si="15"/>
        <v>项目建筑规模</v>
      </c>
      <c r="AA30" s="1895" t="e">
        <f t="shared" si="3"/>
        <v>#N/A</v>
      </c>
      <c r="AB30" s="1895" t="e">
        <f t="shared" si="4"/>
        <v>#N/A</v>
      </c>
      <c r="AC30" s="1895"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69"/>
      <c r="Q31" s="1891" t="str">
        <f t="shared" si="11"/>
        <v>建筑结构</v>
      </c>
      <c r="R31" s="751" t="s">
        <v>25</v>
      </c>
      <c r="S31" s="752">
        <f t="shared" si="12"/>
        <v>100</v>
      </c>
      <c r="T31" s="751" t="s">
        <v>25</v>
      </c>
      <c r="U31" s="752">
        <f t="shared" si="13"/>
        <v>100</v>
      </c>
      <c r="V31" s="751" t="s">
        <v>25</v>
      </c>
      <c r="W31" s="752">
        <f t="shared" si="14"/>
        <v>100</v>
      </c>
      <c r="X31" s="1892"/>
      <c r="Y31" s="3069"/>
      <c r="Z31" s="1894" t="str">
        <f t="shared" si="15"/>
        <v>建筑结构</v>
      </c>
      <c r="AA31" s="1895">
        <f t="shared" si="3"/>
        <v>1</v>
      </c>
      <c r="AB31" s="1895">
        <f t="shared" si="4"/>
        <v>1</v>
      </c>
      <c r="AC31" s="1895">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69"/>
      <c r="Q32" s="1891" t="str">
        <f t="shared" si="11"/>
        <v>公共部分装修</v>
      </c>
      <c r="R32" s="751" t="s">
        <v>25</v>
      </c>
      <c r="S32" s="752">
        <f t="shared" si="12"/>
        <v>100</v>
      </c>
      <c r="T32" s="751" t="s">
        <v>25</v>
      </c>
      <c r="U32" s="752">
        <f t="shared" si="13"/>
        <v>100</v>
      </c>
      <c r="V32" s="751" t="s">
        <v>25</v>
      </c>
      <c r="W32" s="752">
        <f t="shared" si="14"/>
        <v>100</v>
      </c>
      <c r="X32" s="1892"/>
      <c r="Y32" s="3069"/>
      <c r="Z32" s="1894" t="str">
        <f t="shared" si="15"/>
        <v>公共部分装修</v>
      </c>
      <c r="AA32" s="1895">
        <f t="shared" si="3"/>
        <v>1</v>
      </c>
      <c r="AB32" s="1895">
        <f t="shared" si="4"/>
        <v>1</v>
      </c>
      <c r="AC32" s="1895">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69"/>
      <c r="Q33" s="1891" t="str">
        <f t="shared" si="11"/>
        <v>成新度</v>
      </c>
      <c r="R33" s="751" t="s">
        <v>25</v>
      </c>
      <c r="S33" s="752" t="e">
        <f t="shared" si="12"/>
        <v>#N/A</v>
      </c>
      <c r="T33" s="751" t="s">
        <v>25</v>
      </c>
      <c r="U33" s="752" t="e">
        <f t="shared" si="13"/>
        <v>#N/A</v>
      </c>
      <c r="V33" s="751" t="s">
        <v>25</v>
      </c>
      <c r="W33" s="752" t="e">
        <f t="shared" si="14"/>
        <v>#N/A</v>
      </c>
      <c r="X33" s="1892"/>
      <c r="Y33" s="3069"/>
      <c r="Z33" s="1894" t="str">
        <f t="shared" si="15"/>
        <v>成新度</v>
      </c>
      <c r="AA33" s="1895" t="e">
        <f t="shared" si="3"/>
        <v>#N/A</v>
      </c>
      <c r="AB33" s="1895" t="e">
        <f t="shared" si="4"/>
        <v>#N/A</v>
      </c>
      <c r="AC33" s="1895" t="e">
        <f t="shared" si="5"/>
        <v>#N/A</v>
      </c>
    </row>
    <row r="34" spans="1:29" s="35"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69"/>
      <c r="Q34" s="1879" t="str">
        <f t="shared" si="11"/>
        <v>物业管理</v>
      </c>
      <c r="R34" s="747" t="s">
        <v>25</v>
      </c>
      <c r="S34" s="748">
        <f t="shared" si="12"/>
        <v>100</v>
      </c>
      <c r="T34" s="747" t="s">
        <v>25</v>
      </c>
      <c r="U34" s="748">
        <f t="shared" si="13"/>
        <v>100</v>
      </c>
      <c r="V34" s="747" t="s">
        <v>25</v>
      </c>
      <c r="W34" s="748">
        <f t="shared" si="14"/>
        <v>100</v>
      </c>
      <c r="X34" s="749"/>
      <c r="Y34" s="3069"/>
      <c r="Z34" s="23" t="str">
        <f t="shared" si="15"/>
        <v>物业管理</v>
      </c>
      <c r="AA34" s="750">
        <f t="shared" si="3"/>
        <v>1</v>
      </c>
      <c r="AB34" s="750">
        <f t="shared" si="4"/>
        <v>1</v>
      </c>
      <c r="AC34" s="750">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69" t="s">
        <v>2360</v>
      </c>
      <c r="Q35" s="1891" t="str">
        <f t="shared" si="11"/>
        <v>市政基础设施</v>
      </c>
      <c r="R35" s="751" t="s">
        <v>25</v>
      </c>
      <c r="S35" s="752">
        <f t="shared" si="12"/>
        <v>100</v>
      </c>
      <c r="T35" s="751" t="s">
        <v>25</v>
      </c>
      <c r="U35" s="752">
        <f t="shared" si="13"/>
        <v>100</v>
      </c>
      <c r="V35" s="751" t="s">
        <v>25</v>
      </c>
      <c r="W35" s="752">
        <f t="shared" si="14"/>
        <v>100</v>
      </c>
      <c r="X35" s="1892"/>
      <c r="Y35" s="3069" t="s">
        <v>2360</v>
      </c>
      <c r="Z35" s="1894" t="str">
        <f t="shared" si="15"/>
        <v>市政基础设施</v>
      </c>
      <c r="AA35" s="1895">
        <f t="shared" si="3"/>
        <v>1</v>
      </c>
      <c r="AB35" s="1895">
        <f t="shared" si="4"/>
        <v>1</v>
      </c>
      <c r="AC35" s="1895">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69"/>
      <c r="Q36" s="1891" t="str">
        <f t="shared" si="11"/>
        <v>内部装修</v>
      </c>
      <c r="R36" s="751" t="s">
        <v>25</v>
      </c>
      <c r="S36" s="752">
        <f t="shared" si="12"/>
        <v>100</v>
      </c>
      <c r="T36" s="751" t="s">
        <v>25</v>
      </c>
      <c r="U36" s="752">
        <f t="shared" si="13"/>
        <v>100</v>
      </c>
      <c r="V36" s="751" t="s">
        <v>25</v>
      </c>
      <c r="W36" s="752">
        <f t="shared" si="14"/>
        <v>100</v>
      </c>
      <c r="X36" s="1892"/>
      <c r="Y36" s="3069"/>
      <c r="Z36" s="1894" t="str">
        <f t="shared" si="15"/>
        <v>内部装修</v>
      </c>
      <c r="AA36" s="1895">
        <f t="shared" si="3"/>
        <v>1</v>
      </c>
      <c r="AB36" s="1895">
        <f t="shared" si="4"/>
        <v>1</v>
      </c>
      <c r="AC36" s="1895">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69"/>
      <c r="Q37" s="1891" t="str">
        <f t="shared" si="11"/>
        <v>内部装修状况</v>
      </c>
      <c r="R37" s="751" t="s">
        <v>25</v>
      </c>
      <c r="S37" s="752">
        <f t="shared" si="12"/>
        <v>0</v>
      </c>
      <c r="T37" s="751" t="s">
        <v>25</v>
      </c>
      <c r="U37" s="752">
        <f t="shared" si="13"/>
        <v>0</v>
      </c>
      <c r="V37" s="751" t="s">
        <v>25</v>
      </c>
      <c r="W37" s="752">
        <f t="shared" si="14"/>
        <v>0</v>
      </c>
      <c r="X37" s="1892"/>
      <c r="Y37" s="3069"/>
      <c r="Z37" s="1894" t="str">
        <f t="shared" si="15"/>
        <v>内部装修状况</v>
      </c>
      <c r="AA37" s="1895" t="e">
        <f t="shared" si="3"/>
        <v>#DIV/0!</v>
      </c>
      <c r="AB37" s="1895" t="e">
        <f t="shared" si="4"/>
        <v>#DIV/0!</v>
      </c>
      <c r="AC37" s="1895" t="e">
        <f t="shared" si="5"/>
        <v>#DIV/0!</v>
      </c>
    </row>
    <row r="38" spans="1:29" s="451" customFormat="1" ht="15">
      <c r="A38" s="448"/>
      <c r="B38" s="2405">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69"/>
      <c r="Q38" s="753">
        <f t="shared" si="11"/>
        <v>111</v>
      </c>
      <c r="R38" s="754" t="s">
        <v>25</v>
      </c>
      <c r="S38" s="755">
        <f t="shared" si="12"/>
        <v>100</v>
      </c>
      <c r="T38" s="754" t="s">
        <v>25</v>
      </c>
      <c r="U38" s="755">
        <f t="shared" si="13"/>
        <v>100</v>
      </c>
      <c r="V38" s="754" t="s">
        <v>25</v>
      </c>
      <c r="W38" s="755">
        <f t="shared" si="14"/>
        <v>100</v>
      </c>
      <c r="X38" s="756"/>
      <c r="Y38" s="3069"/>
      <c r="Z38" s="757">
        <f t="shared" si="15"/>
        <v>111</v>
      </c>
      <c r="AA38" s="1895">
        <f t="shared" si="3"/>
        <v>1</v>
      </c>
      <c r="AB38" s="1895">
        <f t="shared" si="4"/>
        <v>1</v>
      </c>
      <c r="AC38" s="1895">
        <f t="shared" si="5"/>
        <v>1</v>
      </c>
    </row>
    <row r="39" spans="1:29" ht="15">
      <c r="A39" s="452"/>
      <c r="B39" s="2405">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69"/>
      <c r="Q39" s="1891">
        <f t="shared" si="11"/>
        <v>111</v>
      </c>
      <c r="R39" s="751" t="s">
        <v>25</v>
      </c>
      <c r="S39" s="752">
        <f t="shared" si="12"/>
        <v>100</v>
      </c>
      <c r="T39" s="751" t="s">
        <v>25</v>
      </c>
      <c r="U39" s="752">
        <f t="shared" si="13"/>
        <v>100</v>
      </c>
      <c r="V39" s="751" t="s">
        <v>25</v>
      </c>
      <c r="W39" s="752">
        <f t="shared" si="14"/>
        <v>100</v>
      </c>
      <c r="X39" s="1892"/>
      <c r="Y39" s="3069"/>
      <c r="Z39" s="1894">
        <f t="shared" si="15"/>
        <v>111</v>
      </c>
      <c r="AA39" s="1895">
        <f t="shared" si="3"/>
        <v>1</v>
      </c>
      <c r="AB39" s="1895">
        <f t="shared" si="4"/>
        <v>1</v>
      </c>
      <c r="AC39" s="1895">
        <f t="shared" si="5"/>
        <v>1</v>
      </c>
    </row>
    <row r="40" spans="1:29" ht="15.75" thickBot="1">
      <c r="A40" s="458"/>
      <c r="B40" s="2394">
        <v>111</v>
      </c>
      <c r="C40" s="2395">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70"/>
      <c r="Q40" s="1891">
        <f t="shared" si="11"/>
        <v>111</v>
      </c>
      <c r="R40" s="751" t="s">
        <v>25</v>
      </c>
      <c r="S40" s="752">
        <f t="shared" si="12"/>
        <v>100</v>
      </c>
      <c r="T40" s="751" t="s">
        <v>25</v>
      </c>
      <c r="U40" s="752">
        <f t="shared" si="13"/>
        <v>100</v>
      </c>
      <c r="V40" s="751" t="s">
        <v>25</v>
      </c>
      <c r="W40" s="752">
        <f t="shared" si="14"/>
        <v>100</v>
      </c>
      <c r="X40" s="1892"/>
      <c r="Y40" s="3070"/>
      <c r="Z40" s="1894">
        <f t="shared" si="15"/>
        <v>111</v>
      </c>
      <c r="AA40" s="1895">
        <f t="shared" si="3"/>
        <v>1</v>
      </c>
      <c r="AB40" s="1895">
        <f t="shared" si="4"/>
        <v>1</v>
      </c>
      <c r="AC40" s="1895">
        <f t="shared" si="5"/>
        <v>1</v>
      </c>
    </row>
    <row r="41" spans="1:29" ht="15">
      <c r="A41" s="459" t="s">
        <v>2372</v>
      </c>
      <c r="B41" s="460"/>
      <c r="C41" s="1496" t="s">
        <v>1</v>
      </c>
      <c r="D41" s="1497"/>
      <c r="E41" s="1498"/>
      <c r="F41" s="1499"/>
      <c r="G41" s="1500"/>
      <c r="H41" s="1501"/>
      <c r="I41" s="1498"/>
      <c r="J41" s="1501"/>
      <c r="K41" s="760"/>
      <c r="L41" s="1250"/>
      <c r="M41" s="1251"/>
      <c r="N41" s="1238"/>
      <c r="O41" s="1251"/>
      <c r="P41" s="3075" t="str">
        <f>A41</f>
        <v>成交单价（元/平方米）</v>
      </c>
      <c r="Q41" s="3075"/>
      <c r="R41" s="3076">
        <f>E41</f>
        <v>0</v>
      </c>
      <c r="S41" s="3076"/>
      <c r="T41" s="3076">
        <f>G41</f>
        <v>0</v>
      </c>
      <c r="U41" s="3076"/>
      <c r="V41" s="3076">
        <f>I41</f>
        <v>0</v>
      </c>
      <c r="W41" s="3076"/>
      <c r="X41" s="736"/>
      <c r="Y41" s="758"/>
      <c r="Z41" s="736"/>
      <c r="AA41" s="736"/>
      <c r="AB41" s="736"/>
      <c r="AC41" s="736"/>
    </row>
    <row r="42" spans="1:29" ht="15.75" thickBot="1">
      <c r="A42" s="466" t="s">
        <v>2455</v>
      </c>
      <c r="B42" s="467"/>
      <c r="C42" s="1502" t="e">
        <f>R43</f>
        <v>#DIV/0!</v>
      </c>
      <c r="D42" s="1503"/>
      <c r="E42" s="1504" t="e">
        <f>R42</f>
        <v>#DIV/0!</v>
      </c>
      <c r="F42" s="1504"/>
      <c r="G42" s="1502" t="e">
        <f>T42</f>
        <v>#DIV/0!</v>
      </c>
      <c r="H42" s="1503"/>
      <c r="I42" s="1504" t="e">
        <f>V42</f>
        <v>#DIV/0!</v>
      </c>
      <c r="J42" s="1503"/>
      <c r="K42" s="761"/>
      <c r="L42" s="1250"/>
      <c r="M42" s="1251"/>
      <c r="N42" s="1238"/>
      <c r="O42" s="1251"/>
      <c r="P42" s="3075" t="str">
        <f>A42</f>
        <v>比较价值（元/平方米）</v>
      </c>
      <c r="Q42" s="3075"/>
      <c r="R42" s="3076" t="e">
        <f>IF(E1="售价",ROUND(PRODUCT(R41,AA7:AA40),0),ROUND(PRODUCT(R41,AA7:AA40),1))</f>
        <v>#DIV/0!</v>
      </c>
      <c r="S42" s="3076"/>
      <c r="T42" s="3076" t="e">
        <f>IF(E1="售价",ROUND(PRODUCT(T41,AB7:AB40),0),ROUND(PRODUCT(T41,AB7:AB40),1))</f>
        <v>#DIV/0!</v>
      </c>
      <c r="U42" s="3076"/>
      <c r="V42" s="3076" t="e">
        <f>IF(E1="售价",ROUND(PRODUCT(V41,AC7:AC40),0),ROUND(PRODUCT(V41,AC7:AC40),1))</f>
        <v>#DIV/0!</v>
      </c>
      <c r="W42" s="3076"/>
      <c r="X42" s="736"/>
      <c r="Y42" s="736"/>
      <c r="Z42" s="736"/>
      <c r="AA42" s="736"/>
      <c r="AB42" s="736"/>
      <c r="AC42" s="736"/>
    </row>
    <row r="43" spans="1:29" ht="15.75" thickBot="1">
      <c r="A43" s="472" t="s">
        <v>2478</v>
      </c>
      <c r="B43" s="473"/>
      <c r="C43" s="1506" t="e">
        <f>R43</f>
        <v>#DIV/0!</v>
      </c>
      <c r="D43" s="1506"/>
      <c r="E43" s="1506"/>
      <c r="F43" s="1506"/>
      <c r="G43" s="1506"/>
      <c r="H43" s="1506"/>
      <c r="I43" s="1506"/>
      <c r="J43" s="1506"/>
      <c r="K43" s="762"/>
      <c r="L43" s="1250"/>
      <c r="M43" s="1251"/>
      <c r="N43" s="1251"/>
      <c r="O43" s="1251"/>
      <c r="P43" s="3081" t="str">
        <f>A43</f>
        <v>估价对象XX用房的比较价值（楼面单价，元/平方米）</v>
      </c>
      <c r="Q43" s="3082"/>
      <c r="R43" s="3083" t="e">
        <f>IF(E1="售价",ROUND(AVERAGE(R42:V42),0),ROUND(AVERAGE(R42:V42),1))</f>
        <v>#DIV/0!</v>
      </c>
      <c r="S43" s="3083"/>
      <c r="T43" s="3083"/>
      <c r="U43" s="3083"/>
      <c r="V43" s="3083"/>
      <c r="W43" s="3083"/>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0" t="s">
        <v>2460</v>
      </c>
      <c r="B51" s="736"/>
      <c r="C51" s="741"/>
      <c r="D51" s="741"/>
      <c r="E51" s="741"/>
      <c r="F51" s="742"/>
      <c r="G51" s="742"/>
      <c r="H51" s="741"/>
      <c r="I51" s="741"/>
      <c r="J51" s="741"/>
      <c r="K51" s="743"/>
      <c r="L51" s="744"/>
      <c r="M51" s="741"/>
      <c r="N51" s="741"/>
      <c r="O51" s="741"/>
      <c r="P51" s="483"/>
      <c r="Q51" s="484"/>
    </row>
    <row r="52" spans="1:17" s="488" customFormat="1" ht="15">
      <c r="A52" s="485" t="s">
        <v>2342</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2380</v>
      </c>
      <c r="B54" s="496"/>
      <c r="C54" s="497"/>
      <c r="D54" s="498"/>
      <c r="E54" s="498"/>
      <c r="F54" s="498"/>
      <c r="G54" s="498"/>
      <c r="H54" s="498"/>
      <c r="I54" s="498"/>
      <c r="J54" s="498"/>
      <c r="K54" s="498"/>
      <c r="L54" s="498"/>
      <c r="M54" s="499"/>
      <c r="N54" s="498"/>
      <c r="O54" s="500"/>
      <c r="P54" s="484"/>
      <c r="Q54" s="484"/>
    </row>
    <row r="55" spans="1:17" s="35" customFormat="1" ht="15">
      <c r="A55" s="501" t="s">
        <v>2344</v>
      </c>
      <c r="B55" s="490"/>
      <c r="C55" s="502" t="s">
        <v>2345</v>
      </c>
      <c r="D55" s="503"/>
      <c r="E55" s="503"/>
      <c r="F55" s="503"/>
      <c r="G55" s="503"/>
      <c r="H55" s="503"/>
      <c r="I55" s="503"/>
      <c r="J55" s="503"/>
      <c r="K55" s="503"/>
      <c r="L55" s="504"/>
      <c r="M55" s="505"/>
      <c r="N55" s="1260"/>
      <c r="O55" s="1260"/>
      <c r="P55" s="506"/>
      <c r="Q55" s="484"/>
    </row>
    <row r="56" spans="1:17" s="35" customFormat="1" ht="15.75" thickBot="1">
      <c r="A56" s="501"/>
      <c r="B56" s="490"/>
      <c r="C56" s="622">
        <v>100</v>
      </c>
      <c r="D56" s="492"/>
      <c r="E56" s="492"/>
      <c r="F56" s="492"/>
      <c r="G56" s="492"/>
      <c r="H56" s="492"/>
      <c r="I56" s="492"/>
      <c r="J56" s="492"/>
      <c r="K56" s="492"/>
      <c r="L56" s="492"/>
      <c r="M56" s="494"/>
      <c r="N56" s="1260"/>
      <c r="O56" s="1260"/>
      <c r="P56" s="484"/>
      <c r="Q56" s="484"/>
    </row>
    <row r="57" spans="1:17">
      <c r="A57" s="507" t="s">
        <v>2383</v>
      </c>
      <c r="B57" s="508" t="s">
        <v>2348</v>
      </c>
      <c r="C57" s="509">
        <f>C9</f>
        <v>0</v>
      </c>
      <c r="D57" s="510"/>
      <c r="E57" s="510"/>
      <c r="F57" s="510"/>
      <c r="G57" s="510"/>
      <c r="H57" s="510"/>
      <c r="I57" s="510"/>
      <c r="J57" s="510"/>
      <c r="K57" s="511"/>
      <c r="L57" s="512"/>
      <c r="M57" s="513"/>
      <c r="N57" s="1261"/>
      <c r="O57" s="1261"/>
      <c r="P57" s="22"/>
      <c r="Q57" s="484"/>
    </row>
    <row r="58" spans="1:17" ht="15.75" thickBot="1">
      <c r="A58" s="515"/>
      <c r="B58" s="516"/>
      <c r="C58" s="517">
        <v>100</v>
      </c>
      <c r="D58" s="517"/>
      <c r="E58" s="517"/>
      <c r="F58" s="517"/>
      <c r="G58" s="517"/>
      <c r="H58" s="517"/>
      <c r="I58" s="517"/>
      <c r="J58" s="517"/>
      <c r="K58" s="517"/>
      <c r="L58" s="517"/>
      <c r="M58" s="518"/>
      <c r="N58" s="1262"/>
      <c r="O58" s="1262"/>
      <c r="P58" s="22"/>
      <c r="Q58" s="484"/>
    </row>
    <row r="59" spans="1:17" ht="27.75" thickTop="1">
      <c r="A59" s="515"/>
      <c r="B59" s="520" t="s">
        <v>2351</v>
      </c>
      <c r="C59" s="521" t="s">
        <v>2384</v>
      </c>
      <c r="D59" s="521" t="s">
        <v>2385</v>
      </c>
      <c r="E59" s="521" t="s">
        <v>2386</v>
      </c>
      <c r="F59" s="521" t="s">
        <v>2387</v>
      </c>
      <c r="G59" s="521" t="s">
        <v>2388</v>
      </c>
      <c r="H59" s="521" t="s">
        <v>2389</v>
      </c>
      <c r="I59" s="521" t="s">
        <v>2390</v>
      </c>
      <c r="J59" s="521"/>
      <c r="K59" s="522"/>
      <c r="L59" s="523"/>
      <c r="M59" s="524"/>
      <c r="N59" s="1261"/>
      <c r="O59" s="1261"/>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7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ht="15">
      <c r="A62" s="515"/>
      <c r="B62" s="530"/>
      <c r="C62" s="531"/>
      <c r="D62" s="531"/>
      <c r="E62" s="531"/>
      <c r="F62" s="531"/>
      <c r="G62" s="531"/>
      <c r="H62" s="531"/>
      <c r="I62" s="531"/>
      <c r="J62" s="531"/>
      <c r="K62" s="532"/>
      <c r="L62" s="533"/>
      <c r="M62" s="534"/>
      <c r="N62" s="1261"/>
      <c r="O62" s="1261"/>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5.75" thickTop="1">
      <c r="A64" s="535"/>
      <c r="B64" s="520">
        <f>B12</f>
        <v>111</v>
      </c>
      <c r="C64" s="536"/>
      <c r="D64" s="536"/>
      <c r="E64" s="536"/>
      <c r="F64" s="536"/>
      <c r="G64" s="536"/>
      <c r="H64" s="537"/>
      <c r="I64" s="537"/>
      <c r="J64" s="537"/>
      <c r="K64" s="537"/>
      <c r="L64" s="538"/>
      <c r="M64" s="539"/>
      <c r="N64" s="1263"/>
      <c r="O64" s="1263"/>
      <c r="P64" s="541"/>
      <c r="Q64" s="542"/>
    </row>
    <row r="65" spans="1:17" s="451" customFormat="1" ht="15.75" thickBot="1">
      <c r="A65" s="535"/>
      <c r="B65" s="525"/>
      <c r="C65" s="543"/>
      <c r="D65" s="517"/>
      <c r="E65" s="517"/>
      <c r="F65" s="517"/>
      <c r="G65" s="517"/>
      <c r="H65" s="517"/>
      <c r="I65" s="517"/>
      <c r="J65" s="517"/>
      <c r="K65" s="517"/>
      <c r="L65" s="517"/>
      <c r="M65" s="518"/>
      <c r="N65" s="1262"/>
      <c r="O65" s="1262"/>
      <c r="P65" s="541"/>
      <c r="Q65" s="542"/>
    </row>
    <row r="66" spans="1:17" s="451" customFormat="1" ht="15.75" thickTop="1">
      <c r="A66" s="535"/>
      <c r="B66" s="520">
        <f>B13</f>
        <v>111</v>
      </c>
      <c r="C66" s="536"/>
      <c r="D66" s="536"/>
      <c r="E66" s="536"/>
      <c r="F66" s="536"/>
      <c r="G66" s="536"/>
      <c r="H66" s="537"/>
      <c r="I66" s="537"/>
      <c r="J66" s="537"/>
      <c r="K66" s="537"/>
      <c r="L66" s="538"/>
      <c r="M66" s="539"/>
      <c r="N66" s="1263"/>
      <c r="O66" s="1263"/>
      <c r="P66" s="450"/>
      <c r="Q66" s="544"/>
    </row>
    <row r="67" spans="1:17" s="451" customFormat="1" ht="15.75" thickBot="1">
      <c r="A67" s="535"/>
      <c r="B67" s="525"/>
      <c r="C67" s="543"/>
      <c r="D67" s="517"/>
      <c r="E67" s="517"/>
      <c r="F67" s="517"/>
      <c r="G67" s="543"/>
      <c r="H67" s="545"/>
      <c r="I67" s="545"/>
      <c r="J67" s="545"/>
      <c r="K67" s="545"/>
      <c r="L67" s="545"/>
      <c r="M67" s="546"/>
      <c r="N67" s="1263"/>
      <c r="O67" s="1263"/>
      <c r="P67" s="541"/>
      <c r="Q67" s="542"/>
    </row>
    <row r="68" spans="1:17" s="451" customFormat="1" ht="15.75" thickTop="1">
      <c r="A68" s="535"/>
      <c r="B68" s="528">
        <f>B14</f>
        <v>111</v>
      </c>
      <c r="C68" s="503"/>
      <c r="D68" s="503"/>
      <c r="E68" s="503"/>
      <c r="F68" s="503"/>
      <c r="G68" s="503"/>
      <c r="H68" s="547"/>
      <c r="I68" s="547"/>
      <c r="J68" s="547"/>
      <c r="K68" s="547"/>
      <c r="L68" s="548"/>
      <c r="M68" s="549"/>
      <c r="N68" s="1263"/>
      <c r="O68" s="1263"/>
      <c r="P68" s="550"/>
      <c r="Q68" s="542"/>
    </row>
    <row r="69" spans="1:17" s="451" customFormat="1" ht="15.75" thickBot="1">
      <c r="A69" s="551"/>
      <c r="B69" s="552"/>
      <c r="C69" s="553"/>
      <c r="D69" s="553"/>
      <c r="E69" s="553"/>
      <c r="F69" s="553"/>
      <c r="G69" s="553"/>
      <c r="H69" s="554"/>
      <c r="I69" s="554"/>
      <c r="J69" s="554"/>
      <c r="K69" s="554"/>
      <c r="L69" s="554"/>
      <c r="M69" s="555"/>
      <c r="N69" s="1263"/>
      <c r="O69" s="1263"/>
      <c r="P69" s="541"/>
      <c r="Q69" s="542"/>
    </row>
    <row r="70" spans="1:17">
      <c r="A70" s="507" t="s">
        <v>2353</v>
      </c>
      <c r="B70" s="508" t="s">
        <v>2493</v>
      </c>
      <c r="C70" s="556" t="s">
        <v>2392</v>
      </c>
      <c r="D70" s="556" t="s">
        <v>2393</v>
      </c>
      <c r="E70" s="556" t="s">
        <v>2394</v>
      </c>
      <c r="F70" s="556" t="s">
        <v>2395</v>
      </c>
      <c r="G70" s="556" t="s">
        <v>2396</v>
      </c>
      <c r="H70" s="509"/>
      <c r="I70" s="509"/>
      <c r="J70" s="509"/>
      <c r="K70" s="557"/>
      <c r="L70" s="558"/>
      <c r="M70" s="559"/>
      <c r="N70" s="1261"/>
      <c r="O70" s="1261"/>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75" thickTop="1">
      <c r="A72" s="515"/>
      <c r="B72" s="520" t="s">
        <v>2397</v>
      </c>
      <c r="C72" s="561" t="s">
        <v>2392</v>
      </c>
      <c r="D72" s="561" t="s">
        <v>2393</v>
      </c>
      <c r="E72" s="561" t="s">
        <v>2394</v>
      </c>
      <c r="F72" s="561" t="s">
        <v>2395</v>
      </c>
      <c r="G72" s="561" t="s">
        <v>2396</v>
      </c>
      <c r="H72" s="521"/>
      <c r="I72" s="521"/>
      <c r="J72" s="521"/>
      <c r="K72" s="522"/>
      <c r="L72" s="523"/>
      <c r="M72" s="524"/>
      <c r="N72" s="1261"/>
      <c r="O72" s="1261"/>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75" thickTop="1">
      <c r="A74" s="515"/>
      <c r="B74" s="520" t="s">
        <v>2398</v>
      </c>
      <c r="C74" s="561" t="s">
        <v>2392</v>
      </c>
      <c r="D74" s="561" t="s">
        <v>2393</v>
      </c>
      <c r="E74" s="561" t="s">
        <v>2394</v>
      </c>
      <c r="F74" s="561" t="s">
        <v>2395</v>
      </c>
      <c r="G74" s="561" t="s">
        <v>2396</v>
      </c>
      <c r="H74" s="521"/>
      <c r="I74" s="521"/>
      <c r="J74" s="521"/>
      <c r="K74" s="522"/>
      <c r="L74" s="523"/>
      <c r="M74" s="524"/>
      <c r="N74" s="1261"/>
      <c r="O74" s="1261"/>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75" thickTop="1">
      <c r="A76" s="515"/>
      <c r="B76" s="528" t="s">
        <v>2470</v>
      </c>
      <c r="C76" s="521" t="s">
        <v>2399</v>
      </c>
      <c r="D76" s="521" t="s">
        <v>2400</v>
      </c>
      <c r="E76" s="521" t="s">
        <v>2401</v>
      </c>
      <c r="F76" s="521" t="s">
        <v>2402</v>
      </c>
      <c r="G76" s="521" t="s">
        <v>2403</v>
      </c>
      <c r="H76" s="521"/>
      <c r="I76" s="521"/>
      <c r="J76" s="521"/>
      <c r="K76" s="521"/>
      <c r="L76" s="521"/>
      <c r="M76" s="1461"/>
      <c r="N76" s="1262"/>
      <c r="O76" s="1262"/>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75" thickTop="1">
      <c r="A78" s="515"/>
      <c r="B78" s="520" t="s">
        <v>2480</v>
      </c>
      <c r="C78" s="561" t="s">
        <v>2392</v>
      </c>
      <c r="D78" s="561" t="s">
        <v>2393</v>
      </c>
      <c r="E78" s="561" t="s">
        <v>2394</v>
      </c>
      <c r="F78" s="561" t="s">
        <v>2395</v>
      </c>
      <c r="G78" s="561" t="s">
        <v>2396</v>
      </c>
      <c r="H78" s="521"/>
      <c r="I78" s="521"/>
      <c r="J78" s="521"/>
      <c r="K78" s="522"/>
      <c r="L78" s="523"/>
      <c r="M78" s="524"/>
      <c r="N78" s="1261"/>
      <c r="O78" s="1261"/>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5.75" thickTop="1">
      <c r="A80" s="562"/>
      <c r="B80" s="520">
        <f>B25</f>
        <v>111</v>
      </c>
      <c r="C80" s="536"/>
      <c r="D80" s="536"/>
      <c r="E80" s="536"/>
      <c r="F80" s="536"/>
      <c r="G80" s="536"/>
      <c r="H80" s="536"/>
      <c r="I80" s="536"/>
      <c r="J80" s="536"/>
      <c r="K80" s="536"/>
      <c r="L80" s="563"/>
      <c r="M80" s="564"/>
      <c r="N80" s="1260"/>
      <c r="O80" s="1260"/>
      <c r="P80" s="22"/>
      <c r="Q80" s="484"/>
    </row>
    <row r="81" spans="1:17" s="35" customFormat="1" ht="15.75" thickBot="1">
      <c r="A81" s="562"/>
      <c r="B81" s="525"/>
      <c r="C81" s="543"/>
      <c r="D81" s="517"/>
      <c r="E81" s="517"/>
      <c r="F81" s="517"/>
      <c r="G81" s="517"/>
      <c r="H81" s="517"/>
      <c r="I81" s="517"/>
      <c r="J81" s="517"/>
      <c r="K81" s="517"/>
      <c r="L81" s="517"/>
      <c r="M81" s="518"/>
      <c r="N81" s="1262"/>
      <c r="O81" s="1262"/>
      <c r="P81" s="22"/>
      <c r="Q81" s="484"/>
    </row>
    <row r="82" spans="1:17" s="35" customFormat="1" ht="15.75" thickTop="1">
      <c r="A82" s="562"/>
      <c r="B82" s="520">
        <f>B26</f>
        <v>111</v>
      </c>
      <c r="C82" s="536"/>
      <c r="D82" s="536"/>
      <c r="E82" s="536"/>
      <c r="F82" s="536"/>
      <c r="G82" s="536"/>
      <c r="H82" s="536"/>
      <c r="I82" s="536"/>
      <c r="J82" s="536"/>
      <c r="K82" s="536"/>
      <c r="L82" s="563"/>
      <c r="M82" s="564"/>
      <c r="N82" s="1260"/>
      <c r="O82" s="1260"/>
      <c r="P82" s="22"/>
      <c r="Q82" s="484"/>
    </row>
    <row r="83" spans="1:17" s="35" customFormat="1" ht="15.75" thickBot="1">
      <c r="A83" s="562"/>
      <c r="B83" s="525"/>
      <c r="C83" s="543"/>
      <c r="D83" s="517"/>
      <c r="E83" s="517"/>
      <c r="F83" s="517"/>
      <c r="G83" s="517"/>
      <c r="H83" s="517"/>
      <c r="I83" s="517"/>
      <c r="J83" s="517"/>
      <c r="K83" s="517"/>
      <c r="L83" s="517"/>
      <c r="M83" s="518"/>
      <c r="N83" s="1262"/>
      <c r="O83" s="1262"/>
      <c r="P83" s="22"/>
      <c r="Q83" s="484"/>
    </row>
    <row r="84" spans="1:17" s="451" customFormat="1" ht="15.75" thickTop="1">
      <c r="A84" s="535"/>
      <c r="B84" s="520">
        <f>B27</f>
        <v>111</v>
      </c>
      <c r="C84" s="536"/>
      <c r="D84" s="536"/>
      <c r="E84" s="536"/>
      <c r="F84" s="536"/>
      <c r="G84" s="536"/>
      <c r="H84" s="536"/>
      <c r="I84" s="536"/>
      <c r="J84" s="536"/>
      <c r="K84" s="536"/>
      <c r="L84" s="563"/>
      <c r="M84" s="564"/>
      <c r="N84" s="1263"/>
      <c r="O84" s="1263"/>
      <c r="P84" s="541"/>
      <c r="Q84" s="542"/>
    </row>
    <row r="85" spans="1:17" s="451" customFormat="1" ht="15.75" thickBot="1">
      <c r="A85" s="535"/>
      <c r="B85" s="525"/>
      <c r="C85" s="543"/>
      <c r="D85" s="517"/>
      <c r="E85" s="517"/>
      <c r="F85" s="517"/>
      <c r="G85" s="517"/>
      <c r="H85" s="517"/>
      <c r="I85" s="517"/>
      <c r="J85" s="517"/>
      <c r="K85" s="517"/>
      <c r="L85" s="517"/>
      <c r="M85" s="518"/>
      <c r="N85" s="1263"/>
      <c r="O85" s="1263"/>
      <c r="P85" s="541"/>
      <c r="Q85" s="542"/>
    </row>
    <row r="86" spans="1:17" ht="15.75" thickTop="1">
      <c r="A86" s="515"/>
      <c r="B86" s="528">
        <f>B28</f>
        <v>111</v>
      </c>
      <c r="C86" s="503"/>
      <c r="D86" s="503"/>
      <c r="E86" s="503"/>
      <c r="F86" s="503"/>
      <c r="G86" s="570"/>
      <c r="H86" s="570"/>
      <c r="I86" s="570"/>
      <c r="J86" s="570"/>
      <c r="K86" s="571"/>
      <c r="L86" s="572"/>
      <c r="M86" s="573"/>
      <c r="N86" s="1261"/>
      <c r="O86" s="1261"/>
      <c r="P86" s="22"/>
      <c r="Q86" s="484"/>
    </row>
    <row r="87" spans="1:17" ht="15.75" thickBot="1">
      <c r="A87" s="2425"/>
      <c r="B87" s="552"/>
      <c r="C87" s="553"/>
      <c r="D87" s="553"/>
      <c r="E87" s="553"/>
      <c r="F87" s="553"/>
      <c r="G87" s="574"/>
      <c r="H87" s="574"/>
      <c r="I87" s="574"/>
      <c r="J87" s="574"/>
      <c r="K87" s="574"/>
      <c r="L87" s="574"/>
      <c r="M87" s="575"/>
      <c r="N87" s="1262"/>
      <c r="O87" s="1262"/>
      <c r="P87" s="22"/>
      <c r="Q87" s="484"/>
    </row>
    <row r="88" spans="1:17">
      <c r="A88" s="507" t="s">
        <v>2358</v>
      </c>
      <c r="B88" s="508" t="s">
        <v>2407</v>
      </c>
      <c r="C88" s="510"/>
      <c r="D88" s="510"/>
      <c r="E88" s="510"/>
      <c r="F88" s="510"/>
      <c r="G88" s="510"/>
      <c r="H88" s="510"/>
      <c r="I88" s="510"/>
      <c r="J88" s="510"/>
      <c r="K88" s="511"/>
      <c r="L88" s="512"/>
      <c r="M88" s="513"/>
      <c r="N88" s="1261"/>
      <c r="O88" s="1261"/>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7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5.75"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2409</v>
      </c>
      <c r="C93" s="536"/>
      <c r="D93" s="536"/>
      <c r="E93" s="566"/>
      <c r="F93" s="566"/>
      <c r="G93" s="566"/>
      <c r="H93" s="566"/>
      <c r="I93" s="566"/>
      <c r="J93" s="566"/>
      <c r="K93" s="567"/>
      <c r="L93" s="568"/>
      <c r="M93" s="569"/>
      <c r="N93" s="1261"/>
      <c r="O93" s="1261"/>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2411</v>
      </c>
      <c r="C95" s="536"/>
      <c r="D95" s="536"/>
      <c r="E95" s="536"/>
      <c r="F95" s="566"/>
      <c r="G95" s="566"/>
      <c r="H95" s="566"/>
      <c r="I95" s="566"/>
      <c r="J95" s="566"/>
      <c r="K95" s="567"/>
      <c r="L95" s="568"/>
      <c r="M95" s="569"/>
      <c r="N95" s="1261"/>
      <c r="O95" s="1261"/>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2413</v>
      </c>
      <c r="C100" s="536"/>
      <c r="D100" s="536"/>
      <c r="E100" s="536"/>
      <c r="F100" s="536"/>
      <c r="G100" s="536"/>
      <c r="H100" s="566"/>
      <c r="I100" s="566"/>
      <c r="J100" s="566"/>
      <c r="K100" s="567"/>
      <c r="L100" s="568"/>
      <c r="M100" s="569"/>
      <c r="N100" s="1263"/>
      <c r="O100" s="1263"/>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2414</v>
      </c>
      <c r="C102" s="536"/>
      <c r="D102" s="536"/>
      <c r="E102" s="536"/>
      <c r="F102" s="536"/>
      <c r="G102" s="536"/>
      <c r="H102" s="566"/>
      <c r="I102" s="566"/>
      <c r="J102" s="566"/>
      <c r="K102" s="567"/>
      <c r="L102" s="568"/>
      <c r="M102" s="569"/>
      <c r="N102" s="1261"/>
      <c r="O102" s="1261"/>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2416</v>
      </c>
      <c r="C104" s="536"/>
      <c r="D104" s="536"/>
      <c r="E104" s="536"/>
      <c r="F104" s="536"/>
      <c r="G104" s="536"/>
      <c r="H104" s="566"/>
      <c r="I104" s="566"/>
      <c r="J104" s="566"/>
      <c r="K104" s="567"/>
      <c r="L104" s="568"/>
      <c r="M104" s="569"/>
      <c r="N104" s="1261"/>
      <c r="O104" s="1261"/>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15" thickTop="1">
      <c r="A106" s="582"/>
      <c r="B106" s="619" t="s">
        <v>2494</v>
      </c>
      <c r="C106" s="561" t="s">
        <v>2392</v>
      </c>
      <c r="D106" s="561" t="s">
        <v>2393</v>
      </c>
      <c r="E106" s="561" t="s">
        <v>2394</v>
      </c>
      <c r="F106" s="561" t="s">
        <v>2395</v>
      </c>
      <c r="G106" s="561" t="s">
        <v>2396</v>
      </c>
      <c r="H106" s="521"/>
      <c r="I106" s="521"/>
      <c r="J106" s="521"/>
      <c r="K106" s="522"/>
      <c r="L106" s="523"/>
      <c r="M106" s="524"/>
      <c r="N106" s="1262"/>
      <c r="O106" s="1262"/>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5"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5.75" thickBot="1">
      <c r="A109" s="535"/>
      <c r="B109" s="516"/>
      <c r="C109" s="543"/>
      <c r="D109" s="517"/>
      <c r="E109" s="517"/>
      <c r="F109" s="517"/>
      <c r="G109" s="543"/>
      <c r="H109" s="545"/>
      <c r="I109" s="545"/>
      <c r="J109" s="545"/>
      <c r="K109" s="545"/>
      <c r="L109" s="545"/>
      <c r="M109" s="546"/>
      <c r="N109" s="1263"/>
      <c r="O109" s="1263"/>
      <c r="P109" s="541"/>
      <c r="Q109" s="542"/>
    </row>
    <row r="110" spans="1:17" ht="15" thickTop="1">
      <c r="A110" s="582"/>
      <c r="B110" s="520">
        <f>B39</f>
        <v>111</v>
      </c>
      <c r="C110" s="536"/>
      <c r="D110" s="536"/>
      <c r="E110" s="536"/>
      <c r="F110" s="536"/>
      <c r="G110" s="536"/>
      <c r="H110" s="537"/>
      <c r="I110" s="537"/>
      <c r="J110" s="537"/>
      <c r="K110" s="537"/>
      <c r="L110" s="538"/>
      <c r="M110" s="539"/>
      <c r="N110" s="1261"/>
      <c r="O110" s="1261"/>
      <c r="P110" s="22"/>
      <c r="Q110" s="484"/>
    </row>
    <row r="111" spans="1:17" ht="15.75" thickBot="1">
      <c r="A111" s="515"/>
      <c r="B111" s="525"/>
      <c r="C111" s="543"/>
      <c r="D111" s="517"/>
      <c r="E111" s="517"/>
      <c r="F111" s="517"/>
      <c r="G111" s="543"/>
      <c r="H111" s="545"/>
      <c r="I111" s="545"/>
      <c r="J111" s="545"/>
      <c r="K111" s="545"/>
      <c r="L111" s="545"/>
      <c r="M111" s="546"/>
      <c r="N111" s="1262"/>
      <c r="O111" s="1262"/>
      <c r="P111" s="22"/>
      <c r="Q111" s="484"/>
    </row>
    <row r="112" spans="1:17" ht="15" thickTop="1">
      <c r="A112" s="582"/>
      <c r="B112" s="528">
        <f>B40</f>
        <v>111</v>
      </c>
      <c r="C112" s="503"/>
      <c r="D112" s="503"/>
      <c r="E112" s="503"/>
      <c r="F112" s="503"/>
      <c r="G112" s="570"/>
      <c r="H112" s="570"/>
      <c r="I112" s="570"/>
      <c r="J112" s="570"/>
      <c r="K112" s="503"/>
      <c r="L112" s="504"/>
      <c r="M112" s="573"/>
      <c r="N112" s="1261"/>
      <c r="O112" s="1261"/>
      <c r="P112" s="22"/>
      <c r="Q112" s="484"/>
    </row>
    <row r="113" spans="1:17" ht="15.75"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2495</v>
      </c>
      <c r="B1" s="2473"/>
      <c r="C1" s="1723"/>
      <c r="D1" s="1724"/>
      <c r="E1" s="2375"/>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2" t="str">
        <f>'数据-取费表'!B3</f>
        <v>元</v>
      </c>
      <c r="D2" s="2377"/>
      <c r="E2" s="1208" t="e">
        <f ca="1">SUMIF(INDIRECT("'"&amp;G2&amp;"'"&amp;"!A:A"),"承租人权益价值",INDIRECT("'"&amp;G2&amp;"'"&amp;"!c:c"))</f>
        <v>#REF!</v>
      </c>
      <c r="F2" s="2378" t="str">
        <f>C2</f>
        <v>元</v>
      </c>
      <c r="G2" s="2379"/>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1998</v>
      </c>
      <c r="B3" s="592" t="e">
        <f>IF(AND(D2="——",B37="元/平方米"),C39,ROUND(F3*C39/D3,0))</f>
        <v>#DIV/0!</v>
      </c>
      <c r="C3" s="378" t="s">
        <v>2328</v>
      </c>
      <c r="D3" s="377">
        <f>IF(C1="仅计算典型户型",'数据-取费表'!E5,'数据-取费表'!B5)</f>
        <v>353.61</v>
      </c>
      <c r="E3" s="1086" t="s">
        <v>2496</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5">
      <c r="A4" s="379" t="s">
        <v>2329</v>
      </c>
      <c r="B4" s="380"/>
      <c r="C4" s="3038" t="s">
        <v>2330</v>
      </c>
      <c r="D4" s="3039"/>
      <c r="E4" s="3040" t="s">
        <v>2331</v>
      </c>
      <c r="F4" s="3041"/>
      <c r="G4" s="3038" t="s">
        <v>2332</v>
      </c>
      <c r="H4" s="3039"/>
      <c r="I4" s="3038" t="s">
        <v>2333</v>
      </c>
      <c r="J4" s="3039"/>
      <c r="K4" s="593" t="s">
        <v>2334</v>
      </c>
      <c r="L4" s="1508"/>
      <c r="M4" s="424"/>
      <c r="N4" s="424"/>
      <c r="O4" s="424"/>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ht="15">
      <c r="A5" s="382"/>
      <c r="B5" s="383"/>
      <c r="C5" s="3061" t="s">
        <v>2336</v>
      </c>
      <c r="D5" s="3058"/>
      <c r="E5" s="3055" t="s">
        <v>2337</v>
      </c>
      <c r="F5" s="3056"/>
      <c r="G5" s="3061" t="s">
        <v>2338</v>
      </c>
      <c r="H5" s="3058"/>
      <c r="I5" s="3061" t="s">
        <v>2339</v>
      </c>
      <c r="J5" s="3058"/>
      <c r="K5" s="593"/>
      <c r="L5" s="1508"/>
      <c r="M5" s="424"/>
      <c r="N5" s="424"/>
      <c r="O5" s="424"/>
      <c r="P5" s="3044"/>
      <c r="Q5" s="3045"/>
      <c r="R5" s="3050"/>
      <c r="S5" s="3051"/>
      <c r="T5" s="3050"/>
      <c r="U5" s="3051"/>
      <c r="V5" s="3054"/>
      <c r="W5" s="3054"/>
      <c r="X5" s="1892"/>
      <c r="Y5" s="3050"/>
      <c r="Z5" s="3051"/>
      <c r="AA5" s="3036"/>
      <c r="AB5" s="3036"/>
      <c r="AC5" s="3036"/>
    </row>
    <row r="6" spans="1:29" ht="15.75" thickBot="1">
      <c r="A6" s="384"/>
      <c r="B6" s="385"/>
      <c r="C6" s="3059" t="s">
        <v>2340</v>
      </c>
      <c r="D6" s="3060"/>
      <c r="E6" s="3062" t="s">
        <v>2340</v>
      </c>
      <c r="F6" s="3063"/>
      <c r="G6" s="3059" t="s">
        <v>2340</v>
      </c>
      <c r="H6" s="3060"/>
      <c r="I6" s="3059" t="s">
        <v>2340</v>
      </c>
      <c r="J6" s="3060"/>
      <c r="K6" s="593" t="s">
        <v>2341</v>
      </c>
      <c r="L6" s="1508"/>
      <c r="M6" s="424"/>
      <c r="N6" s="424"/>
      <c r="O6" s="424"/>
      <c r="P6" s="3046"/>
      <c r="Q6" s="3047"/>
      <c r="R6" s="3050"/>
      <c r="S6" s="3051"/>
      <c r="T6" s="3052"/>
      <c r="U6" s="3053"/>
      <c r="V6" s="3054"/>
      <c r="W6" s="3054"/>
      <c r="X6" s="1892"/>
      <c r="Y6" s="3052"/>
      <c r="Z6" s="3053"/>
      <c r="AA6" s="3037"/>
      <c r="AB6" s="3037"/>
      <c r="AC6" s="3037"/>
    </row>
    <row r="7" spans="1:29" s="35" customFormat="1" ht="15.75" thickBot="1">
      <c r="A7" s="386" t="s">
        <v>2342</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71" t="s">
        <v>2343</v>
      </c>
      <c r="Q7" s="3073"/>
      <c r="R7" s="747" t="s">
        <v>25</v>
      </c>
      <c r="S7" s="748">
        <f t="shared" ref="S7:S14" si="0">F7</f>
        <v>0</v>
      </c>
      <c r="T7" s="747" t="s">
        <v>25</v>
      </c>
      <c r="U7" s="748">
        <f t="shared" ref="U7:U14" si="1">H7</f>
        <v>0</v>
      </c>
      <c r="V7" s="747" t="s">
        <v>25</v>
      </c>
      <c r="W7" s="748">
        <f t="shared" ref="W7:W14" si="2">J7</f>
        <v>0</v>
      </c>
      <c r="X7" s="749"/>
      <c r="Y7" s="3071" t="s">
        <v>2343</v>
      </c>
      <c r="Z7" s="3072"/>
      <c r="AA7" s="750" t="e">
        <f>D7/F7</f>
        <v>#DIV/0!</v>
      </c>
      <c r="AB7" s="750" t="e">
        <f>D7/H7</f>
        <v>#DIV/0!</v>
      </c>
      <c r="AC7" s="750" t="e">
        <f>D7/J7</f>
        <v>#DIV/0!</v>
      </c>
    </row>
    <row r="8" spans="1:29" s="35" customFormat="1" ht="15.7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71" t="s">
        <v>2346</v>
      </c>
      <c r="Q8" s="3072"/>
      <c r="R8" s="747" t="s">
        <v>25</v>
      </c>
      <c r="S8" s="748">
        <f t="shared" si="0"/>
        <v>0</v>
      </c>
      <c r="T8" s="747" t="s">
        <v>25</v>
      </c>
      <c r="U8" s="748">
        <f t="shared" si="1"/>
        <v>0</v>
      </c>
      <c r="V8" s="747" t="s">
        <v>25</v>
      </c>
      <c r="W8" s="748">
        <f t="shared" si="2"/>
        <v>0</v>
      </c>
      <c r="X8" s="749"/>
      <c r="Y8" s="3071" t="s">
        <v>2346</v>
      </c>
      <c r="Z8" s="3072"/>
      <c r="AA8" s="750" t="e">
        <f t="shared" ref="AA8:AA36" si="3">D8/F8</f>
        <v>#DIV/0!</v>
      </c>
      <c r="AB8" s="750" t="e">
        <f t="shared" ref="AB8:AB36" si="4">D8/H8</f>
        <v>#DIV/0!</v>
      </c>
      <c r="AC8" s="750" t="e">
        <f t="shared" ref="AC8:AC36" si="5">D8/J8</f>
        <v>#DIV/0!</v>
      </c>
    </row>
    <row r="9" spans="1:29" s="35" customFormat="1">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75" t="s">
        <v>2349</v>
      </c>
      <c r="Q9" s="1879" t="str">
        <f t="shared" ref="Q9:Q14" si="6">B9</f>
        <v>用途</v>
      </c>
      <c r="R9" s="747" t="s">
        <v>25</v>
      </c>
      <c r="S9" s="748">
        <f t="shared" si="0"/>
        <v>100</v>
      </c>
      <c r="T9" s="747" t="s">
        <v>25</v>
      </c>
      <c r="U9" s="748">
        <f t="shared" si="1"/>
        <v>100</v>
      </c>
      <c r="V9" s="747" t="s">
        <v>25</v>
      </c>
      <c r="W9" s="748">
        <f t="shared" si="2"/>
        <v>100</v>
      </c>
      <c r="X9" s="749"/>
      <c r="Y9" s="2886" t="s">
        <v>2350</v>
      </c>
      <c r="Z9" s="23" t="str">
        <f t="shared" ref="Z9:Z14" si="7">Q9</f>
        <v>用途</v>
      </c>
      <c r="AA9" s="750">
        <f t="shared" si="3"/>
        <v>1</v>
      </c>
      <c r="AB9" s="750">
        <f t="shared" si="4"/>
        <v>1</v>
      </c>
      <c r="AC9" s="750">
        <f t="shared" si="5"/>
        <v>1</v>
      </c>
    </row>
    <row r="10" spans="1:29" s="406" customFormat="1" ht="27">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75"/>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75"/>
      <c r="Q11" s="1879">
        <f t="shared" si="6"/>
        <v>111</v>
      </c>
      <c r="R11" s="747" t="s">
        <v>25</v>
      </c>
      <c r="S11" s="748">
        <f t="shared" si="0"/>
        <v>100</v>
      </c>
      <c r="T11" s="747" t="s">
        <v>25</v>
      </c>
      <c r="U11" s="748">
        <f t="shared" si="1"/>
        <v>100</v>
      </c>
      <c r="V11" s="747" t="s">
        <v>25</v>
      </c>
      <c r="W11" s="748">
        <f t="shared" si="2"/>
        <v>100</v>
      </c>
      <c r="X11" s="749"/>
      <c r="Y11" s="2886"/>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85.5">
      <c r="A14" s="379" t="s">
        <v>2353</v>
      </c>
      <c r="B14" s="612" t="s">
        <v>2497</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64" t="s">
        <v>2354</v>
      </c>
      <c r="Q14" s="1891" t="str">
        <f t="shared" si="6"/>
        <v>交通便捷度</v>
      </c>
      <c r="R14" s="751" t="s">
        <v>25</v>
      </c>
      <c r="S14" s="752">
        <f t="shared" si="0"/>
        <v>100</v>
      </c>
      <c r="T14" s="751" t="s">
        <v>25</v>
      </c>
      <c r="U14" s="752">
        <f t="shared" si="1"/>
        <v>100</v>
      </c>
      <c r="V14" s="751" t="s">
        <v>25</v>
      </c>
      <c r="W14" s="752">
        <f t="shared" si="2"/>
        <v>100</v>
      </c>
      <c r="X14" s="1892"/>
      <c r="Y14" s="3064" t="s">
        <v>2354</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65"/>
      <c r="Q15" s="1891"/>
      <c r="R15" s="751"/>
      <c r="S15" s="752"/>
      <c r="T15" s="751"/>
      <c r="U15" s="752"/>
      <c r="V15" s="751"/>
      <c r="W15" s="752"/>
      <c r="X15" s="1892"/>
      <c r="Y15" s="3065"/>
      <c r="Z15" s="1894"/>
      <c r="AA15" s="1895">
        <v>1</v>
      </c>
      <c r="AB15" s="1895">
        <v>1</v>
      </c>
      <c r="AC15" s="1895">
        <v>1</v>
      </c>
    </row>
    <row r="16" spans="1:29" ht="42.75">
      <c r="A16" s="382"/>
      <c r="B16" s="614" t="s">
        <v>2469</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65"/>
      <c r="Q16" s="1891" t="str">
        <f>B16</f>
        <v>公共配套设施</v>
      </c>
      <c r="R16" s="751" t="s">
        <v>25</v>
      </c>
      <c r="S16" s="752">
        <f>F16</f>
        <v>100</v>
      </c>
      <c r="T16" s="751" t="s">
        <v>25</v>
      </c>
      <c r="U16" s="752">
        <f>H16</f>
        <v>100</v>
      </c>
      <c r="V16" s="751" t="s">
        <v>25</v>
      </c>
      <c r="W16" s="752">
        <f>J16</f>
        <v>100</v>
      </c>
      <c r="X16" s="1892"/>
      <c r="Y16" s="3065"/>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65"/>
      <c r="Q17" s="1891"/>
      <c r="R17" s="751"/>
      <c r="S17" s="752"/>
      <c r="T17" s="751"/>
      <c r="U17" s="752"/>
      <c r="V17" s="751"/>
      <c r="W17" s="752"/>
      <c r="X17" s="1892"/>
      <c r="Y17" s="3065"/>
      <c r="Z17" s="1894"/>
      <c r="AA17" s="1895">
        <v>1</v>
      </c>
      <c r="AB17" s="1895">
        <v>1</v>
      </c>
      <c r="AC17" s="1895">
        <v>1</v>
      </c>
    </row>
    <row r="18" spans="1:29" ht="28.5">
      <c r="A18" s="382"/>
      <c r="B18" s="616" t="s">
        <v>2470</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65"/>
      <c r="Q18" s="1891" t="str">
        <f>B18</f>
        <v>基础设施水平</v>
      </c>
      <c r="R18" s="751" t="s">
        <v>25</v>
      </c>
      <c r="S18" s="752">
        <f>F18</f>
        <v>100</v>
      </c>
      <c r="T18" s="751" t="s">
        <v>25</v>
      </c>
      <c r="U18" s="752">
        <f>H18</f>
        <v>100</v>
      </c>
      <c r="V18" s="751" t="s">
        <v>25</v>
      </c>
      <c r="W18" s="752">
        <f>J18</f>
        <v>100</v>
      </c>
      <c r="X18" s="1892"/>
      <c r="Y18" s="3065"/>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65"/>
      <c r="Q19" s="1891"/>
      <c r="R19" s="751"/>
      <c r="S19" s="752"/>
      <c r="T19" s="751"/>
      <c r="U19" s="752"/>
      <c r="V19" s="751"/>
      <c r="W19" s="752"/>
      <c r="X19" s="1892"/>
      <c r="Y19" s="3065"/>
      <c r="Z19" s="1894"/>
      <c r="AA19" s="1895">
        <v>1</v>
      </c>
      <c r="AB19" s="1895">
        <v>1</v>
      </c>
      <c r="AC19" s="1895">
        <v>1</v>
      </c>
    </row>
    <row r="20" spans="1:29" ht="57">
      <c r="A20" s="382"/>
      <c r="B20" s="614" t="s">
        <v>2498</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65"/>
      <c r="Q20" s="1891" t="str">
        <f>B20</f>
        <v>自然及人文环境</v>
      </c>
      <c r="R20" s="751" t="s">
        <v>25</v>
      </c>
      <c r="S20" s="752">
        <f>F20</f>
        <v>100</v>
      </c>
      <c r="T20" s="751" t="s">
        <v>25</v>
      </c>
      <c r="U20" s="752">
        <f>H20</f>
        <v>100</v>
      </c>
      <c r="V20" s="751" t="s">
        <v>25</v>
      </c>
      <c r="W20" s="752">
        <f>J20</f>
        <v>100</v>
      </c>
      <c r="X20" s="1892"/>
      <c r="Y20" s="3065"/>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65"/>
      <c r="Q21" s="1891"/>
      <c r="R21" s="751"/>
      <c r="S21" s="752"/>
      <c r="T21" s="751"/>
      <c r="U21" s="752"/>
      <c r="V21" s="751"/>
      <c r="W21" s="752"/>
      <c r="X21" s="1892"/>
      <c r="Y21" s="3065"/>
      <c r="Z21" s="1894"/>
      <c r="AA21" s="1895">
        <v>1</v>
      </c>
      <c r="AB21" s="1895">
        <v>1</v>
      </c>
      <c r="AC21" s="1895">
        <v>1</v>
      </c>
    </row>
    <row r="22" spans="1:29" ht="15">
      <c r="A22" s="382"/>
      <c r="B22" s="614" t="s">
        <v>2499</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65"/>
      <c r="Q22" s="1891" t="str">
        <f>B22</f>
        <v>楼层</v>
      </c>
      <c r="R22" s="751" t="s">
        <v>25</v>
      </c>
      <c r="S22" s="752">
        <f>F22</f>
        <v>100</v>
      </c>
      <c r="T22" s="751" t="s">
        <v>25</v>
      </c>
      <c r="U22" s="752">
        <f>H22</f>
        <v>100</v>
      </c>
      <c r="V22" s="751" t="s">
        <v>25</v>
      </c>
      <c r="W22" s="752">
        <f>J22</f>
        <v>100</v>
      </c>
      <c r="X22" s="1892"/>
      <c r="Y22" s="3065"/>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65"/>
      <c r="Q23" s="1891">
        <f>B23</f>
        <v>111</v>
      </c>
      <c r="R23" s="751" t="s">
        <v>25</v>
      </c>
      <c r="S23" s="752">
        <f>F23</f>
        <v>100</v>
      </c>
      <c r="T23" s="751" t="s">
        <v>25</v>
      </c>
      <c r="U23" s="752">
        <f>H23</f>
        <v>100</v>
      </c>
      <c r="V23" s="751" t="s">
        <v>25</v>
      </c>
      <c r="W23" s="752">
        <f>J23</f>
        <v>100</v>
      </c>
      <c r="X23" s="1892"/>
      <c r="Y23" s="3065"/>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65"/>
      <c r="Q24" s="1891">
        <f t="shared" ref="Q24:Q36" si="11">B24</f>
        <v>111</v>
      </c>
      <c r="R24" s="751" t="s">
        <v>25</v>
      </c>
      <c r="S24" s="752">
        <f>F24</f>
        <v>100</v>
      </c>
      <c r="T24" s="751" t="s">
        <v>25</v>
      </c>
      <c r="U24" s="752">
        <f>H24</f>
        <v>100</v>
      </c>
      <c r="V24" s="751" t="s">
        <v>25</v>
      </c>
      <c r="W24" s="752">
        <f>J24</f>
        <v>100</v>
      </c>
      <c r="X24" s="1892"/>
      <c r="Y24" s="3065"/>
      <c r="Z24" s="1894">
        <f>Q24</f>
        <v>111</v>
      </c>
      <c r="AA24" s="1895">
        <f t="shared" si="3"/>
        <v>1</v>
      </c>
      <c r="AB24" s="1895">
        <f t="shared" si="4"/>
        <v>1</v>
      </c>
      <c r="AC24" s="1895">
        <f t="shared" si="5"/>
        <v>1</v>
      </c>
    </row>
    <row r="25" spans="1:29" s="35" customFormat="1" ht="15.75"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65"/>
      <c r="Q25" s="1879">
        <f t="shared" si="11"/>
        <v>111</v>
      </c>
      <c r="R25" s="747" t="s">
        <v>25</v>
      </c>
      <c r="S25" s="748">
        <f>F25</f>
        <v>100</v>
      </c>
      <c r="T25" s="747" t="s">
        <v>25</v>
      </c>
      <c r="U25" s="748">
        <f>H25</f>
        <v>100</v>
      </c>
      <c r="V25" s="747" t="s">
        <v>25</v>
      </c>
      <c r="W25" s="748">
        <f>J25</f>
        <v>100</v>
      </c>
      <c r="X25" s="749"/>
      <c r="Y25" s="3065"/>
      <c r="Z25" s="23">
        <f>Q25</f>
        <v>111</v>
      </c>
      <c r="AA25" s="1895">
        <f>D25/F25</f>
        <v>1</v>
      </c>
      <c r="AB25" s="1895">
        <f>D25/H25</f>
        <v>1</v>
      </c>
      <c r="AC25" s="1895">
        <f>D25/J25</f>
        <v>1</v>
      </c>
    </row>
    <row r="26" spans="1:29" ht="28.5">
      <c r="A26" s="634" t="s">
        <v>2358</v>
      </c>
      <c r="B26" s="27" t="s">
        <v>2500</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1" t="s">
        <v>2360</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69" t="s">
        <v>2360</v>
      </c>
      <c r="Z26" s="1894" t="str">
        <f t="shared" ref="Z26:Z36" si="15">Q26</f>
        <v>配套类型</v>
      </c>
      <c r="AA26" s="1895">
        <f t="shared" si="3"/>
        <v>1</v>
      </c>
      <c r="AB26" s="1895">
        <f t="shared" si="4"/>
        <v>1</v>
      </c>
      <c r="AC26" s="1895">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69"/>
      <c r="Q27" s="753" t="str">
        <f t="shared" si="11"/>
        <v>项目停车位配比</v>
      </c>
      <c r="R27" s="754" t="s">
        <v>25</v>
      </c>
      <c r="S27" s="755">
        <f t="shared" si="12"/>
        <v>100</v>
      </c>
      <c r="T27" s="754" t="s">
        <v>25</v>
      </c>
      <c r="U27" s="755">
        <f t="shared" si="13"/>
        <v>100</v>
      </c>
      <c r="V27" s="754" t="s">
        <v>25</v>
      </c>
      <c r="W27" s="755">
        <f t="shared" si="14"/>
        <v>100</v>
      </c>
      <c r="X27" s="756"/>
      <c r="Y27" s="3069"/>
      <c r="Z27" s="757" t="str">
        <f t="shared" si="15"/>
        <v>项目停车位配比</v>
      </c>
      <c r="AA27" s="1895">
        <f t="shared" si="3"/>
        <v>1</v>
      </c>
      <c r="AB27" s="1895">
        <f t="shared" si="4"/>
        <v>1</v>
      </c>
      <c r="AC27" s="1895">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69"/>
      <c r="Q28" s="1891" t="str">
        <f t="shared" si="11"/>
        <v>公共部分装修</v>
      </c>
      <c r="R28" s="751" t="s">
        <v>25</v>
      </c>
      <c r="S28" s="752">
        <f t="shared" si="12"/>
        <v>100</v>
      </c>
      <c r="T28" s="751" t="s">
        <v>25</v>
      </c>
      <c r="U28" s="752">
        <f t="shared" si="13"/>
        <v>100</v>
      </c>
      <c r="V28" s="751" t="s">
        <v>25</v>
      </c>
      <c r="W28" s="752">
        <f t="shared" si="14"/>
        <v>100</v>
      </c>
      <c r="X28" s="1892"/>
      <c r="Y28" s="3069"/>
      <c r="Z28" s="1894" t="str">
        <f t="shared" si="15"/>
        <v>公共部分装修</v>
      </c>
      <c r="AA28" s="1895">
        <f t="shared" si="3"/>
        <v>1</v>
      </c>
      <c r="AB28" s="1895">
        <f t="shared" si="4"/>
        <v>1</v>
      </c>
      <c r="AC28" s="1895">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69"/>
      <c r="Q29" s="1891" t="str">
        <f t="shared" si="11"/>
        <v>成新率</v>
      </c>
      <c r="R29" s="751" t="s">
        <v>25</v>
      </c>
      <c r="S29" s="752" t="e">
        <f t="shared" si="12"/>
        <v>#N/A</v>
      </c>
      <c r="T29" s="751" t="s">
        <v>25</v>
      </c>
      <c r="U29" s="752" t="e">
        <f t="shared" si="13"/>
        <v>#N/A</v>
      </c>
      <c r="V29" s="751" t="s">
        <v>25</v>
      </c>
      <c r="W29" s="752" t="e">
        <f t="shared" si="14"/>
        <v>#N/A</v>
      </c>
      <c r="X29" s="1892"/>
      <c r="Y29" s="3069"/>
      <c r="Z29" s="1894" t="str">
        <f t="shared" si="15"/>
        <v>成新率</v>
      </c>
      <c r="AA29" s="1895" t="e">
        <f t="shared" si="3"/>
        <v>#N/A</v>
      </c>
      <c r="AB29" s="1895" t="e">
        <f t="shared" si="4"/>
        <v>#N/A</v>
      </c>
      <c r="AC29" s="1895"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69"/>
      <c r="Q30" s="1891" t="str">
        <f t="shared" si="11"/>
        <v>物业等级</v>
      </c>
      <c r="R30" s="751" t="s">
        <v>25</v>
      </c>
      <c r="S30" s="752">
        <f t="shared" si="12"/>
        <v>100</v>
      </c>
      <c r="T30" s="751" t="s">
        <v>25</v>
      </c>
      <c r="U30" s="752">
        <f t="shared" si="13"/>
        <v>100</v>
      </c>
      <c r="V30" s="751" t="s">
        <v>25</v>
      </c>
      <c r="W30" s="752">
        <f t="shared" si="14"/>
        <v>100</v>
      </c>
      <c r="X30" s="1892"/>
      <c r="Y30" s="3069"/>
      <c r="Z30" s="1894" t="str">
        <f t="shared" si="15"/>
        <v>物业等级</v>
      </c>
      <c r="AA30" s="1895">
        <f t="shared" si="3"/>
        <v>1</v>
      </c>
      <c r="AB30" s="1895">
        <f t="shared" si="4"/>
        <v>1</v>
      </c>
      <c r="AC30" s="1895">
        <f t="shared" si="5"/>
        <v>1</v>
      </c>
    </row>
    <row r="31" spans="1:29" s="35"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69"/>
      <c r="Q31" s="1879" t="str">
        <f t="shared" si="11"/>
        <v>停车位面积</v>
      </c>
      <c r="R31" s="747" t="s">
        <v>25</v>
      </c>
      <c r="S31" s="748" t="e">
        <f t="shared" si="12"/>
        <v>#N/A</v>
      </c>
      <c r="T31" s="747" t="s">
        <v>25</v>
      </c>
      <c r="U31" s="748" t="e">
        <f t="shared" si="13"/>
        <v>#N/A</v>
      </c>
      <c r="V31" s="747" t="s">
        <v>25</v>
      </c>
      <c r="W31" s="748" t="e">
        <f t="shared" si="14"/>
        <v>#N/A</v>
      </c>
      <c r="X31" s="749"/>
      <c r="Y31" s="3069"/>
      <c r="Z31" s="23" t="str">
        <f t="shared" si="15"/>
        <v>停车位面积</v>
      </c>
      <c r="AA31" s="750" t="e">
        <f t="shared" si="3"/>
        <v>#N/A</v>
      </c>
      <c r="AB31" s="750" t="e">
        <f t="shared" si="4"/>
        <v>#N/A</v>
      </c>
      <c r="AC31" s="750"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69" t="s">
        <v>2360</v>
      </c>
      <c r="Q32" s="1891" t="str">
        <f t="shared" si="11"/>
        <v>车位类型</v>
      </c>
      <c r="R32" s="751" t="s">
        <v>25</v>
      </c>
      <c r="S32" s="752">
        <f t="shared" si="12"/>
        <v>100</v>
      </c>
      <c r="T32" s="751" t="s">
        <v>25</v>
      </c>
      <c r="U32" s="752">
        <f t="shared" si="13"/>
        <v>100</v>
      </c>
      <c r="V32" s="751" t="s">
        <v>25</v>
      </c>
      <c r="W32" s="752">
        <f t="shared" si="14"/>
        <v>100</v>
      </c>
      <c r="X32" s="1892"/>
      <c r="Y32" s="3069" t="s">
        <v>2360</v>
      </c>
      <c r="Z32" s="1894" t="str">
        <f t="shared" si="15"/>
        <v>车位类型</v>
      </c>
      <c r="AA32" s="1895">
        <f t="shared" si="3"/>
        <v>1</v>
      </c>
      <c r="AB32" s="1895">
        <f t="shared" si="4"/>
        <v>1</v>
      </c>
      <c r="AC32" s="1895">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69"/>
      <c r="Q33" s="1891" t="str">
        <f t="shared" si="11"/>
        <v>是否直接入户</v>
      </c>
      <c r="R33" s="751" t="s">
        <v>25</v>
      </c>
      <c r="S33" s="752">
        <f t="shared" si="12"/>
        <v>100</v>
      </c>
      <c r="T33" s="751" t="s">
        <v>25</v>
      </c>
      <c r="U33" s="752">
        <f t="shared" si="13"/>
        <v>100</v>
      </c>
      <c r="V33" s="751" t="s">
        <v>25</v>
      </c>
      <c r="W33" s="752">
        <f t="shared" si="14"/>
        <v>100</v>
      </c>
      <c r="X33" s="1892"/>
      <c r="Y33" s="3069"/>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69"/>
      <c r="Q34" s="1891">
        <f t="shared" si="11"/>
        <v>111</v>
      </c>
      <c r="R34" s="751" t="s">
        <v>25</v>
      </c>
      <c r="S34" s="752">
        <f t="shared" si="12"/>
        <v>100</v>
      </c>
      <c r="T34" s="751" t="s">
        <v>25</v>
      </c>
      <c r="U34" s="752">
        <f t="shared" si="13"/>
        <v>100</v>
      </c>
      <c r="V34" s="751" t="s">
        <v>25</v>
      </c>
      <c r="W34" s="752">
        <f t="shared" si="14"/>
        <v>100</v>
      </c>
      <c r="X34" s="1892"/>
      <c r="Y34" s="3069"/>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69"/>
      <c r="Q35" s="753">
        <f t="shared" si="11"/>
        <v>111</v>
      </c>
      <c r="R35" s="754" t="s">
        <v>25</v>
      </c>
      <c r="S35" s="755">
        <f t="shared" si="12"/>
        <v>100</v>
      </c>
      <c r="T35" s="754" t="s">
        <v>25</v>
      </c>
      <c r="U35" s="755">
        <f t="shared" si="13"/>
        <v>100</v>
      </c>
      <c r="V35" s="754" t="s">
        <v>25</v>
      </c>
      <c r="W35" s="755">
        <f t="shared" si="14"/>
        <v>100</v>
      </c>
      <c r="X35" s="756"/>
      <c r="Y35" s="3069"/>
      <c r="Z35" s="757">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69"/>
      <c r="Q36" s="1891">
        <f t="shared" si="11"/>
        <v>111</v>
      </c>
      <c r="R36" s="751" t="s">
        <v>25</v>
      </c>
      <c r="S36" s="752">
        <f t="shared" si="12"/>
        <v>100</v>
      </c>
      <c r="T36" s="751" t="s">
        <v>25</v>
      </c>
      <c r="U36" s="752">
        <f t="shared" si="13"/>
        <v>100</v>
      </c>
      <c r="V36" s="751" t="s">
        <v>25</v>
      </c>
      <c r="W36" s="752">
        <f t="shared" si="14"/>
        <v>100</v>
      </c>
      <c r="X36" s="1892"/>
      <c r="Y36" s="3069"/>
      <c r="Z36" s="1894">
        <f t="shared" si="15"/>
        <v>111</v>
      </c>
      <c r="AA36" s="1895">
        <f t="shared" si="3"/>
        <v>1</v>
      </c>
      <c r="AB36" s="1895">
        <f t="shared" si="4"/>
        <v>1</v>
      </c>
      <c r="AC36" s="1895">
        <f t="shared" si="5"/>
        <v>1</v>
      </c>
    </row>
    <row r="37" spans="1:29" ht="15">
      <c r="A37" s="459" t="s">
        <v>2508</v>
      </c>
      <c r="B37" s="1087" t="s">
        <v>2509</v>
      </c>
      <c r="C37" s="1496" t="s">
        <v>1</v>
      </c>
      <c r="D37" s="1497"/>
      <c r="E37" s="1498"/>
      <c r="F37" s="1499"/>
      <c r="G37" s="1500"/>
      <c r="H37" s="1501"/>
      <c r="I37" s="1498"/>
      <c r="J37" s="1501"/>
      <c r="K37" s="602"/>
      <c r="L37" s="1519"/>
      <c r="M37" s="736"/>
      <c r="N37" s="424"/>
      <c r="O37" s="736"/>
      <c r="P37" s="3075" t="str">
        <f>A37</f>
        <v>成交单价</v>
      </c>
      <c r="Q37" s="3075"/>
      <c r="R37" s="3076">
        <f>E37</f>
        <v>0</v>
      </c>
      <c r="S37" s="3076"/>
      <c r="T37" s="3076">
        <f>G37</f>
        <v>0</v>
      </c>
      <c r="U37" s="3076"/>
      <c r="V37" s="3076">
        <f>I37</f>
        <v>0</v>
      </c>
      <c r="W37" s="3076"/>
      <c r="X37" s="736"/>
      <c r="Y37" s="758"/>
      <c r="Z37" s="736"/>
      <c r="AA37" s="736"/>
      <c r="AB37" s="736"/>
      <c r="AC37" s="736"/>
    </row>
    <row r="38" spans="1:29" ht="15.75" thickBot="1">
      <c r="A38" s="466" t="s">
        <v>2510</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75" t="str">
        <f>A38</f>
        <v>比较价值</v>
      </c>
      <c r="Q38" s="3075"/>
      <c r="R38" s="3076" t="e">
        <f>IF(E1="售价",ROUND(PRODUCT(R37,AA7:AA36),0),ROUND(PRODUCT(R37,AA7:AA36),1))</f>
        <v>#DIV/0!</v>
      </c>
      <c r="S38" s="3076"/>
      <c r="T38" s="3076" t="e">
        <f>IF(E1="售价",ROUND(PRODUCT(T37,AB7:AB36),0),ROUND(PRODUCT(T37,AB7:AB36),1))</f>
        <v>#DIV/0!</v>
      </c>
      <c r="U38" s="3076"/>
      <c r="V38" s="3076" t="e">
        <f>IF(E1="售价",ROUND(PRODUCT(V37,AC7:AC36),0),ROUND(PRODUCT(V37,AC7:AC36),1))</f>
        <v>#DIV/0!</v>
      </c>
      <c r="W38" s="3076"/>
      <c r="X38" s="736"/>
      <c r="Y38" s="736"/>
      <c r="Z38" s="736"/>
      <c r="AA38" s="736"/>
      <c r="AB38" s="736"/>
      <c r="AC38" s="736"/>
    </row>
    <row r="39" spans="1:29" ht="15.75" thickBot="1">
      <c r="A39" s="472" t="s">
        <v>2511</v>
      </c>
      <c r="B39" s="473"/>
      <c r="C39" s="1506" t="e">
        <f>R39</f>
        <v>#DIV/0!</v>
      </c>
      <c r="D39" s="1506"/>
      <c r="E39" s="1506"/>
      <c r="F39" s="1506"/>
      <c r="G39" s="1506"/>
      <c r="H39" s="1506"/>
      <c r="I39" s="1506"/>
      <c r="J39" s="1506"/>
      <c r="K39" s="604"/>
      <c r="L39" s="1519"/>
      <c r="M39" s="736"/>
      <c r="N39" s="736"/>
      <c r="O39" s="736"/>
      <c r="P39" s="3081" t="str">
        <f>A39</f>
        <v>估价对象XX用房的比较价值（楼面单价，元/平方米）</v>
      </c>
      <c r="Q39" s="3082"/>
      <c r="R39" s="3083" t="e">
        <f>IF(E1="售价",ROUND(AVERAGE(R38:V38),0),ROUND(AVERAGE(R38:V38),1))</f>
        <v>#DIV/0!</v>
      </c>
      <c r="S39" s="3083"/>
      <c r="T39" s="3083"/>
      <c r="U39" s="3083"/>
      <c r="V39" s="3083"/>
      <c r="W39" s="3083"/>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1.75" thickBot="1">
      <c r="A47" s="1523" t="s">
        <v>2515</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5">
      <c r="A48" s="485" t="s">
        <v>2516</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ht="15">
      <c r="A49" s="489"/>
      <c r="B49" s="490"/>
      <c r="C49" s="1671">
        <v>100</v>
      </c>
      <c r="D49" s="492"/>
      <c r="E49" s="492"/>
      <c r="F49" s="492"/>
      <c r="G49" s="492"/>
      <c r="H49" s="492"/>
      <c r="I49" s="492"/>
      <c r="J49" s="492"/>
      <c r="K49" s="492"/>
      <c r="L49" s="492"/>
      <c r="M49" s="493"/>
      <c r="N49" s="492"/>
      <c r="O49" s="494"/>
      <c r="P49" s="484"/>
    </row>
    <row r="50" spans="1:17" s="35" customFormat="1" ht="15.75" thickBot="1">
      <c r="A50" s="495" t="s">
        <v>2380</v>
      </c>
      <c r="B50" s="496"/>
      <c r="C50" s="497"/>
      <c r="D50" s="498"/>
      <c r="E50" s="498"/>
      <c r="F50" s="498"/>
      <c r="G50" s="498"/>
      <c r="H50" s="498"/>
      <c r="I50" s="498"/>
      <c r="J50" s="498"/>
      <c r="K50" s="498"/>
      <c r="L50" s="498"/>
      <c r="M50" s="499"/>
      <c r="N50" s="498"/>
      <c r="O50" s="500"/>
      <c r="P50" s="484"/>
      <c r="Q50" s="484"/>
    </row>
    <row r="51" spans="1:17" s="35" customFormat="1" ht="15">
      <c r="A51" s="501" t="s">
        <v>2344</v>
      </c>
      <c r="B51" s="490"/>
      <c r="C51" s="502" t="s">
        <v>2345</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2383</v>
      </c>
      <c r="B53" s="508" t="s">
        <v>2348</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2470</v>
      </c>
      <c r="C67" s="521" t="s">
        <v>2399</v>
      </c>
      <c r="D67" s="521" t="s">
        <v>2400</v>
      </c>
      <c r="E67" s="521" t="s">
        <v>2401</v>
      </c>
      <c r="F67" s="521" t="s">
        <v>2402</v>
      </c>
      <c r="G67" s="521" t="s">
        <v>2403</v>
      </c>
      <c r="H67" s="521"/>
      <c r="I67" s="521"/>
      <c r="J67" s="521"/>
      <c r="K67" s="521"/>
      <c r="L67" s="521"/>
      <c r="M67" s="1461"/>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2517</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2358</v>
      </c>
      <c r="B79" s="508" t="s">
        <v>2518</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2519</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2495</v>
      </c>
      <c r="B1" s="2473"/>
      <c r="C1" s="1723"/>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IF(D2="——",IF(C2="元",ROUND(C37*D3,0),ROUND(C37*D3/10000,0)),IF(C2="元",ROUND(C37*D3,0),ROUND(C37*D3/10000,0))-E2)</f>
        <v>#DIV/0!</v>
      </c>
      <c r="C2" s="162" t="str">
        <f>'数据-取费表'!B3</f>
        <v>元</v>
      </c>
      <c r="D2" s="2377"/>
      <c r="E2" s="1732" t="e">
        <f ca="1">SUMIF(INDIRECT("'"&amp;G2&amp;"'"&amp;"!A:A"),"承租人权益价值",INDIRECT("'"&amp;G2&amp;"'"&amp;"!c:c"))</f>
        <v>#REF!</v>
      </c>
      <c r="F2" s="2378" t="str">
        <f>C2</f>
        <v>元</v>
      </c>
      <c r="G2" s="2379"/>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 ca="1">ROUND(IF(D2="——",C37,IF(C2="万元",B2*10000/D3,B2/D3)),0)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ht="15">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29" ht="15.7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29" s="35" customFormat="1" ht="15.75" thickBot="1">
      <c r="A7" s="386" t="s">
        <v>2342</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71" t="s">
        <v>2343</v>
      </c>
      <c r="Q7" s="3073"/>
      <c r="R7" s="747" t="s">
        <v>25</v>
      </c>
      <c r="S7" s="748">
        <f t="shared" ref="S7:S14" si="0">F7</f>
        <v>0</v>
      </c>
      <c r="T7" s="747" t="s">
        <v>25</v>
      </c>
      <c r="U7" s="748">
        <f t="shared" ref="U7:U14" si="1">H7</f>
        <v>0</v>
      </c>
      <c r="V7" s="747" t="s">
        <v>25</v>
      </c>
      <c r="W7" s="748">
        <f t="shared" ref="W7:W14" si="2">J7</f>
        <v>0</v>
      </c>
      <c r="X7" s="749"/>
      <c r="Y7" s="3071" t="s">
        <v>2343</v>
      </c>
      <c r="Z7" s="3072"/>
      <c r="AA7" s="750" t="e">
        <f>D7/F7</f>
        <v>#DIV/0!</v>
      </c>
      <c r="AB7" s="750" t="e">
        <f>D7/H7</f>
        <v>#DIV/0!</v>
      </c>
      <c r="AC7" s="750" t="e">
        <f>D7/J7</f>
        <v>#DIV/0!</v>
      </c>
    </row>
    <row r="8" spans="1:29" s="35" customFormat="1" ht="15.7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34" si="3">D8/F8</f>
        <v>#DIV/0!</v>
      </c>
      <c r="AB8" s="750" t="e">
        <f t="shared" ref="AB8:AB34" si="4">D8/H8</f>
        <v>#DIV/0!</v>
      </c>
      <c r="AC8" s="750" t="e">
        <f t="shared" ref="AC8:AC34" si="5">D8/J8</f>
        <v>#DIV/0!</v>
      </c>
    </row>
    <row r="9" spans="1:29" s="35" customFormat="1">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75" t="s">
        <v>2349</v>
      </c>
      <c r="Q9" s="1879" t="str">
        <f t="shared" ref="Q9:Q14" si="6">B9</f>
        <v>用途</v>
      </c>
      <c r="R9" s="747" t="s">
        <v>25</v>
      </c>
      <c r="S9" s="748">
        <f t="shared" si="0"/>
        <v>100</v>
      </c>
      <c r="T9" s="747" t="s">
        <v>25</v>
      </c>
      <c r="U9" s="748">
        <f t="shared" si="1"/>
        <v>100</v>
      </c>
      <c r="V9" s="747" t="s">
        <v>25</v>
      </c>
      <c r="W9" s="748">
        <f t="shared" si="2"/>
        <v>100</v>
      </c>
      <c r="X9" s="749"/>
      <c r="Y9" s="2886" t="s">
        <v>2350</v>
      </c>
      <c r="Z9" s="23" t="str">
        <f t="shared" ref="Z9:Z14" si="7">Q9</f>
        <v>用途</v>
      </c>
      <c r="AA9" s="750">
        <f t="shared" si="3"/>
        <v>1</v>
      </c>
      <c r="AB9" s="750">
        <f t="shared" si="4"/>
        <v>1</v>
      </c>
      <c r="AC9" s="750">
        <f t="shared" si="5"/>
        <v>1</v>
      </c>
    </row>
    <row r="10" spans="1:29" s="406" customFormat="1" ht="27">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75"/>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2392">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75"/>
      <c r="Q11" s="1879">
        <f t="shared" si="6"/>
        <v>111</v>
      </c>
      <c r="R11" s="747" t="s">
        <v>25</v>
      </c>
      <c r="S11" s="748">
        <f t="shared" si="0"/>
        <v>100</v>
      </c>
      <c r="T11" s="747" t="s">
        <v>25</v>
      </c>
      <c r="U11" s="748">
        <f t="shared" si="1"/>
        <v>100</v>
      </c>
      <c r="V11" s="747" t="s">
        <v>25</v>
      </c>
      <c r="W11" s="748">
        <f t="shared" si="2"/>
        <v>100</v>
      </c>
      <c r="X11" s="749"/>
      <c r="Y11" s="2886"/>
      <c r="Z11" s="23">
        <f t="shared" si="7"/>
        <v>111</v>
      </c>
      <c r="AA11" s="750">
        <f t="shared" si="3"/>
        <v>1</v>
      </c>
      <c r="AB11" s="750">
        <f t="shared" si="4"/>
        <v>1</v>
      </c>
      <c r="AC11" s="750">
        <f t="shared" si="5"/>
        <v>1</v>
      </c>
    </row>
    <row r="12" spans="1:29" s="35" customFormat="1" ht="15">
      <c r="A12" s="410"/>
      <c r="B12" s="2392">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75" thickBot="1">
      <c r="A13" s="407"/>
      <c r="B13" s="2392">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85.5">
      <c r="A14" s="418" t="s">
        <v>2353</v>
      </c>
      <c r="B14" s="26" t="s">
        <v>2497</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64" t="s">
        <v>2354</v>
      </c>
      <c r="Q14" s="1891" t="str">
        <f t="shared" si="6"/>
        <v>交通便捷度</v>
      </c>
      <c r="R14" s="751" t="s">
        <v>25</v>
      </c>
      <c r="S14" s="752">
        <f t="shared" si="0"/>
        <v>100</v>
      </c>
      <c r="T14" s="751" t="s">
        <v>25</v>
      </c>
      <c r="U14" s="752">
        <f t="shared" si="1"/>
        <v>100</v>
      </c>
      <c r="V14" s="751" t="s">
        <v>25</v>
      </c>
      <c r="W14" s="752">
        <f t="shared" si="2"/>
        <v>100</v>
      </c>
      <c r="X14" s="1892"/>
      <c r="Y14" s="3064" t="s">
        <v>2354</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65"/>
      <c r="Q15" s="1891"/>
      <c r="R15" s="751"/>
      <c r="S15" s="752"/>
      <c r="T15" s="751"/>
      <c r="U15" s="752"/>
      <c r="V15" s="751"/>
      <c r="W15" s="752"/>
      <c r="X15" s="1892"/>
      <c r="Y15" s="3065"/>
      <c r="Z15" s="1894"/>
      <c r="AA15" s="1895">
        <v>1</v>
      </c>
      <c r="AB15" s="1895">
        <v>1</v>
      </c>
      <c r="AC15" s="1895">
        <v>1</v>
      </c>
    </row>
    <row r="16" spans="1:29" ht="42.75">
      <c r="A16" s="407"/>
      <c r="B16" s="614" t="s">
        <v>2469</v>
      </c>
      <c r="C16" s="2399"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65"/>
      <c r="Q16" s="1891" t="str">
        <f>B16</f>
        <v>公共配套设施</v>
      </c>
      <c r="R16" s="751" t="s">
        <v>25</v>
      </c>
      <c r="S16" s="752">
        <f>F16</f>
        <v>100</v>
      </c>
      <c r="T16" s="751" t="s">
        <v>25</v>
      </c>
      <c r="U16" s="752">
        <f>H16</f>
        <v>100</v>
      </c>
      <c r="V16" s="751" t="s">
        <v>25</v>
      </c>
      <c r="W16" s="752">
        <f>J16</f>
        <v>100</v>
      </c>
      <c r="X16" s="1892"/>
      <c r="Y16" s="3065"/>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65"/>
      <c r="Q17" s="1891"/>
      <c r="R17" s="751"/>
      <c r="S17" s="752"/>
      <c r="T17" s="751"/>
      <c r="U17" s="752"/>
      <c r="V17" s="751"/>
      <c r="W17" s="752"/>
      <c r="X17" s="1892"/>
      <c r="Y17" s="3065"/>
      <c r="Z17" s="1894"/>
      <c r="AA17" s="1895">
        <v>1</v>
      </c>
      <c r="AB17" s="1895">
        <v>1</v>
      </c>
      <c r="AC17" s="1895">
        <v>1</v>
      </c>
    </row>
    <row r="18" spans="1:29" ht="28.5">
      <c r="A18" s="407"/>
      <c r="B18" s="616" t="s">
        <v>2470</v>
      </c>
      <c r="C18" s="2399"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65"/>
      <c r="Q18" s="1891" t="str">
        <f>B18</f>
        <v>基础设施水平</v>
      </c>
      <c r="R18" s="751" t="s">
        <v>25</v>
      </c>
      <c r="S18" s="752">
        <f>F18</f>
        <v>100</v>
      </c>
      <c r="T18" s="751" t="s">
        <v>25</v>
      </c>
      <c r="U18" s="752">
        <f>H18</f>
        <v>100</v>
      </c>
      <c r="V18" s="751" t="s">
        <v>25</v>
      </c>
      <c r="W18" s="752">
        <f>J18</f>
        <v>100</v>
      </c>
      <c r="X18" s="1892"/>
      <c r="Y18" s="3065"/>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65"/>
      <c r="Q19" s="1891"/>
      <c r="R19" s="751"/>
      <c r="S19" s="752"/>
      <c r="T19" s="751"/>
      <c r="U19" s="752"/>
      <c r="V19" s="751"/>
      <c r="W19" s="752"/>
      <c r="X19" s="1892"/>
      <c r="Y19" s="3065"/>
      <c r="Z19" s="1894"/>
      <c r="AA19" s="1895">
        <v>1</v>
      </c>
      <c r="AB19" s="1895">
        <v>1</v>
      </c>
      <c r="AC19" s="1895">
        <v>1</v>
      </c>
    </row>
    <row r="20" spans="1:29" ht="57">
      <c r="A20" s="407"/>
      <c r="B20" s="430" t="s">
        <v>2498</v>
      </c>
      <c r="C20" s="2399"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65"/>
      <c r="Q20" s="1891" t="str">
        <f>B20</f>
        <v>自然及人文环境</v>
      </c>
      <c r="R20" s="751" t="s">
        <v>25</v>
      </c>
      <c r="S20" s="752">
        <f>F20</f>
        <v>100</v>
      </c>
      <c r="T20" s="751" t="s">
        <v>25</v>
      </c>
      <c r="U20" s="752">
        <f>H20</f>
        <v>100</v>
      </c>
      <c r="V20" s="751" t="s">
        <v>25</v>
      </c>
      <c r="W20" s="752">
        <f>J20</f>
        <v>100</v>
      </c>
      <c r="X20" s="1892"/>
      <c r="Y20" s="3065"/>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65"/>
      <c r="Q21" s="1891"/>
      <c r="R21" s="751"/>
      <c r="S21" s="752"/>
      <c r="T21" s="751"/>
      <c r="U21" s="752"/>
      <c r="V21" s="751"/>
      <c r="W21" s="752"/>
      <c r="X21" s="1892"/>
      <c r="Y21" s="3065"/>
      <c r="Z21" s="1894"/>
      <c r="AA21" s="1895">
        <v>1</v>
      </c>
      <c r="AB21" s="1895">
        <v>1</v>
      </c>
      <c r="AC21" s="1895">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65"/>
      <c r="Q22" s="1891" t="str">
        <f>B22</f>
        <v>楼层</v>
      </c>
      <c r="R22" s="751" t="s">
        <v>25</v>
      </c>
      <c r="S22" s="752">
        <f>F22</f>
        <v>100</v>
      </c>
      <c r="T22" s="751" t="s">
        <v>25</v>
      </c>
      <c r="U22" s="752">
        <f>H22</f>
        <v>100</v>
      </c>
      <c r="V22" s="751" t="s">
        <v>25</v>
      </c>
      <c r="W22" s="752">
        <f>J22</f>
        <v>100</v>
      </c>
      <c r="X22" s="1892"/>
      <c r="Y22" s="3065"/>
      <c r="Z22" s="1894" t="str">
        <f>Q22</f>
        <v>楼层</v>
      </c>
      <c r="AA22" s="1895">
        <f t="shared" si="3"/>
        <v>1</v>
      </c>
      <c r="AB22" s="1895">
        <f t="shared" si="4"/>
        <v>1</v>
      </c>
      <c r="AC22" s="1895">
        <f t="shared" si="5"/>
        <v>1</v>
      </c>
    </row>
    <row r="23" spans="1:29" ht="15">
      <c r="A23" s="382"/>
      <c r="B23" s="2392">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65"/>
      <c r="Q23" s="1891">
        <f>B23</f>
        <v>111</v>
      </c>
      <c r="R23" s="751" t="s">
        <v>25</v>
      </c>
      <c r="S23" s="752">
        <f>F23</f>
        <v>100</v>
      </c>
      <c r="T23" s="751" t="s">
        <v>25</v>
      </c>
      <c r="U23" s="752">
        <f>H23</f>
        <v>100</v>
      </c>
      <c r="V23" s="751" t="s">
        <v>25</v>
      </c>
      <c r="W23" s="752">
        <f>J23</f>
        <v>100</v>
      </c>
      <c r="X23" s="1892"/>
      <c r="Y23" s="3065"/>
      <c r="Z23" s="1894">
        <f>Q23</f>
        <v>111</v>
      </c>
      <c r="AA23" s="1895">
        <f t="shared" si="3"/>
        <v>1</v>
      </c>
      <c r="AB23" s="1895">
        <f t="shared" si="4"/>
        <v>1</v>
      </c>
      <c r="AC23" s="1895">
        <f t="shared" si="5"/>
        <v>1</v>
      </c>
    </row>
    <row r="24" spans="1:29" ht="15">
      <c r="A24" s="407"/>
      <c r="B24" s="2392">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65"/>
      <c r="Q24" s="1891">
        <f t="shared" ref="Q24:Q34" si="11">B24</f>
        <v>111</v>
      </c>
      <c r="R24" s="751" t="s">
        <v>25</v>
      </c>
      <c r="S24" s="752">
        <f>F24</f>
        <v>100</v>
      </c>
      <c r="T24" s="751" t="s">
        <v>25</v>
      </c>
      <c r="U24" s="752">
        <f>H24</f>
        <v>100</v>
      </c>
      <c r="V24" s="751" t="s">
        <v>25</v>
      </c>
      <c r="W24" s="752">
        <f>J24</f>
        <v>100</v>
      </c>
      <c r="X24" s="1892"/>
      <c r="Y24" s="3065"/>
      <c r="Z24" s="1894">
        <f>Q24</f>
        <v>111</v>
      </c>
      <c r="AA24" s="1895">
        <f t="shared" si="3"/>
        <v>1</v>
      </c>
      <c r="AB24" s="1895">
        <f t="shared" si="4"/>
        <v>1</v>
      </c>
      <c r="AC24" s="1895">
        <f t="shared" si="5"/>
        <v>1</v>
      </c>
    </row>
    <row r="25" spans="1:29" s="35" customFormat="1" ht="15.75" thickBot="1">
      <c r="A25" s="410"/>
      <c r="B25" s="2392">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65"/>
      <c r="Q25" s="1879">
        <f t="shared" si="11"/>
        <v>111</v>
      </c>
      <c r="R25" s="747" t="s">
        <v>25</v>
      </c>
      <c r="S25" s="748">
        <f>F25</f>
        <v>100</v>
      </c>
      <c r="T25" s="747" t="s">
        <v>25</v>
      </c>
      <c r="U25" s="748">
        <f>H25</f>
        <v>100</v>
      </c>
      <c r="V25" s="747" t="s">
        <v>25</v>
      </c>
      <c r="W25" s="748">
        <f>J25</f>
        <v>100</v>
      </c>
      <c r="X25" s="749"/>
      <c r="Y25" s="3065"/>
      <c r="Z25" s="23">
        <f>Q25</f>
        <v>111</v>
      </c>
      <c r="AA25" s="1895">
        <f>D25/F25</f>
        <v>1</v>
      </c>
      <c r="AB25" s="1895">
        <f>D25/H25</f>
        <v>1</v>
      </c>
      <c r="AC25" s="1895">
        <f>D25/J25</f>
        <v>1</v>
      </c>
    </row>
    <row r="26" spans="1:29" ht="28.5">
      <c r="A26" s="446" t="s">
        <v>2358</v>
      </c>
      <c r="B26" s="28" t="s">
        <v>2502</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1" t="s">
        <v>2360</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69" t="s">
        <v>2360</v>
      </c>
      <c r="Z26" s="1894" t="str">
        <f t="shared" ref="Z26:Z34" si="15">Q26</f>
        <v>公共部分装修</v>
      </c>
      <c r="AA26" s="1895">
        <f t="shared" si="3"/>
        <v>1</v>
      </c>
      <c r="AB26" s="1895">
        <f t="shared" si="4"/>
        <v>1</v>
      </c>
      <c r="AC26" s="1895">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69"/>
      <c r="Q27" s="753" t="str">
        <f t="shared" si="11"/>
        <v>成新率</v>
      </c>
      <c r="R27" s="754" t="s">
        <v>25</v>
      </c>
      <c r="S27" s="755" t="e">
        <f t="shared" si="12"/>
        <v>#N/A</v>
      </c>
      <c r="T27" s="754" t="s">
        <v>25</v>
      </c>
      <c r="U27" s="755" t="e">
        <f t="shared" si="13"/>
        <v>#N/A</v>
      </c>
      <c r="V27" s="754" t="s">
        <v>25</v>
      </c>
      <c r="W27" s="755" t="e">
        <f t="shared" si="14"/>
        <v>#N/A</v>
      </c>
      <c r="X27" s="756"/>
      <c r="Y27" s="3069"/>
      <c r="Z27" s="757" t="str">
        <f t="shared" si="15"/>
        <v>成新率</v>
      </c>
      <c r="AA27" s="1895" t="e">
        <f t="shared" si="3"/>
        <v>#N/A</v>
      </c>
      <c r="AB27" s="1895" t="e">
        <f t="shared" si="4"/>
        <v>#N/A</v>
      </c>
      <c r="AC27" s="1895"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69"/>
      <c r="Q28" s="1891" t="str">
        <f t="shared" si="11"/>
        <v>物业等级</v>
      </c>
      <c r="R28" s="751" t="s">
        <v>25</v>
      </c>
      <c r="S28" s="752">
        <f t="shared" si="12"/>
        <v>100</v>
      </c>
      <c r="T28" s="751" t="s">
        <v>25</v>
      </c>
      <c r="U28" s="752">
        <f t="shared" si="13"/>
        <v>100</v>
      </c>
      <c r="V28" s="751" t="s">
        <v>25</v>
      </c>
      <c r="W28" s="752">
        <f t="shared" si="14"/>
        <v>100</v>
      </c>
      <c r="X28" s="1892"/>
      <c r="Y28" s="3069"/>
      <c r="Z28" s="1894" t="str">
        <f t="shared" si="15"/>
        <v>物业等级</v>
      </c>
      <c r="AA28" s="1895">
        <f t="shared" si="3"/>
        <v>1</v>
      </c>
      <c r="AB28" s="1895">
        <f t="shared" si="4"/>
        <v>1</v>
      </c>
      <c r="AC28" s="1895">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69"/>
      <c r="Q29" s="1891" t="str">
        <f t="shared" si="11"/>
        <v>有无电梯</v>
      </c>
      <c r="R29" s="751" t="s">
        <v>25</v>
      </c>
      <c r="S29" s="752">
        <f t="shared" si="12"/>
        <v>100</v>
      </c>
      <c r="T29" s="751" t="s">
        <v>25</v>
      </c>
      <c r="U29" s="752">
        <f t="shared" si="13"/>
        <v>100</v>
      </c>
      <c r="V29" s="751" t="s">
        <v>25</v>
      </c>
      <c r="W29" s="752">
        <f t="shared" si="14"/>
        <v>100</v>
      </c>
      <c r="X29" s="1892"/>
      <c r="Y29" s="3069"/>
      <c r="Z29" s="1894" t="str">
        <f t="shared" si="15"/>
        <v>有无电梯</v>
      </c>
      <c r="AA29" s="1895">
        <f t="shared" si="3"/>
        <v>1</v>
      </c>
      <c r="AB29" s="1895">
        <f t="shared" si="4"/>
        <v>1</v>
      </c>
      <c r="AC29" s="1895">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69"/>
      <c r="Q30" s="1891" t="str">
        <f t="shared" si="11"/>
        <v>建筑面积</v>
      </c>
      <c r="R30" s="751" t="s">
        <v>25</v>
      </c>
      <c r="S30" s="752" t="e">
        <f t="shared" si="12"/>
        <v>#N/A</v>
      </c>
      <c r="T30" s="751" t="s">
        <v>25</v>
      </c>
      <c r="U30" s="752" t="e">
        <f t="shared" si="13"/>
        <v>#N/A</v>
      </c>
      <c r="V30" s="751" t="s">
        <v>25</v>
      </c>
      <c r="W30" s="752" t="e">
        <f t="shared" si="14"/>
        <v>#N/A</v>
      </c>
      <c r="X30" s="1892"/>
      <c r="Y30" s="3069"/>
      <c r="Z30" s="1894" t="str">
        <f t="shared" si="15"/>
        <v>建筑面积</v>
      </c>
      <c r="AA30" s="1895" t="e">
        <f t="shared" si="3"/>
        <v>#N/A</v>
      </c>
      <c r="AB30" s="1895" t="e">
        <f t="shared" si="4"/>
        <v>#N/A</v>
      </c>
      <c r="AC30" s="1895" t="e">
        <f t="shared" si="5"/>
        <v>#N/A</v>
      </c>
    </row>
    <row r="31" spans="1:29" s="35"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69"/>
      <c r="Q31" s="1879" t="str">
        <f t="shared" si="11"/>
        <v>是否封闭</v>
      </c>
      <c r="R31" s="747" t="s">
        <v>25</v>
      </c>
      <c r="S31" s="748">
        <f t="shared" si="12"/>
        <v>100</v>
      </c>
      <c r="T31" s="747" t="s">
        <v>25</v>
      </c>
      <c r="U31" s="748">
        <f t="shared" si="13"/>
        <v>100</v>
      </c>
      <c r="V31" s="747" t="s">
        <v>25</v>
      </c>
      <c r="W31" s="748">
        <f t="shared" si="14"/>
        <v>100</v>
      </c>
      <c r="X31" s="749"/>
      <c r="Y31" s="3069"/>
      <c r="Z31" s="23" t="str">
        <f t="shared" si="15"/>
        <v>是否封闭</v>
      </c>
      <c r="AA31" s="750">
        <f t="shared" si="3"/>
        <v>1</v>
      </c>
      <c r="AB31" s="750">
        <f t="shared" si="4"/>
        <v>1</v>
      </c>
      <c r="AC31" s="750">
        <f t="shared" si="5"/>
        <v>1</v>
      </c>
    </row>
    <row r="32" spans="1:29" ht="15">
      <c r="A32" s="452"/>
      <c r="B32" s="2392">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69" t="s">
        <v>2360</v>
      </c>
      <c r="Q32" s="1891">
        <f t="shared" si="11"/>
        <v>111</v>
      </c>
      <c r="R32" s="751" t="s">
        <v>25</v>
      </c>
      <c r="S32" s="752">
        <f t="shared" si="12"/>
        <v>100</v>
      </c>
      <c r="T32" s="751" t="s">
        <v>25</v>
      </c>
      <c r="U32" s="752">
        <f t="shared" si="13"/>
        <v>100</v>
      </c>
      <c r="V32" s="751" t="s">
        <v>25</v>
      </c>
      <c r="W32" s="752">
        <f t="shared" si="14"/>
        <v>100</v>
      </c>
      <c r="X32" s="1892"/>
      <c r="Y32" s="3069" t="s">
        <v>2360</v>
      </c>
      <c r="Z32" s="1894">
        <f t="shared" si="15"/>
        <v>111</v>
      </c>
      <c r="AA32" s="1895">
        <f t="shared" si="3"/>
        <v>1</v>
      </c>
      <c r="AB32" s="1895">
        <f t="shared" si="4"/>
        <v>1</v>
      </c>
      <c r="AC32" s="1895">
        <f t="shared" si="5"/>
        <v>1</v>
      </c>
    </row>
    <row r="33" spans="1:29" ht="15">
      <c r="A33" s="452"/>
      <c r="B33" s="2392">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69"/>
      <c r="Q33" s="1891">
        <f t="shared" si="11"/>
        <v>111</v>
      </c>
      <c r="R33" s="751" t="s">
        <v>25</v>
      </c>
      <c r="S33" s="752">
        <f t="shared" si="12"/>
        <v>100</v>
      </c>
      <c r="T33" s="751" t="s">
        <v>25</v>
      </c>
      <c r="U33" s="752">
        <f t="shared" si="13"/>
        <v>100</v>
      </c>
      <c r="V33" s="751" t="s">
        <v>25</v>
      </c>
      <c r="W33" s="752">
        <f t="shared" si="14"/>
        <v>100</v>
      </c>
      <c r="X33" s="1892"/>
      <c r="Y33" s="3069"/>
      <c r="Z33" s="1894">
        <f t="shared" si="15"/>
        <v>111</v>
      </c>
      <c r="AA33" s="1895">
        <f t="shared" si="3"/>
        <v>1</v>
      </c>
      <c r="AB33" s="1895">
        <f t="shared" si="4"/>
        <v>1</v>
      </c>
      <c r="AC33" s="1895">
        <f t="shared" si="5"/>
        <v>1</v>
      </c>
    </row>
    <row r="34" spans="1:29" ht="15.75" thickBot="1">
      <c r="A34" s="458"/>
      <c r="B34" s="2394">
        <v>111</v>
      </c>
      <c r="C34" s="2395"/>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69"/>
      <c r="Q34" s="1891">
        <f t="shared" si="11"/>
        <v>111</v>
      </c>
      <c r="R34" s="751" t="s">
        <v>25</v>
      </c>
      <c r="S34" s="752">
        <f t="shared" si="12"/>
        <v>100</v>
      </c>
      <c r="T34" s="751" t="s">
        <v>25</v>
      </c>
      <c r="U34" s="752">
        <f t="shared" si="13"/>
        <v>100</v>
      </c>
      <c r="V34" s="751" t="s">
        <v>25</v>
      </c>
      <c r="W34" s="752">
        <f t="shared" si="14"/>
        <v>100</v>
      </c>
      <c r="X34" s="1892"/>
      <c r="Y34" s="3069"/>
      <c r="Z34" s="1894">
        <f t="shared" si="15"/>
        <v>111</v>
      </c>
      <c r="AA34" s="1895">
        <f t="shared" si="3"/>
        <v>1</v>
      </c>
      <c r="AB34" s="1895">
        <f t="shared" si="4"/>
        <v>1</v>
      </c>
      <c r="AC34" s="1895">
        <f t="shared" si="5"/>
        <v>1</v>
      </c>
    </row>
    <row r="35" spans="1:29" ht="15">
      <c r="A35" s="459" t="s">
        <v>2372</v>
      </c>
      <c r="B35" s="460"/>
      <c r="C35" s="1496" t="s">
        <v>1</v>
      </c>
      <c r="D35" s="1497"/>
      <c r="E35" s="1498"/>
      <c r="F35" s="1499"/>
      <c r="G35" s="1500"/>
      <c r="H35" s="1501"/>
      <c r="I35" s="1498"/>
      <c r="J35" s="1501"/>
      <c r="K35" s="760"/>
      <c r="L35" s="1250"/>
      <c r="M35" s="1251"/>
      <c r="N35" s="1238"/>
      <c r="O35" s="1251"/>
      <c r="P35" s="3075" t="str">
        <f>A35</f>
        <v>成交单价（元/平方米）</v>
      </c>
      <c r="Q35" s="3075"/>
      <c r="R35" s="3076">
        <f>E35</f>
        <v>0</v>
      </c>
      <c r="S35" s="3076"/>
      <c r="T35" s="3076">
        <f>G35</f>
        <v>0</v>
      </c>
      <c r="U35" s="3076"/>
      <c r="V35" s="3076">
        <f>I35</f>
        <v>0</v>
      </c>
      <c r="W35" s="3076"/>
      <c r="X35" s="736"/>
      <c r="Y35" s="758"/>
      <c r="Z35" s="736"/>
      <c r="AA35" s="736"/>
      <c r="AB35" s="736"/>
      <c r="AC35" s="736"/>
    </row>
    <row r="36" spans="1:29" ht="15.75" thickBot="1">
      <c r="A36" s="466" t="s">
        <v>2455</v>
      </c>
      <c r="B36" s="467"/>
      <c r="C36" s="1502" t="e">
        <f>R37</f>
        <v>#DIV/0!</v>
      </c>
      <c r="D36" s="1503"/>
      <c r="E36" s="1504" t="e">
        <f>R36</f>
        <v>#DIV/0!</v>
      </c>
      <c r="F36" s="1504"/>
      <c r="G36" s="1502" t="e">
        <f>T36</f>
        <v>#DIV/0!</v>
      </c>
      <c r="H36" s="1503"/>
      <c r="I36" s="1504" t="e">
        <f>V36</f>
        <v>#DIV/0!</v>
      </c>
      <c r="J36" s="1503"/>
      <c r="K36" s="761"/>
      <c r="L36" s="1250"/>
      <c r="M36" s="1251"/>
      <c r="N36" s="1238"/>
      <c r="O36" s="1251"/>
      <c r="P36" s="3075" t="str">
        <f>A36</f>
        <v>比较价值（元/平方米）</v>
      </c>
      <c r="Q36" s="3075"/>
      <c r="R36" s="3076" t="e">
        <f>IF(E1="售价",ROUND(PRODUCT(R35,AA7:AA34),0),ROUND(PRODUCT(R35,AA7:AA34),1))</f>
        <v>#DIV/0!</v>
      </c>
      <c r="S36" s="3076"/>
      <c r="T36" s="3076" t="e">
        <f>IF(E1="售价",ROUND(PRODUCT(T35,AB7:AB34),0),ROUND(PRODUCT(T35,AB7:AB34),1))</f>
        <v>#DIV/0!</v>
      </c>
      <c r="U36" s="3076"/>
      <c r="V36" s="3076" t="e">
        <f>IF(E1="售价",ROUND(PRODUCT(V35,AC7:AC34),0),ROUND(PRODUCT(V35,AC7:AC34),1))</f>
        <v>#DIV/0!</v>
      </c>
      <c r="W36" s="3076"/>
      <c r="X36" s="736"/>
      <c r="Y36" s="736"/>
      <c r="Z36" s="736"/>
      <c r="AA36" s="736"/>
      <c r="AB36" s="736"/>
      <c r="AC36" s="736"/>
    </row>
    <row r="37" spans="1:29" ht="15.75" thickBot="1">
      <c r="A37" s="472" t="s">
        <v>2478</v>
      </c>
      <c r="B37" s="473"/>
      <c r="C37" s="1506" t="e">
        <f>R37</f>
        <v>#DIV/0!</v>
      </c>
      <c r="D37" s="1506"/>
      <c r="E37" s="1506"/>
      <c r="F37" s="1506"/>
      <c r="G37" s="1506"/>
      <c r="H37" s="1506"/>
      <c r="I37" s="1506"/>
      <c r="J37" s="1506"/>
      <c r="K37" s="762"/>
      <c r="L37" s="1250"/>
      <c r="M37" s="1251"/>
      <c r="N37" s="1251"/>
      <c r="O37" s="1251"/>
      <c r="P37" s="3081" t="str">
        <f>A37</f>
        <v>估价对象XX用房的比较价值（楼面单价，元/平方米）</v>
      </c>
      <c r="Q37" s="3082"/>
      <c r="R37" s="3083" t="e">
        <f>IF(E1="售价",ROUND(AVERAGE(R36:V36),0),ROUND(AVERAGE(R36:V36),1))</f>
        <v>#DIV/0!</v>
      </c>
      <c r="S37" s="3083"/>
      <c r="T37" s="3083"/>
      <c r="U37" s="3083"/>
      <c r="V37" s="3083"/>
      <c r="W37" s="3083"/>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0" t="s">
        <v>2460</v>
      </c>
      <c r="B45" s="736"/>
      <c r="C45" s="741"/>
      <c r="D45" s="741"/>
      <c r="E45" s="741"/>
      <c r="F45" s="742"/>
      <c r="G45" s="742"/>
      <c r="H45" s="741"/>
      <c r="I45" s="741"/>
      <c r="J45" s="741"/>
      <c r="K45" s="743"/>
      <c r="L45" s="744"/>
      <c r="M45" s="741"/>
      <c r="N45" s="741"/>
      <c r="O45" s="741"/>
      <c r="P45" s="483"/>
      <c r="Q45" s="484"/>
    </row>
    <row r="46" spans="1:29" s="488" customFormat="1" ht="15">
      <c r="A46" s="485" t="s">
        <v>2342</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ht="15">
      <c r="A47" s="489"/>
      <c r="B47" s="490"/>
      <c r="C47" s="1671">
        <v>100</v>
      </c>
      <c r="D47" s="492"/>
      <c r="E47" s="492"/>
      <c r="F47" s="492"/>
      <c r="G47" s="492"/>
      <c r="H47" s="492"/>
      <c r="I47" s="492"/>
      <c r="J47" s="492"/>
      <c r="K47" s="492"/>
      <c r="L47" s="492"/>
      <c r="M47" s="493"/>
      <c r="N47" s="492"/>
      <c r="O47" s="494"/>
      <c r="P47" s="484"/>
    </row>
    <row r="48" spans="1:29" s="35" customFormat="1" ht="15.75" thickBot="1">
      <c r="A48" s="495" t="s">
        <v>2380</v>
      </c>
      <c r="B48" s="496"/>
      <c r="C48" s="497"/>
      <c r="D48" s="498"/>
      <c r="E48" s="498"/>
      <c r="F48" s="498"/>
      <c r="G48" s="498"/>
      <c r="H48" s="498"/>
      <c r="I48" s="498"/>
      <c r="J48" s="498"/>
      <c r="K48" s="498"/>
      <c r="L48" s="498"/>
      <c r="M48" s="499"/>
      <c r="N48" s="498"/>
      <c r="O48" s="500"/>
      <c r="P48" s="484"/>
      <c r="Q48" s="484"/>
    </row>
    <row r="49" spans="1:17" s="35" customFormat="1" ht="15">
      <c r="A49" s="501" t="s">
        <v>2344</v>
      </c>
      <c r="B49" s="490"/>
      <c r="C49" s="502" t="s">
        <v>2345</v>
      </c>
      <c r="D49" s="503"/>
      <c r="E49" s="503"/>
      <c r="F49" s="503"/>
      <c r="G49" s="503"/>
      <c r="H49" s="503"/>
      <c r="I49" s="503"/>
      <c r="J49" s="503"/>
      <c r="K49" s="503"/>
      <c r="L49" s="504"/>
      <c r="M49" s="505"/>
      <c r="N49" s="1260"/>
      <c r="O49" s="1260"/>
      <c r="P49" s="506"/>
      <c r="Q49" s="484"/>
    </row>
    <row r="50" spans="1:17" s="35" customFormat="1" ht="15.75" thickBot="1">
      <c r="A50" s="501"/>
      <c r="B50" s="490"/>
      <c r="C50" s="622">
        <v>100</v>
      </c>
      <c r="D50" s="492"/>
      <c r="E50" s="492"/>
      <c r="F50" s="492"/>
      <c r="G50" s="492"/>
      <c r="H50" s="492"/>
      <c r="I50" s="492"/>
      <c r="J50" s="492"/>
      <c r="K50" s="492"/>
      <c r="L50" s="492"/>
      <c r="M50" s="494"/>
      <c r="N50" s="1260"/>
      <c r="O50" s="1260"/>
      <c r="P50" s="484"/>
      <c r="Q50" s="484"/>
    </row>
    <row r="51" spans="1:17">
      <c r="A51" s="507" t="s">
        <v>2383</v>
      </c>
      <c r="B51" s="508" t="s">
        <v>2348</v>
      </c>
      <c r="C51" s="509">
        <f>C9</f>
        <v>0</v>
      </c>
      <c r="D51" s="510"/>
      <c r="E51" s="510"/>
      <c r="F51" s="510"/>
      <c r="G51" s="510"/>
      <c r="H51" s="510"/>
      <c r="I51" s="510"/>
      <c r="J51" s="510"/>
      <c r="K51" s="511"/>
      <c r="L51" s="512"/>
      <c r="M51" s="513"/>
      <c r="N51" s="1261"/>
      <c r="O51" s="1261"/>
      <c r="P51" s="22"/>
      <c r="Q51" s="484"/>
    </row>
    <row r="52" spans="1:17" ht="15.75" thickBot="1">
      <c r="A52" s="515"/>
      <c r="B52" s="516"/>
      <c r="C52" s="517">
        <v>100</v>
      </c>
      <c r="D52" s="517"/>
      <c r="E52" s="517"/>
      <c r="F52" s="517"/>
      <c r="G52" s="517"/>
      <c r="H52" s="517"/>
      <c r="I52" s="517"/>
      <c r="J52" s="517"/>
      <c r="K52" s="517"/>
      <c r="L52" s="517"/>
      <c r="M52" s="518"/>
      <c r="N52" s="1262"/>
      <c r="O52" s="1262"/>
      <c r="P52" s="22"/>
      <c r="Q52" s="484"/>
    </row>
    <row r="53" spans="1:17" ht="27.75" thickTop="1">
      <c r="A53" s="515"/>
      <c r="B53" s="520" t="s">
        <v>2351</v>
      </c>
      <c r="C53" s="521" t="s">
        <v>2384</v>
      </c>
      <c r="D53" s="521" t="s">
        <v>2385</v>
      </c>
      <c r="E53" s="521" t="s">
        <v>2386</v>
      </c>
      <c r="F53" s="521" t="s">
        <v>2387</v>
      </c>
      <c r="G53" s="521" t="s">
        <v>2388</v>
      </c>
      <c r="H53" s="521" t="s">
        <v>2389</v>
      </c>
      <c r="I53" s="521" t="s">
        <v>2390</v>
      </c>
      <c r="J53" s="521"/>
      <c r="K53" s="522"/>
      <c r="L53" s="523"/>
      <c r="M53" s="524"/>
      <c r="N53" s="1261"/>
      <c r="O53" s="1261"/>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5.75" thickTop="1">
      <c r="A55" s="515"/>
      <c r="B55" s="642">
        <f>B11</f>
        <v>111</v>
      </c>
      <c r="C55" s="531"/>
      <c r="D55" s="531"/>
      <c r="E55" s="531"/>
      <c r="F55" s="531"/>
      <c r="G55" s="531"/>
      <c r="H55" s="531"/>
      <c r="I55" s="531"/>
      <c r="J55" s="531"/>
      <c r="K55" s="532"/>
      <c r="L55" s="533"/>
      <c r="M55" s="534"/>
      <c r="N55" s="1261"/>
      <c r="O55" s="1261"/>
      <c r="P55" s="22"/>
      <c r="Q55" s="484"/>
    </row>
    <row r="56" spans="1:17" ht="15.75" thickBot="1">
      <c r="A56" s="515"/>
      <c r="B56" s="516"/>
      <c r="C56" s="543"/>
      <c r="D56" s="517"/>
      <c r="E56" s="517"/>
      <c r="F56" s="517"/>
      <c r="G56" s="517"/>
      <c r="H56" s="517"/>
      <c r="I56" s="517"/>
      <c r="J56" s="517"/>
      <c r="K56" s="517"/>
      <c r="L56" s="517"/>
      <c r="M56" s="518"/>
      <c r="N56" s="1262"/>
      <c r="O56" s="1262"/>
      <c r="P56" s="22"/>
      <c r="Q56" s="484"/>
    </row>
    <row r="57" spans="1:17" s="451" customFormat="1" ht="15.75" thickTop="1">
      <c r="A57" s="535"/>
      <c r="B57" s="520">
        <f>B12</f>
        <v>111</v>
      </c>
      <c r="C57" s="531"/>
      <c r="D57" s="531"/>
      <c r="E57" s="531"/>
      <c r="F57" s="531"/>
      <c r="G57" s="536"/>
      <c r="H57" s="537"/>
      <c r="I57" s="537"/>
      <c r="J57" s="537"/>
      <c r="K57" s="537"/>
      <c r="L57" s="538"/>
      <c r="M57" s="539"/>
      <c r="N57" s="1263"/>
      <c r="O57" s="1263"/>
      <c r="P57" s="541"/>
      <c r="Q57" s="542"/>
    </row>
    <row r="58" spans="1:17" s="451" customFormat="1" ht="15.75" thickBot="1">
      <c r="A58" s="535"/>
      <c r="B58" s="525"/>
      <c r="C58" s="543"/>
      <c r="D58" s="517"/>
      <c r="E58" s="517"/>
      <c r="F58" s="517"/>
      <c r="G58" s="517"/>
      <c r="H58" s="517"/>
      <c r="I58" s="517"/>
      <c r="J58" s="517"/>
      <c r="K58" s="517"/>
      <c r="L58" s="517"/>
      <c r="M58" s="518"/>
      <c r="N58" s="1262"/>
      <c r="O58" s="1262"/>
      <c r="P58" s="541"/>
      <c r="Q58" s="542"/>
    </row>
    <row r="59" spans="1:17" s="451" customFormat="1" ht="15.75" thickTop="1">
      <c r="A59" s="535"/>
      <c r="B59" s="520">
        <f>B13</f>
        <v>111</v>
      </c>
      <c r="C59" s="531"/>
      <c r="D59" s="531"/>
      <c r="E59" s="531"/>
      <c r="F59" s="531"/>
      <c r="G59" s="536"/>
      <c r="H59" s="537"/>
      <c r="I59" s="537"/>
      <c r="J59" s="537"/>
      <c r="K59" s="537"/>
      <c r="L59" s="538"/>
      <c r="M59" s="539"/>
      <c r="N59" s="1263"/>
      <c r="O59" s="1263"/>
      <c r="P59" s="450"/>
      <c r="Q59" s="544"/>
    </row>
    <row r="60" spans="1:17" s="451" customFormat="1" ht="15.75" thickBot="1">
      <c r="A60" s="535"/>
      <c r="B60" s="525"/>
      <c r="C60" s="543"/>
      <c r="D60" s="543"/>
      <c r="E60" s="543"/>
      <c r="F60" s="543"/>
      <c r="G60" s="543"/>
      <c r="H60" s="545"/>
      <c r="I60" s="545"/>
      <c r="J60" s="545"/>
      <c r="K60" s="545"/>
      <c r="L60" s="545"/>
      <c r="M60" s="546"/>
      <c r="N60" s="1263"/>
      <c r="O60" s="1263"/>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1"/>
      <c r="O61" s="1261"/>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75" thickTop="1">
      <c r="A63" s="515"/>
      <c r="B63" s="520" t="s">
        <v>2398</v>
      </c>
      <c r="C63" s="561" t="s">
        <v>2392</v>
      </c>
      <c r="D63" s="561" t="s">
        <v>2393</v>
      </c>
      <c r="E63" s="561" t="s">
        <v>2394</v>
      </c>
      <c r="F63" s="561" t="s">
        <v>2395</v>
      </c>
      <c r="G63" s="561" t="s">
        <v>2396</v>
      </c>
      <c r="H63" s="521"/>
      <c r="I63" s="521"/>
      <c r="J63" s="521"/>
      <c r="K63" s="522"/>
      <c r="L63" s="523"/>
      <c r="M63" s="524"/>
      <c r="N63" s="1261"/>
      <c r="O63" s="1261"/>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75" thickTop="1">
      <c r="A65" s="515"/>
      <c r="B65" s="528" t="s">
        <v>2470</v>
      </c>
      <c r="C65" s="521" t="s">
        <v>2399</v>
      </c>
      <c r="D65" s="521" t="s">
        <v>2400</v>
      </c>
      <c r="E65" s="521" t="s">
        <v>2401</v>
      </c>
      <c r="F65" s="521" t="s">
        <v>2402</v>
      </c>
      <c r="G65" s="521" t="s">
        <v>2403</v>
      </c>
      <c r="H65" s="521"/>
      <c r="I65" s="521"/>
      <c r="J65" s="521"/>
      <c r="K65" s="521"/>
      <c r="L65" s="521"/>
      <c r="M65" s="1461"/>
      <c r="N65" s="1262"/>
      <c r="O65" s="1262"/>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75" thickTop="1">
      <c r="A67" s="515"/>
      <c r="B67" s="520" t="s">
        <v>2404</v>
      </c>
      <c r="C67" s="561" t="s">
        <v>2392</v>
      </c>
      <c r="D67" s="561" t="s">
        <v>2393</v>
      </c>
      <c r="E67" s="561" t="s">
        <v>2394</v>
      </c>
      <c r="F67" s="561" t="s">
        <v>2395</v>
      </c>
      <c r="G67" s="561" t="s">
        <v>2396</v>
      </c>
      <c r="H67" s="521"/>
      <c r="I67" s="521"/>
      <c r="J67" s="521"/>
      <c r="K67" s="522"/>
      <c r="L67" s="523"/>
      <c r="M67" s="524"/>
      <c r="N67" s="1261"/>
      <c r="O67" s="1261"/>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75" thickTop="1">
      <c r="A69" s="515"/>
      <c r="B69" s="520" t="s">
        <v>2517</v>
      </c>
      <c r="C69" s="536"/>
      <c r="D69" s="536"/>
      <c r="E69" s="536"/>
      <c r="F69" s="536"/>
      <c r="G69" s="536"/>
      <c r="H69" s="566"/>
      <c r="I69" s="566"/>
      <c r="J69" s="566"/>
      <c r="K69" s="567"/>
      <c r="L69" s="568"/>
      <c r="M69" s="569"/>
      <c r="N69" s="1261"/>
      <c r="O69" s="1261"/>
      <c r="P69" s="22"/>
      <c r="Q69" s="484"/>
    </row>
    <row r="70" spans="1:17" ht="15.75"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5.75" thickTop="1">
      <c r="A71" s="562"/>
      <c r="B71" s="520">
        <f>B23</f>
        <v>111</v>
      </c>
      <c r="C71" s="531"/>
      <c r="D71" s="531"/>
      <c r="E71" s="531"/>
      <c r="F71" s="531"/>
      <c r="G71" s="536"/>
      <c r="H71" s="536"/>
      <c r="I71" s="536"/>
      <c r="J71" s="536"/>
      <c r="K71" s="536"/>
      <c r="L71" s="563"/>
      <c r="M71" s="564"/>
      <c r="N71" s="1260"/>
      <c r="O71" s="1260"/>
      <c r="P71" s="22"/>
      <c r="Q71" s="484"/>
    </row>
    <row r="72" spans="1:17" s="35" customFormat="1" ht="15.75" thickBot="1">
      <c r="A72" s="562"/>
      <c r="B72" s="525"/>
      <c r="C72" s="543"/>
      <c r="D72" s="517"/>
      <c r="E72" s="517"/>
      <c r="F72" s="517"/>
      <c r="G72" s="517"/>
      <c r="H72" s="517"/>
      <c r="I72" s="517"/>
      <c r="J72" s="517"/>
      <c r="K72" s="517"/>
      <c r="L72" s="517"/>
      <c r="M72" s="518"/>
      <c r="N72" s="1262"/>
      <c r="O72" s="1262"/>
      <c r="P72" s="22"/>
      <c r="Q72" s="484"/>
    </row>
    <row r="73" spans="1:17" s="35" customFormat="1" ht="15.75" thickTop="1">
      <c r="A73" s="562"/>
      <c r="B73" s="520">
        <f>B24</f>
        <v>111</v>
      </c>
      <c r="C73" s="531"/>
      <c r="D73" s="531"/>
      <c r="E73" s="531"/>
      <c r="F73" s="531"/>
      <c r="G73" s="536"/>
      <c r="H73" s="536"/>
      <c r="I73" s="536"/>
      <c r="J73" s="536"/>
      <c r="K73" s="536"/>
      <c r="L73" s="536"/>
      <c r="M73" s="564"/>
      <c r="N73" s="1260"/>
      <c r="O73" s="1260"/>
      <c r="P73" s="22"/>
      <c r="Q73" s="484"/>
    </row>
    <row r="74" spans="1:17" s="35" customFormat="1" ht="15.75" thickBot="1">
      <c r="A74" s="562"/>
      <c r="B74" s="525"/>
      <c r="C74" s="543"/>
      <c r="D74" s="517"/>
      <c r="E74" s="517"/>
      <c r="F74" s="517"/>
      <c r="G74" s="517"/>
      <c r="H74" s="517"/>
      <c r="I74" s="517"/>
      <c r="J74" s="517"/>
      <c r="K74" s="517"/>
      <c r="L74" s="517"/>
      <c r="M74" s="518"/>
      <c r="N74" s="1262"/>
      <c r="O74" s="1262"/>
      <c r="P74" s="22"/>
      <c r="Q74" s="484"/>
    </row>
    <row r="75" spans="1:17" s="451" customFormat="1" ht="15.75" thickTop="1">
      <c r="A75" s="535"/>
      <c r="B75" s="520">
        <f>B25</f>
        <v>111</v>
      </c>
      <c r="C75" s="531"/>
      <c r="D75" s="531"/>
      <c r="E75" s="531"/>
      <c r="F75" s="531"/>
      <c r="G75" s="536"/>
      <c r="H75" s="537"/>
      <c r="I75" s="537"/>
      <c r="J75" s="537"/>
      <c r="K75" s="537"/>
      <c r="L75" s="538"/>
      <c r="M75" s="539"/>
      <c r="N75" s="1263"/>
      <c r="O75" s="1263"/>
      <c r="P75" s="541"/>
      <c r="Q75" s="542"/>
    </row>
    <row r="76" spans="1:17" s="451" customFormat="1" ht="15.75" thickBot="1">
      <c r="A76" s="535"/>
      <c r="B76" s="525"/>
      <c r="C76" s="543"/>
      <c r="D76" s="543"/>
      <c r="E76" s="543"/>
      <c r="F76" s="543"/>
      <c r="G76" s="517"/>
      <c r="H76" s="517"/>
      <c r="I76" s="517"/>
      <c r="J76" s="517"/>
      <c r="K76" s="517"/>
      <c r="L76" s="517"/>
      <c r="M76" s="518"/>
      <c r="N76" s="1263"/>
      <c r="O76" s="1263"/>
      <c r="P76" s="541"/>
      <c r="Q76" s="542"/>
    </row>
    <row r="77" spans="1:17" ht="15" thickTop="1">
      <c r="A77" s="507" t="s">
        <v>2358</v>
      </c>
      <c r="B77" s="508" t="s">
        <v>2411</v>
      </c>
      <c r="C77" s="536"/>
      <c r="D77" s="536"/>
      <c r="E77" s="510"/>
      <c r="F77" s="510"/>
      <c r="G77" s="510"/>
      <c r="H77" s="510"/>
      <c r="I77" s="510"/>
      <c r="J77" s="510"/>
      <c r="K77" s="511"/>
      <c r="L77" s="512"/>
      <c r="M77" s="513"/>
      <c r="N77" s="1261"/>
      <c r="O77" s="1261"/>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7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ht="15">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2521</v>
      </c>
      <c r="C82" s="536"/>
      <c r="D82" s="536"/>
      <c r="E82" s="566"/>
      <c r="F82" s="566"/>
      <c r="G82" s="566"/>
      <c r="H82" s="566"/>
      <c r="I82" s="566"/>
      <c r="J82" s="566"/>
      <c r="K82" s="567"/>
      <c r="L82" s="568"/>
      <c r="M82" s="569"/>
      <c r="N82" s="1261"/>
      <c r="O82" s="1261"/>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2528</v>
      </c>
      <c r="C84" s="536"/>
      <c r="D84" s="536"/>
      <c r="E84" s="536"/>
      <c r="F84" s="536"/>
      <c r="G84" s="536"/>
      <c r="H84" s="536"/>
      <c r="I84" s="566"/>
      <c r="J84" s="566"/>
      <c r="K84" s="567"/>
      <c r="L84" s="568"/>
      <c r="M84" s="569"/>
      <c r="N84" s="1261"/>
      <c r="O84" s="1261"/>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5.75"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2530</v>
      </c>
      <c r="C89" s="536"/>
      <c r="D89" s="536"/>
      <c r="E89" s="536"/>
      <c r="F89" s="536"/>
      <c r="G89" s="536"/>
      <c r="H89" s="536"/>
      <c r="I89" s="536"/>
      <c r="J89" s="536"/>
      <c r="K89" s="536"/>
      <c r="L89" s="536"/>
      <c r="M89" s="564"/>
      <c r="N89" s="1263"/>
      <c r="O89" s="1263"/>
      <c r="P89" s="541"/>
      <c r="Q89" s="542"/>
    </row>
    <row r="90" spans="1:17" s="451" customFormat="1" ht="15.75" thickBot="1">
      <c r="A90" s="535"/>
      <c r="B90" s="525"/>
      <c r="C90" s="543"/>
      <c r="D90" s="517"/>
      <c r="E90" s="517"/>
      <c r="F90" s="517"/>
      <c r="G90" s="517"/>
      <c r="H90" s="517"/>
      <c r="I90" s="517"/>
      <c r="J90" s="517"/>
      <c r="K90" s="517"/>
      <c r="L90" s="517"/>
      <c r="M90" s="518"/>
      <c r="N90" s="1263"/>
      <c r="O90" s="1263"/>
      <c r="P90" s="541"/>
      <c r="Q90" s="542"/>
    </row>
    <row r="91" spans="1:17" ht="15" thickTop="1">
      <c r="A91" s="582"/>
      <c r="B91" s="520">
        <f>B32</f>
        <v>111</v>
      </c>
      <c r="C91" s="531"/>
      <c r="D91" s="531"/>
      <c r="E91" s="531"/>
      <c r="F91" s="531"/>
      <c r="G91" s="536"/>
      <c r="H91" s="537"/>
      <c r="I91" s="537"/>
      <c r="J91" s="537"/>
      <c r="K91" s="537"/>
      <c r="L91" s="538"/>
      <c r="M91" s="539"/>
      <c r="N91" s="1261"/>
      <c r="O91" s="1261"/>
      <c r="P91" s="22"/>
      <c r="Q91" s="484"/>
    </row>
    <row r="92" spans="1:17" ht="15.75" thickBot="1">
      <c r="A92" s="515"/>
      <c r="B92" s="525"/>
      <c r="C92" s="543"/>
      <c r="D92" s="517"/>
      <c r="E92" s="517"/>
      <c r="F92" s="517"/>
      <c r="G92" s="543"/>
      <c r="H92" s="545"/>
      <c r="I92" s="545"/>
      <c r="J92" s="545"/>
      <c r="K92" s="545"/>
      <c r="L92" s="545"/>
      <c r="M92" s="546"/>
      <c r="N92" s="1262"/>
      <c r="O92" s="1262"/>
      <c r="P92" s="22"/>
      <c r="Q92" s="484"/>
    </row>
    <row r="93" spans="1:17" ht="15" thickTop="1">
      <c r="A93" s="582"/>
      <c r="B93" s="520">
        <f>B33</f>
        <v>111</v>
      </c>
      <c r="C93" s="531"/>
      <c r="D93" s="531"/>
      <c r="E93" s="531"/>
      <c r="F93" s="531"/>
      <c r="G93" s="536"/>
      <c r="H93" s="537"/>
      <c r="I93" s="537"/>
      <c r="J93" s="537"/>
      <c r="K93" s="537"/>
      <c r="L93" s="538"/>
      <c r="M93" s="539"/>
      <c r="N93" s="1261"/>
      <c r="O93" s="1261"/>
      <c r="P93" s="22"/>
      <c r="Q93" s="484"/>
    </row>
    <row r="94" spans="1:17" ht="15.75" thickBot="1">
      <c r="A94" s="515"/>
      <c r="B94" s="525"/>
      <c r="C94" s="543"/>
      <c r="D94" s="517"/>
      <c r="E94" s="517"/>
      <c r="F94" s="517"/>
      <c r="G94" s="543"/>
      <c r="H94" s="545"/>
      <c r="I94" s="545"/>
      <c r="J94" s="545"/>
      <c r="K94" s="545"/>
      <c r="L94" s="545"/>
      <c r="M94" s="546"/>
      <c r="N94" s="1262"/>
      <c r="O94" s="1262"/>
      <c r="P94" s="22"/>
      <c r="Q94" s="484"/>
    </row>
    <row r="95" spans="1:17" ht="15" thickTop="1">
      <c r="A95" s="582"/>
      <c r="B95" s="619">
        <f>B34</f>
        <v>111</v>
      </c>
      <c r="C95" s="531"/>
      <c r="D95" s="531"/>
      <c r="E95" s="531"/>
      <c r="F95" s="531"/>
      <c r="G95" s="536"/>
      <c r="H95" s="537"/>
      <c r="I95" s="537"/>
      <c r="J95" s="537"/>
      <c r="K95" s="537"/>
      <c r="L95" s="538"/>
      <c r="M95" s="539"/>
      <c r="N95" s="1262"/>
      <c r="O95" s="1262"/>
      <c r="P95" s="620"/>
      <c r="Q95" s="621"/>
    </row>
    <row r="96" spans="1:17" ht="15.75" thickBot="1">
      <c r="A96" s="515"/>
      <c r="B96" s="525"/>
      <c r="C96" s="543"/>
      <c r="D96" s="543"/>
      <c r="E96" s="543"/>
      <c r="F96" s="543"/>
      <c r="G96" s="543"/>
      <c r="H96" s="545"/>
      <c r="I96" s="545"/>
      <c r="J96" s="545"/>
      <c r="K96" s="545"/>
      <c r="L96" s="545"/>
      <c r="M96" s="546"/>
      <c r="N96" s="1262"/>
      <c r="O96" s="1262"/>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d="3" sqref="A38:XFD1048576 J37:XFD37 A37:H37 A1:XFD3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2531</v>
      </c>
      <c r="B1" s="373"/>
      <c r="C1" s="374" t="s">
        <v>2532</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1997</v>
      </c>
      <c r="B2" s="653" t="e">
        <f>F66</f>
        <v>#DIV/0!</v>
      </c>
      <c r="C2" s="730" t="s">
        <v>2533</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5">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30" ht="15">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30" ht="15.7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30" s="35" customFormat="1" ht="15.75" thickBot="1">
      <c r="A7" s="386" t="s">
        <v>2342</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30" s="35" customFormat="1" ht="15.7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45" si="3">D8/F8</f>
        <v>#DIV/0!</v>
      </c>
      <c r="AB8" s="750" t="e">
        <f t="shared" ref="AB8:AB45" si="4">D8/H8</f>
        <v>#DIV/0!</v>
      </c>
      <c r="AC8" s="750" t="e">
        <f t="shared" ref="AC8:AC45" si="5">D8/J8</f>
        <v>#DIV/0!</v>
      </c>
    </row>
    <row r="9" spans="1:30" s="35" customFormat="1">
      <c r="A9" s="394" t="s">
        <v>2347</v>
      </c>
      <c r="B9" s="28" t="s">
        <v>2348</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75"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30" s="406" customFormat="1" ht="27">
      <c r="A10" s="400"/>
      <c r="B10" s="401" t="s">
        <v>2351</v>
      </c>
      <c r="C10" s="411"/>
      <c r="D10" s="51">
        <v>100</v>
      </c>
      <c r="E10" s="445"/>
      <c r="F10" s="51">
        <f>ROUND(100/'数据-取费表'!B14,0)</f>
        <v>107</v>
      </c>
      <c r="G10" s="443"/>
      <c r="H10" s="51">
        <f>ROUND(100/'数据-取费表'!B14,0)</f>
        <v>107</v>
      </c>
      <c r="I10" s="443"/>
      <c r="J10" s="51">
        <f>ROUND(100/'数据-取费表'!B14,0)</f>
        <v>107</v>
      </c>
      <c r="K10" s="654"/>
      <c r="L10" s="1242"/>
      <c r="M10" s="1243"/>
      <c r="N10" s="1243"/>
      <c r="O10" s="1244"/>
      <c r="P10" s="3075"/>
      <c r="Q10" s="1879" t="str">
        <f t="shared" si="6"/>
        <v>土地使用年限（年）</v>
      </c>
      <c r="R10" s="747" t="s">
        <v>25</v>
      </c>
      <c r="S10" s="748">
        <f t="shared" si="0"/>
        <v>107</v>
      </c>
      <c r="T10" s="747" t="s">
        <v>25</v>
      </c>
      <c r="U10" s="748">
        <f t="shared" si="1"/>
        <v>107</v>
      </c>
      <c r="V10" s="747" t="s">
        <v>25</v>
      </c>
      <c r="W10" s="748">
        <f t="shared" si="2"/>
        <v>107</v>
      </c>
      <c r="X10" s="749"/>
      <c r="Y10" s="2886"/>
      <c r="Z10" s="23" t="str">
        <f t="shared" si="7"/>
        <v>土地使用年限（年）</v>
      </c>
      <c r="AA10" s="750">
        <f t="shared" si="3"/>
        <v>0.93457943925233644</v>
      </c>
      <c r="AB10" s="750">
        <f t="shared" si="4"/>
        <v>0.93457943925233644</v>
      </c>
      <c r="AC10" s="750">
        <f t="shared" si="5"/>
        <v>0.93457943925233644</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75"/>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30" s="35" customFormat="1" ht="15">
      <c r="A12" s="410"/>
      <c r="B12" s="2392" t="s">
        <v>2536</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75"/>
      <c r="Q12" s="1879" t="str">
        <f t="shared" si="6"/>
        <v>配建</v>
      </c>
      <c r="R12" s="747" t="s">
        <v>25</v>
      </c>
      <c r="S12" s="748">
        <f t="shared" si="0"/>
        <v>100</v>
      </c>
      <c r="T12" s="747" t="s">
        <v>25</v>
      </c>
      <c r="U12" s="748">
        <f t="shared" si="1"/>
        <v>100</v>
      </c>
      <c r="V12" s="747" t="s">
        <v>25</v>
      </c>
      <c r="W12" s="748">
        <f t="shared" si="2"/>
        <v>100</v>
      </c>
      <c r="X12" s="749"/>
      <c r="Y12" s="2886"/>
      <c r="Z12" s="23" t="str">
        <f t="shared" si="7"/>
        <v>配建</v>
      </c>
      <c r="AA12" s="750">
        <f>D12/F12</f>
        <v>1</v>
      </c>
      <c r="AB12" s="750">
        <f>D12/H12</f>
        <v>1</v>
      </c>
      <c r="AC12" s="750">
        <f>D12/J12</f>
        <v>1</v>
      </c>
    </row>
    <row r="13" spans="1:30" ht="15">
      <c r="A13" s="407"/>
      <c r="B13" s="2392">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D13/F13</f>
        <v>1</v>
      </c>
      <c r="AB13" s="750">
        <f>D13/H13</f>
        <v>1</v>
      </c>
      <c r="AC13" s="750">
        <f>D13/J13</f>
        <v>1</v>
      </c>
    </row>
    <row r="14" spans="1:30" ht="15.75" thickBot="1">
      <c r="A14" s="415"/>
      <c r="B14" s="2394">
        <v>111</v>
      </c>
      <c r="C14" s="2395"/>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75"/>
      <c r="Q14" s="1879">
        <f t="shared" si="6"/>
        <v>111</v>
      </c>
      <c r="R14" s="747" t="s">
        <v>25</v>
      </c>
      <c r="S14" s="748">
        <f t="shared" si="0"/>
        <v>100</v>
      </c>
      <c r="T14" s="747" t="s">
        <v>25</v>
      </c>
      <c r="U14" s="748">
        <f t="shared" si="1"/>
        <v>100</v>
      </c>
      <c r="V14" s="747" t="s">
        <v>25</v>
      </c>
      <c r="W14" s="748">
        <f t="shared" si="2"/>
        <v>100</v>
      </c>
      <c r="X14" s="749"/>
      <c r="Y14" s="2886"/>
      <c r="Z14" s="23">
        <f t="shared" si="7"/>
        <v>111</v>
      </c>
      <c r="AA14" s="750">
        <f>D14/F14</f>
        <v>1</v>
      </c>
      <c r="AB14" s="750">
        <f>D14/H14</f>
        <v>1</v>
      </c>
      <c r="AC14" s="750">
        <f>D14/J14</f>
        <v>1</v>
      </c>
    </row>
    <row r="15" spans="1:30" ht="99.75">
      <c r="A15" s="379" t="s">
        <v>2353</v>
      </c>
      <c r="B15" s="1481" t="s">
        <v>1727</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64" t="s">
        <v>2354</v>
      </c>
      <c r="Q15" s="1891" t="str">
        <f t="shared" si="6"/>
        <v>居住社区成熟度</v>
      </c>
      <c r="R15" s="751" t="s">
        <v>25</v>
      </c>
      <c r="S15" s="752">
        <f t="shared" si="0"/>
        <v>100</v>
      </c>
      <c r="T15" s="751" t="s">
        <v>25</v>
      </c>
      <c r="U15" s="752">
        <f t="shared" si="1"/>
        <v>100</v>
      </c>
      <c r="V15" s="751" t="s">
        <v>25</v>
      </c>
      <c r="W15" s="752">
        <f t="shared" si="2"/>
        <v>100</v>
      </c>
      <c r="X15" s="1892"/>
      <c r="Y15" s="3064" t="s">
        <v>2354</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7"/>
      <c r="J16" s="426"/>
      <c r="K16" s="654"/>
      <c r="L16" s="1247"/>
      <c r="M16" s="1238"/>
      <c r="N16" s="1238"/>
      <c r="O16" s="1246"/>
      <c r="P16" s="3065"/>
      <c r="Q16" s="1891"/>
      <c r="R16" s="751"/>
      <c r="S16" s="752"/>
      <c r="T16" s="751"/>
      <c r="U16" s="752"/>
      <c r="V16" s="751"/>
      <c r="W16" s="752"/>
      <c r="X16" s="1892"/>
      <c r="Y16" s="3065"/>
      <c r="Z16" s="1894"/>
      <c r="AA16" s="1895">
        <v>1</v>
      </c>
      <c r="AB16" s="1895">
        <v>1</v>
      </c>
      <c r="AC16" s="1895">
        <v>1</v>
      </c>
    </row>
    <row r="17" spans="1:29" ht="71.25">
      <c r="A17" s="382"/>
      <c r="B17" s="1483" t="s">
        <v>2439</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65"/>
      <c r="Q17" s="1891" t="str">
        <f>B17</f>
        <v>商业繁华度</v>
      </c>
      <c r="R17" s="751" t="s">
        <v>25</v>
      </c>
      <c r="S17" s="752">
        <f>F17</f>
        <v>100</v>
      </c>
      <c r="T17" s="751" t="s">
        <v>25</v>
      </c>
      <c r="U17" s="752">
        <f>H17</f>
        <v>100</v>
      </c>
      <c r="V17" s="751" t="s">
        <v>25</v>
      </c>
      <c r="W17" s="752">
        <f>J17</f>
        <v>100</v>
      </c>
      <c r="X17" s="1892"/>
      <c r="Y17" s="3065"/>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0"/>
      <c r="J18" s="426"/>
      <c r="K18" s="654"/>
      <c r="L18" s="1247"/>
      <c r="M18" s="1238"/>
      <c r="N18" s="1238"/>
      <c r="O18" s="1246"/>
      <c r="P18" s="3065"/>
      <c r="Q18" s="1891"/>
      <c r="R18" s="751"/>
      <c r="S18" s="752"/>
      <c r="T18" s="751"/>
      <c r="U18" s="752"/>
      <c r="V18" s="751"/>
      <c r="W18" s="752"/>
      <c r="X18" s="1892"/>
      <c r="Y18" s="3065"/>
      <c r="Z18" s="1894"/>
      <c r="AA18" s="1895">
        <v>1</v>
      </c>
      <c r="AB18" s="1895">
        <v>1</v>
      </c>
      <c r="AC18" s="1895">
        <v>1</v>
      </c>
    </row>
    <row r="19" spans="1:29" ht="71.25">
      <c r="A19" s="382"/>
      <c r="B19" s="1483" t="s">
        <v>2468</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65"/>
      <c r="Q19" s="1891" t="str">
        <f>B19</f>
        <v>办公集聚程度</v>
      </c>
      <c r="R19" s="751" t="s">
        <v>25</v>
      </c>
      <c r="S19" s="752">
        <f>F19</f>
        <v>100</v>
      </c>
      <c r="T19" s="751" t="s">
        <v>25</v>
      </c>
      <c r="U19" s="752">
        <f>H19</f>
        <v>100</v>
      </c>
      <c r="V19" s="751" t="s">
        <v>25</v>
      </c>
      <c r="W19" s="752">
        <f>J19</f>
        <v>100</v>
      </c>
      <c r="X19" s="1892"/>
      <c r="Y19" s="3065"/>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7"/>
      <c r="J20" s="426"/>
      <c r="K20" s="654"/>
      <c r="L20" s="1247"/>
      <c r="M20" s="1238"/>
      <c r="N20" s="1238"/>
      <c r="O20" s="1246"/>
      <c r="P20" s="3065"/>
      <c r="Q20" s="1891"/>
      <c r="R20" s="751"/>
      <c r="S20" s="752"/>
      <c r="T20" s="751"/>
      <c r="U20" s="752"/>
      <c r="V20" s="751"/>
      <c r="W20" s="752"/>
      <c r="X20" s="1892"/>
      <c r="Y20" s="3065"/>
      <c r="Z20" s="1894"/>
      <c r="AA20" s="1895">
        <v>1</v>
      </c>
      <c r="AB20" s="1895">
        <v>1</v>
      </c>
      <c r="AC20" s="1895">
        <v>1</v>
      </c>
    </row>
    <row r="21" spans="1:29" ht="85.5">
      <c r="A21" s="382"/>
      <c r="B21" s="1483" t="s">
        <v>2497</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65"/>
      <c r="Q21" s="1891" t="str">
        <f>B21</f>
        <v>交通便捷度</v>
      </c>
      <c r="R21" s="751" t="s">
        <v>25</v>
      </c>
      <c r="S21" s="752">
        <f>F21</f>
        <v>100</v>
      </c>
      <c r="T21" s="751" t="s">
        <v>25</v>
      </c>
      <c r="U21" s="752">
        <f>H21</f>
        <v>100</v>
      </c>
      <c r="V21" s="751" t="s">
        <v>25</v>
      </c>
      <c r="W21" s="752">
        <f>J21</f>
        <v>100</v>
      </c>
      <c r="X21" s="1892"/>
      <c r="Y21" s="3065"/>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7"/>
      <c r="J22" s="426"/>
      <c r="K22" s="654"/>
      <c r="L22" s="1247"/>
      <c r="M22" s="1238"/>
      <c r="N22" s="1238"/>
      <c r="O22" s="1246"/>
      <c r="P22" s="3065"/>
      <c r="Q22" s="1891"/>
      <c r="R22" s="751"/>
      <c r="S22" s="752"/>
      <c r="T22" s="751"/>
      <c r="U22" s="752"/>
      <c r="V22" s="751"/>
      <c r="W22" s="752"/>
      <c r="X22" s="1892"/>
      <c r="Y22" s="3065"/>
      <c r="Z22" s="1894"/>
      <c r="AA22" s="1895">
        <v>1</v>
      </c>
      <c r="AB22" s="1895">
        <v>1</v>
      </c>
      <c r="AC22" s="1895">
        <v>1</v>
      </c>
    </row>
    <row r="23" spans="1:29" ht="15">
      <c r="A23" s="382"/>
      <c r="B23" s="1486" t="s">
        <v>2537</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65"/>
      <c r="Q23" s="1891" t="str">
        <f t="shared" ref="Q23:Q37" si="8">B23</f>
        <v>区域土地利用方向</v>
      </c>
      <c r="R23" s="751" t="s">
        <v>25</v>
      </c>
      <c r="S23" s="752">
        <f>F23</f>
        <v>100</v>
      </c>
      <c r="T23" s="751" t="s">
        <v>25</v>
      </c>
      <c r="U23" s="752">
        <f>H23</f>
        <v>100</v>
      </c>
      <c r="V23" s="751" t="s">
        <v>25</v>
      </c>
      <c r="W23" s="752">
        <f>J23</f>
        <v>100</v>
      </c>
      <c r="X23" s="1892"/>
      <c r="Y23" s="3065"/>
      <c r="Z23" s="1894" t="str">
        <f>Q23</f>
        <v>区域土地利用方向</v>
      </c>
      <c r="AA23" s="1895">
        <f t="shared" si="3"/>
        <v>1</v>
      </c>
      <c r="AB23" s="1895">
        <f t="shared" si="4"/>
        <v>1</v>
      </c>
      <c r="AC23" s="1895">
        <f t="shared" si="5"/>
        <v>1</v>
      </c>
    </row>
    <row r="24" spans="1:29" ht="15">
      <c r="A24" s="382"/>
      <c r="B24" s="1487"/>
      <c r="C24" s="617"/>
      <c r="D24" s="426"/>
      <c r="E24" s="427"/>
      <c r="F24" s="426"/>
      <c r="G24" s="2397"/>
      <c r="H24" s="426"/>
      <c r="I24" s="2397"/>
      <c r="J24" s="426"/>
      <c r="K24" s="802"/>
      <c r="L24" s="1247"/>
      <c r="M24" s="1238"/>
      <c r="N24" s="1238"/>
      <c r="O24" s="1246"/>
      <c r="P24" s="3065"/>
      <c r="Q24" s="1891"/>
      <c r="R24" s="751"/>
      <c r="S24" s="752"/>
      <c r="T24" s="751"/>
      <c r="U24" s="752"/>
      <c r="V24" s="751"/>
      <c r="W24" s="752"/>
      <c r="X24" s="1892"/>
      <c r="Y24" s="3065"/>
      <c r="Z24" s="1894"/>
      <c r="AA24" s="1895"/>
      <c r="AB24" s="1895"/>
      <c r="AC24" s="1895"/>
    </row>
    <row r="25" spans="1:29" ht="57">
      <c r="A25" s="382"/>
      <c r="B25" s="1485" t="s">
        <v>2538</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65"/>
      <c r="Q25" s="1891" t="str">
        <f t="shared" si="8"/>
        <v>自然及人文环境状况</v>
      </c>
      <c r="R25" s="751" t="s">
        <v>25</v>
      </c>
      <c r="S25" s="752">
        <f>F25</f>
        <v>100</v>
      </c>
      <c r="T25" s="751" t="s">
        <v>25</v>
      </c>
      <c r="U25" s="752">
        <f>H25</f>
        <v>100</v>
      </c>
      <c r="V25" s="751" t="s">
        <v>25</v>
      </c>
      <c r="W25" s="752">
        <f>J25</f>
        <v>100</v>
      </c>
      <c r="X25" s="1892"/>
      <c r="Y25" s="3065"/>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65"/>
      <c r="Q26" s="1891"/>
      <c r="R26" s="751"/>
      <c r="S26" s="752"/>
      <c r="T26" s="751"/>
      <c r="U26" s="752"/>
      <c r="V26" s="751"/>
      <c r="W26" s="752"/>
      <c r="X26" s="1892"/>
      <c r="Y26" s="3065"/>
      <c r="Z26" s="1894"/>
      <c r="AA26" s="1895">
        <v>1</v>
      </c>
      <c r="AB26" s="1895">
        <v>1</v>
      </c>
      <c r="AC26" s="1895">
        <v>1</v>
      </c>
    </row>
    <row r="27" spans="1:29" ht="42.75">
      <c r="A27" s="382"/>
      <c r="B27" s="1485" t="s">
        <v>2440</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65"/>
      <c r="Q27" s="1879" t="str">
        <f t="shared" ref="Q27" si="9">B27</f>
        <v>公共配套设施</v>
      </c>
      <c r="R27" s="747" t="s">
        <v>25</v>
      </c>
      <c r="S27" s="748">
        <f>F27</f>
        <v>100</v>
      </c>
      <c r="T27" s="747" t="s">
        <v>25</v>
      </c>
      <c r="U27" s="748">
        <f>H27</f>
        <v>100</v>
      </c>
      <c r="V27" s="747" t="s">
        <v>25</v>
      </c>
      <c r="W27" s="748">
        <f>J27</f>
        <v>100</v>
      </c>
      <c r="X27" s="1892"/>
      <c r="Y27" s="3065"/>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65"/>
      <c r="Q28" s="1891"/>
      <c r="R28" s="751"/>
      <c r="S28" s="752"/>
      <c r="T28" s="751"/>
      <c r="U28" s="752"/>
      <c r="V28" s="751"/>
      <c r="W28" s="752"/>
      <c r="X28" s="1892"/>
      <c r="Y28" s="3065"/>
      <c r="Z28" s="23"/>
      <c r="AA28" s="1895">
        <v>1</v>
      </c>
      <c r="AB28" s="1895">
        <v>1</v>
      </c>
      <c r="AC28" s="1895">
        <v>1</v>
      </c>
    </row>
    <row r="29" spans="1:29" s="35" customFormat="1" ht="28.5">
      <c r="A29" s="632"/>
      <c r="B29" s="1485" t="s">
        <v>2441</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65"/>
      <c r="Q29" s="1879" t="str">
        <f t="shared" si="8"/>
        <v>基础设施水平</v>
      </c>
      <c r="R29" s="747" t="s">
        <v>25</v>
      </c>
      <c r="S29" s="748">
        <f>F29</f>
        <v>100</v>
      </c>
      <c r="T29" s="747" t="s">
        <v>25</v>
      </c>
      <c r="U29" s="748">
        <f>H29</f>
        <v>100</v>
      </c>
      <c r="V29" s="747" t="s">
        <v>25</v>
      </c>
      <c r="W29" s="748">
        <f>J29</f>
        <v>100</v>
      </c>
      <c r="X29" s="749"/>
      <c r="Y29" s="3065"/>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65"/>
      <c r="Q30" s="1879"/>
      <c r="R30" s="747"/>
      <c r="S30" s="748"/>
      <c r="T30" s="747"/>
      <c r="U30" s="748"/>
      <c r="V30" s="747"/>
      <c r="W30" s="748"/>
      <c r="X30" s="749"/>
      <c r="Y30" s="3065"/>
      <c r="Z30" s="23"/>
      <c r="AA30" s="1895">
        <v>1</v>
      </c>
      <c r="AB30" s="1895">
        <v>1</v>
      </c>
      <c r="AC30" s="1895">
        <v>1</v>
      </c>
    </row>
    <row r="31" spans="1:29" ht="15">
      <c r="A31" s="382"/>
      <c r="B31" s="1484"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65"/>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65"/>
      <c r="Z31" s="1894" t="str">
        <f t="shared" ref="Z31:Z45" si="13">Q31</f>
        <v>临街状况</v>
      </c>
      <c r="AA31" s="1895">
        <f t="shared" si="3"/>
        <v>1</v>
      </c>
      <c r="AB31" s="1895">
        <f t="shared" si="4"/>
        <v>1</v>
      </c>
      <c r="AC31" s="1895">
        <f t="shared" si="5"/>
        <v>1</v>
      </c>
    </row>
    <row r="32" spans="1:29" ht="27">
      <c r="A32" s="382"/>
      <c r="B32" s="1485"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65"/>
      <c r="Q32" s="1891" t="str">
        <f t="shared" si="8"/>
        <v>毗邻道路的类型与等级</v>
      </c>
      <c r="R32" s="751" t="s">
        <v>25</v>
      </c>
      <c r="S32" s="752">
        <f t="shared" si="10"/>
        <v>100</v>
      </c>
      <c r="T32" s="751" t="s">
        <v>25</v>
      </c>
      <c r="U32" s="752">
        <f t="shared" si="11"/>
        <v>100</v>
      </c>
      <c r="V32" s="751" t="s">
        <v>25</v>
      </c>
      <c r="W32" s="752">
        <f t="shared" si="12"/>
        <v>100</v>
      </c>
      <c r="X32" s="1892"/>
      <c r="Y32" s="3065"/>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65"/>
      <c r="Q33" s="1891"/>
      <c r="R33" s="751"/>
      <c r="S33" s="752"/>
      <c r="T33" s="751"/>
      <c r="U33" s="752"/>
      <c r="V33" s="751"/>
      <c r="W33" s="752"/>
      <c r="X33" s="1892"/>
      <c r="Y33" s="3065"/>
      <c r="Z33" s="1894"/>
      <c r="AA33" s="1895">
        <v>1</v>
      </c>
      <c r="AB33" s="1895">
        <v>1</v>
      </c>
      <c r="AC33" s="1895">
        <v>1</v>
      </c>
    </row>
    <row r="34" spans="1:29" ht="15">
      <c r="A34" s="382"/>
      <c r="B34" s="1488"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65"/>
      <c r="Q34" s="1891" t="str">
        <f t="shared" si="8"/>
        <v>土地级别</v>
      </c>
      <c r="R34" s="751" t="s">
        <v>25</v>
      </c>
      <c r="S34" s="752">
        <f t="shared" si="10"/>
        <v>100</v>
      </c>
      <c r="T34" s="751" t="s">
        <v>25</v>
      </c>
      <c r="U34" s="752">
        <f t="shared" si="11"/>
        <v>100</v>
      </c>
      <c r="V34" s="751" t="s">
        <v>25</v>
      </c>
      <c r="W34" s="752">
        <f t="shared" si="12"/>
        <v>100</v>
      </c>
      <c r="X34" s="1892"/>
      <c r="Y34" s="3065"/>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65"/>
      <c r="Q35" s="1891">
        <f t="shared" si="8"/>
        <v>111</v>
      </c>
      <c r="R35" s="751" t="s">
        <v>25</v>
      </c>
      <c r="S35" s="752">
        <f t="shared" si="10"/>
        <v>100</v>
      </c>
      <c r="T35" s="751" t="s">
        <v>25</v>
      </c>
      <c r="U35" s="752">
        <f t="shared" si="11"/>
        <v>100</v>
      </c>
      <c r="V35" s="751" t="s">
        <v>25</v>
      </c>
      <c r="W35" s="752">
        <f t="shared" si="12"/>
        <v>100</v>
      </c>
      <c r="X35" s="1892"/>
      <c r="Y35" s="3065"/>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1" t="s">
        <v>2360</v>
      </c>
      <c r="Q36" s="1891">
        <f t="shared" si="8"/>
        <v>111</v>
      </c>
      <c r="R36" s="751" t="s">
        <v>25</v>
      </c>
      <c r="S36" s="752">
        <f t="shared" si="10"/>
        <v>100</v>
      </c>
      <c r="T36" s="751" t="s">
        <v>25</v>
      </c>
      <c r="U36" s="752">
        <f t="shared" si="11"/>
        <v>100</v>
      </c>
      <c r="V36" s="751" t="s">
        <v>25</v>
      </c>
      <c r="W36" s="752">
        <f t="shared" si="12"/>
        <v>100</v>
      </c>
      <c r="X36" s="1892"/>
      <c r="Y36" s="3069" t="s">
        <v>2360</v>
      </c>
      <c r="Z36" s="1894">
        <f t="shared" si="13"/>
        <v>111</v>
      </c>
      <c r="AA36" s="1895">
        <f t="shared" si="3"/>
        <v>1</v>
      </c>
      <c r="AB36" s="1895">
        <f t="shared" si="4"/>
        <v>1</v>
      </c>
      <c r="AC36" s="1895">
        <f t="shared" si="5"/>
        <v>1</v>
      </c>
    </row>
    <row r="37" spans="1:29" s="451" customFormat="1" ht="15.75"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69"/>
      <c r="Q37" s="1891">
        <f t="shared" si="8"/>
        <v>111</v>
      </c>
      <c r="R37" s="754" t="s">
        <v>25</v>
      </c>
      <c r="S37" s="755">
        <f t="shared" si="10"/>
        <v>100</v>
      </c>
      <c r="T37" s="754" t="s">
        <v>25</v>
      </c>
      <c r="U37" s="755">
        <f t="shared" si="11"/>
        <v>100</v>
      </c>
      <c r="V37" s="754" t="s">
        <v>25</v>
      </c>
      <c r="W37" s="755">
        <f t="shared" si="12"/>
        <v>100</v>
      </c>
      <c r="X37" s="756"/>
      <c r="Y37" s="3069"/>
      <c r="Z37" s="757">
        <f t="shared" si="13"/>
        <v>111</v>
      </c>
      <c r="AA37" s="1895">
        <f t="shared" si="3"/>
        <v>1</v>
      </c>
      <c r="AB37" s="1895">
        <f t="shared" si="4"/>
        <v>1</v>
      </c>
      <c r="AC37" s="1895">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69"/>
      <c r="Q38" s="1891" t="str">
        <f>B38</f>
        <v>宗地面积</v>
      </c>
      <c r="R38" s="751" t="s">
        <v>25</v>
      </c>
      <c r="S38" s="752" t="e">
        <f t="shared" si="10"/>
        <v>#N/A</v>
      </c>
      <c r="T38" s="751" t="s">
        <v>25</v>
      </c>
      <c r="U38" s="752" t="e">
        <f t="shared" si="11"/>
        <v>#N/A</v>
      </c>
      <c r="V38" s="751" t="s">
        <v>25</v>
      </c>
      <c r="W38" s="752" t="e">
        <f t="shared" si="12"/>
        <v>#N/A</v>
      </c>
      <c r="X38" s="1892"/>
      <c r="Y38" s="3069"/>
      <c r="Z38" s="1894" t="str">
        <f t="shared" si="13"/>
        <v>宗地面积</v>
      </c>
      <c r="AA38" s="1895" t="e">
        <f t="shared" si="3"/>
        <v>#N/A</v>
      </c>
      <c r="AB38" s="1895" t="e">
        <f t="shared" si="4"/>
        <v>#N/A</v>
      </c>
      <c r="AC38" s="1895" t="e">
        <f t="shared" si="5"/>
        <v>#N/A</v>
      </c>
    </row>
    <row r="39" spans="1:29" ht="15">
      <c r="A39" s="452"/>
      <c r="B39" s="401" t="s">
        <v>2541</v>
      </c>
      <c r="C39" s="2404"/>
      <c r="D39" s="414">
        <v>100</v>
      </c>
      <c r="E39" s="2404"/>
      <c r="F39" s="414">
        <f>SUMIF(119:119,E39,120:120)-SUMIF(119:119,C39,120:120)+100</f>
        <v>100</v>
      </c>
      <c r="G39" s="2404"/>
      <c r="H39" s="414">
        <f>SUMIF(119:119,G39,120:120)-SUMIF(119:119,C39,120:120)+100</f>
        <v>100</v>
      </c>
      <c r="I39" s="2404"/>
      <c r="J39" s="414">
        <f>SUMIF(119:119,I39,120:120)-SUMIF(119:119,C39,120:120)+100</f>
        <v>100</v>
      </c>
      <c r="K39" s="595"/>
      <c r="L39" s="1247"/>
      <c r="M39" s="1238"/>
      <c r="N39" s="1238"/>
      <c r="O39" s="1246"/>
      <c r="P39" s="3069"/>
      <c r="Q39" s="1891" t="str">
        <f t="shared" ref="Q39:Q45" si="14">B39</f>
        <v>宗地形状</v>
      </c>
      <c r="R39" s="751" t="s">
        <v>25</v>
      </c>
      <c r="S39" s="752">
        <f t="shared" si="10"/>
        <v>100</v>
      </c>
      <c r="T39" s="751" t="s">
        <v>25</v>
      </c>
      <c r="U39" s="752">
        <f t="shared" si="11"/>
        <v>100</v>
      </c>
      <c r="V39" s="751" t="s">
        <v>25</v>
      </c>
      <c r="W39" s="752">
        <f t="shared" si="12"/>
        <v>100</v>
      </c>
      <c r="X39" s="1892"/>
      <c r="Y39" s="3069"/>
      <c r="Z39" s="1894" t="str">
        <f t="shared" si="13"/>
        <v>宗地形状</v>
      </c>
      <c r="AA39" s="1895">
        <f t="shared" si="3"/>
        <v>1</v>
      </c>
      <c r="AB39" s="1895">
        <f t="shared" si="4"/>
        <v>1</v>
      </c>
      <c r="AC39" s="1895">
        <f t="shared" si="5"/>
        <v>1</v>
      </c>
    </row>
    <row r="40" spans="1:29" ht="15">
      <c r="A40" s="452"/>
      <c r="B40" s="401" t="s">
        <v>2542</v>
      </c>
      <c r="C40" s="2404"/>
      <c r="D40" s="414">
        <v>100</v>
      </c>
      <c r="E40" s="2404"/>
      <c r="F40" s="414">
        <f>SUMIF(121:121,E40,122:122)-SUMIF(121:121,C40,122:122)+100</f>
        <v>100</v>
      </c>
      <c r="G40" s="2404"/>
      <c r="H40" s="414">
        <f>SUMIF(121:121,G40,122:122)-SUMIF(121:121,C40,122:122)+100</f>
        <v>100</v>
      </c>
      <c r="I40" s="2404"/>
      <c r="J40" s="414">
        <f>SUMIF(121:121,I40,122:122)-SUMIF(121:121,C40,122:122)+100</f>
        <v>100</v>
      </c>
      <c r="K40" s="595"/>
      <c r="L40" s="1247"/>
      <c r="M40" s="1238"/>
      <c r="N40" s="1238"/>
      <c r="O40" s="1246"/>
      <c r="P40" s="3069"/>
      <c r="Q40" s="1891" t="str">
        <f t="shared" si="14"/>
        <v>临街宽度及深度</v>
      </c>
      <c r="R40" s="751" t="s">
        <v>25</v>
      </c>
      <c r="S40" s="752">
        <f t="shared" si="10"/>
        <v>100</v>
      </c>
      <c r="T40" s="751" t="s">
        <v>25</v>
      </c>
      <c r="U40" s="752">
        <f t="shared" si="11"/>
        <v>100</v>
      </c>
      <c r="V40" s="751" t="s">
        <v>25</v>
      </c>
      <c r="W40" s="752">
        <f t="shared" si="12"/>
        <v>100</v>
      </c>
      <c r="X40" s="1892"/>
      <c r="Y40" s="3069"/>
      <c r="Z40" s="1894" t="str">
        <f t="shared" si="13"/>
        <v>临街宽度及深度</v>
      </c>
      <c r="AA40" s="1895">
        <f t="shared" si="3"/>
        <v>1</v>
      </c>
      <c r="AB40" s="1895">
        <f t="shared" si="4"/>
        <v>1</v>
      </c>
      <c r="AC40" s="1895">
        <f t="shared" si="5"/>
        <v>1</v>
      </c>
    </row>
    <row r="41" spans="1:29" s="35" customFormat="1" ht="15">
      <c r="A41" s="453"/>
      <c r="B41" s="401" t="s">
        <v>2543</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69"/>
      <c r="Q41" s="1891" t="str">
        <f t="shared" si="14"/>
        <v>宗地开发程度</v>
      </c>
      <c r="R41" s="747" t="s">
        <v>25</v>
      </c>
      <c r="S41" s="748">
        <f t="shared" si="10"/>
        <v>100</v>
      </c>
      <c r="T41" s="747" t="s">
        <v>25</v>
      </c>
      <c r="U41" s="748">
        <f t="shared" si="11"/>
        <v>100</v>
      </c>
      <c r="V41" s="747" t="s">
        <v>25</v>
      </c>
      <c r="W41" s="748">
        <f t="shared" si="12"/>
        <v>100</v>
      </c>
      <c r="X41" s="749"/>
      <c r="Y41" s="3069"/>
      <c r="Z41" s="23" t="str">
        <f t="shared" si="13"/>
        <v>宗地开发程度</v>
      </c>
      <c r="AA41" s="750">
        <f t="shared" si="3"/>
        <v>1</v>
      </c>
      <c r="AB41" s="750">
        <f t="shared" si="4"/>
        <v>1</v>
      </c>
      <c r="AC41" s="750">
        <f t="shared" si="5"/>
        <v>1</v>
      </c>
    </row>
    <row r="42" spans="1:29" ht="15">
      <c r="A42" s="452"/>
      <c r="B42" s="401" t="s">
        <v>2544</v>
      </c>
      <c r="C42" s="2404"/>
      <c r="D42" s="414">
        <v>100</v>
      </c>
      <c r="E42" s="2404"/>
      <c r="F42" s="414">
        <f>SUMIF(125:125,E42,126:126)-SUMIF(125:125,C42,126:126)+100</f>
        <v>100</v>
      </c>
      <c r="G42" s="2404"/>
      <c r="H42" s="414">
        <f>SUMIF(125:125,G42,126:126)-SUMIF(125:125,C42,126:126)+100</f>
        <v>100</v>
      </c>
      <c r="I42" s="2404"/>
      <c r="J42" s="414">
        <f>SUMIF(125:125,I42,126:126)-SUMIF(125:125,C42,126:126)+100</f>
        <v>100</v>
      </c>
      <c r="K42" s="595"/>
      <c r="L42" s="1247"/>
      <c r="M42" s="1238"/>
      <c r="N42" s="1238"/>
      <c r="O42" s="1246"/>
      <c r="P42" s="3069" t="s">
        <v>2360</v>
      </c>
      <c r="Q42" s="1891" t="str">
        <f t="shared" si="14"/>
        <v>工程地质条件</v>
      </c>
      <c r="R42" s="751" t="s">
        <v>25</v>
      </c>
      <c r="S42" s="752">
        <f t="shared" si="10"/>
        <v>100</v>
      </c>
      <c r="T42" s="751" t="s">
        <v>25</v>
      </c>
      <c r="U42" s="752">
        <f t="shared" si="11"/>
        <v>100</v>
      </c>
      <c r="V42" s="751" t="s">
        <v>25</v>
      </c>
      <c r="W42" s="752">
        <f t="shared" si="12"/>
        <v>100</v>
      </c>
      <c r="X42" s="1892"/>
      <c r="Y42" s="3069" t="s">
        <v>2360</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69"/>
      <c r="Q43" s="1891">
        <f t="shared" si="14"/>
        <v>111</v>
      </c>
      <c r="R43" s="751" t="s">
        <v>25</v>
      </c>
      <c r="S43" s="752">
        <f t="shared" si="10"/>
        <v>100</v>
      </c>
      <c r="T43" s="751" t="s">
        <v>25</v>
      </c>
      <c r="U43" s="752">
        <f t="shared" si="11"/>
        <v>100</v>
      </c>
      <c r="V43" s="751" t="s">
        <v>25</v>
      </c>
      <c r="W43" s="752">
        <f t="shared" si="12"/>
        <v>100</v>
      </c>
      <c r="X43" s="1892"/>
      <c r="Y43" s="3069"/>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69"/>
      <c r="Q44" s="1891">
        <f t="shared" si="14"/>
        <v>111</v>
      </c>
      <c r="R44" s="751" t="s">
        <v>25</v>
      </c>
      <c r="S44" s="752">
        <f t="shared" si="10"/>
        <v>100</v>
      </c>
      <c r="T44" s="751" t="s">
        <v>25</v>
      </c>
      <c r="U44" s="752">
        <f t="shared" si="11"/>
        <v>100</v>
      </c>
      <c r="V44" s="751" t="s">
        <v>25</v>
      </c>
      <c r="W44" s="752">
        <f t="shared" si="12"/>
        <v>100</v>
      </c>
      <c r="X44" s="1892"/>
      <c r="Y44" s="3069"/>
      <c r="Z44" s="1894">
        <f t="shared" si="13"/>
        <v>111</v>
      </c>
      <c r="AA44" s="1895">
        <f t="shared" si="3"/>
        <v>1</v>
      </c>
      <c r="AB44" s="1895">
        <f t="shared" si="4"/>
        <v>1</v>
      </c>
      <c r="AC44" s="1895">
        <f t="shared" si="5"/>
        <v>1</v>
      </c>
    </row>
    <row r="45" spans="1:29" s="451" customFormat="1" ht="15.75"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69"/>
      <c r="Q45" s="1891">
        <f t="shared" si="14"/>
        <v>111</v>
      </c>
      <c r="R45" s="754" t="s">
        <v>25</v>
      </c>
      <c r="S45" s="755">
        <f t="shared" si="10"/>
        <v>100</v>
      </c>
      <c r="T45" s="754" t="s">
        <v>25</v>
      </c>
      <c r="U45" s="755">
        <f t="shared" si="11"/>
        <v>100</v>
      </c>
      <c r="V45" s="754" t="s">
        <v>25</v>
      </c>
      <c r="W45" s="755">
        <f t="shared" si="12"/>
        <v>100</v>
      </c>
      <c r="X45" s="756"/>
      <c r="Y45" s="3069"/>
      <c r="Z45" s="757">
        <f t="shared" si="13"/>
        <v>111</v>
      </c>
      <c r="AA45" s="1895">
        <f t="shared" si="3"/>
        <v>1</v>
      </c>
      <c r="AB45" s="1895">
        <f t="shared" si="4"/>
        <v>1</v>
      </c>
      <c r="AC45" s="1895">
        <f t="shared" si="5"/>
        <v>1</v>
      </c>
    </row>
    <row r="46" spans="1:29" ht="15">
      <c r="A46" s="459" t="s">
        <v>2508</v>
      </c>
      <c r="B46" s="2485" t="s">
        <v>2545</v>
      </c>
      <c r="C46" s="664" t="s">
        <v>1</v>
      </c>
      <c r="D46" s="461"/>
      <c r="E46" s="462"/>
      <c r="F46" s="463"/>
      <c r="G46" s="464"/>
      <c r="H46" s="465"/>
      <c r="I46" s="462"/>
      <c r="J46" s="465"/>
      <c r="K46" s="760"/>
      <c r="L46" s="1250"/>
      <c r="M46" s="1251"/>
      <c r="N46" s="1238"/>
      <c r="O46" s="1251"/>
      <c r="P46" s="3075" t="str">
        <f>A46</f>
        <v>成交单价</v>
      </c>
      <c r="Q46" s="3075"/>
      <c r="R46" s="3054">
        <f>E46</f>
        <v>0</v>
      </c>
      <c r="S46" s="3054"/>
      <c r="T46" s="3054">
        <f>G46</f>
        <v>0</v>
      </c>
      <c r="U46" s="3054"/>
      <c r="V46" s="3054">
        <f>I46</f>
        <v>0</v>
      </c>
      <c r="W46" s="3054"/>
      <c r="X46" s="736"/>
      <c r="Y46" s="758"/>
      <c r="Z46" s="736"/>
      <c r="AA46" s="736"/>
      <c r="AB46" s="736"/>
      <c r="AC46" s="736"/>
    </row>
    <row r="47" spans="1:29" ht="15.75" thickBot="1">
      <c r="A47" s="466" t="s">
        <v>2455</v>
      </c>
      <c r="B47" s="665"/>
      <c r="C47" s="470" t="e">
        <f>R48</f>
        <v>#DIV/0!</v>
      </c>
      <c r="D47" s="469"/>
      <c r="E47" s="470" t="e">
        <f>R47</f>
        <v>#DIV/0!</v>
      </c>
      <c r="F47" s="471"/>
      <c r="G47" s="468" t="e">
        <f>T47</f>
        <v>#DIV/0!</v>
      </c>
      <c r="H47" s="469"/>
      <c r="I47" s="470" t="e">
        <f>V47</f>
        <v>#DIV/0!</v>
      </c>
      <c r="J47" s="469"/>
      <c r="K47" s="761"/>
      <c r="L47" s="1250"/>
      <c r="M47" s="1251"/>
      <c r="N47" s="1251"/>
      <c r="O47" s="1251"/>
      <c r="P47" s="3075" t="str">
        <f>A47</f>
        <v>比较价值（元/平方米）</v>
      </c>
      <c r="Q47" s="3075"/>
      <c r="R47" s="3092" t="e">
        <f>ROUND(PRODUCT(R46,AA7:AA45),0)</f>
        <v>#DIV/0!</v>
      </c>
      <c r="S47" s="3092"/>
      <c r="T47" s="3092" t="e">
        <f>ROUND(PRODUCT(T46,AB7:AB45),0)</f>
        <v>#DIV/0!</v>
      </c>
      <c r="U47" s="3092"/>
      <c r="V47" s="3092" t="e">
        <f>ROUND(PRODUCT(V46,AC7:AC45),0)</f>
        <v>#DIV/0!</v>
      </c>
      <c r="W47" s="3092"/>
      <c r="X47" s="736"/>
      <c r="Y47" s="736"/>
      <c r="Z47" s="736"/>
      <c r="AA47" s="736"/>
      <c r="AB47" s="736"/>
      <c r="AC47" s="736"/>
    </row>
    <row r="48" spans="1:29" ht="15.75" thickBot="1">
      <c r="A48" s="472" t="s">
        <v>2478</v>
      </c>
      <c r="B48" s="473"/>
      <c r="C48" s="474" t="e">
        <f>R48</f>
        <v>#DIV/0!</v>
      </c>
      <c r="D48" s="474"/>
      <c r="E48" s="474"/>
      <c r="F48" s="474"/>
      <c r="G48" s="474"/>
      <c r="H48" s="474"/>
      <c r="I48" s="474"/>
      <c r="J48" s="474"/>
      <c r="K48" s="762"/>
      <c r="L48" s="1250"/>
      <c r="M48" s="1251"/>
      <c r="N48" s="1251"/>
      <c r="O48" s="1251"/>
      <c r="P48" s="3081" t="str">
        <f>A48</f>
        <v>估价对象XX用房的比较价值（楼面单价，元/平方米）</v>
      </c>
      <c r="Q48" s="3082"/>
      <c r="R48" s="3093" t="e">
        <f>ROUND(AVERAGE(R47:V47),0)</f>
        <v>#DIV/0!</v>
      </c>
      <c r="S48" s="3093"/>
      <c r="T48" s="3093"/>
      <c r="U48" s="3093"/>
      <c r="V48" s="3093"/>
      <c r="W48" s="3093"/>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5" thickBot="1">
      <c r="A54" s="1253"/>
      <c r="B54" s="1254"/>
      <c r="C54" s="739"/>
      <c r="D54" s="738"/>
      <c r="E54" s="738"/>
      <c r="F54" s="738"/>
      <c r="G54" s="738"/>
      <c r="H54" s="738"/>
      <c r="I54" s="738"/>
      <c r="J54" s="738"/>
      <c r="K54" s="1257"/>
      <c r="L54" s="1258"/>
      <c r="M54" s="1253"/>
      <c r="N54" s="1253"/>
      <c r="O54" s="1253"/>
    </row>
    <row r="55" spans="1:15" ht="27">
      <c r="A55" s="666" t="s">
        <v>2546</v>
      </c>
      <c r="B55" s="667" t="s">
        <v>2547</v>
      </c>
      <c r="C55" s="2486" t="s">
        <v>2548</v>
      </c>
      <c r="D55" s="2487" t="s">
        <v>2549</v>
      </c>
      <c r="E55" s="668" t="s">
        <v>2550</v>
      </c>
      <c r="F55" s="669" t="s">
        <v>2551</v>
      </c>
      <c r="G55" s="61" t="s">
        <v>2552</v>
      </c>
      <c r="H55" s="61" t="str">
        <f>项目基本情况!G8</f>
        <v>XX</v>
      </c>
      <c r="I55" s="2488" t="s">
        <v>2553</v>
      </c>
      <c r="J55" s="737"/>
      <c r="K55" s="1252"/>
      <c r="L55" s="1252"/>
      <c r="M55" s="1251"/>
      <c r="N55" s="1251"/>
      <c r="O55" s="1251"/>
    </row>
    <row r="56" spans="1:15" s="674" customFormat="1">
      <c r="A56" s="670" t="s">
        <v>2554</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2555</v>
      </c>
      <c r="B57" s="177" t="e">
        <f>ROUND($C$48*C57*D57,0)</f>
        <v>#DIV/0!</v>
      </c>
      <c r="C57" s="116">
        <f>IF($C$55="北京市系数",G57,H57)</f>
        <v>0.6</v>
      </c>
      <c r="D57" s="1286">
        <v>0.25</v>
      </c>
      <c r="E57" s="676">
        <v>0</v>
      </c>
      <c r="F57" s="673" t="e">
        <f t="shared" si="15"/>
        <v>#DIV/0!</v>
      </c>
      <c r="G57" s="966">
        <f>SUMIF(修正!$A$45:$A$56,项目基本情况!$F$9,修正!B45:B56)</f>
        <v>0.6</v>
      </c>
      <c r="H57" s="967"/>
      <c r="I57" s="1251"/>
      <c r="J57" s="1256"/>
      <c r="K57" s="1252"/>
      <c r="L57" s="1252"/>
      <c r="M57" s="1251"/>
      <c r="N57" s="1251"/>
      <c r="O57" s="965"/>
    </row>
    <row r="58" spans="1:15" s="674" customFormat="1">
      <c r="A58" s="675" t="s">
        <v>2556</v>
      </c>
      <c r="B58" s="177" t="e">
        <f t="shared" ref="B58:B65" si="16">ROUND($C$48*C58*D58,0)</f>
        <v>#DIV/0!</v>
      </c>
      <c r="C58" s="116">
        <f t="shared" ref="C58:C65" si="17">IF($C$55="北京市系数",G58,H58)</f>
        <v>0.3</v>
      </c>
      <c r="D58" s="1286">
        <v>0.25</v>
      </c>
      <c r="E58" s="676">
        <v>0</v>
      </c>
      <c r="F58" s="673" t="e">
        <f t="shared" si="15"/>
        <v>#DIV/0!</v>
      </c>
      <c r="G58" s="966">
        <f>SUMIF(修正!$A$45:$A$56,项目基本情况!$F$9,修正!C45:C56)</f>
        <v>0.3</v>
      </c>
      <c r="H58" s="967"/>
      <c r="I58" s="1253"/>
      <c r="J58" s="1253"/>
      <c r="K58" s="1257"/>
      <c r="L58" s="1258"/>
      <c r="M58" s="1253"/>
      <c r="N58" s="1253"/>
      <c r="O58" s="965"/>
    </row>
    <row r="59" spans="1:15" s="674" customFormat="1">
      <c r="A59" s="675" t="s">
        <v>2557</v>
      </c>
      <c r="B59" s="177" t="e">
        <f t="shared" si="16"/>
        <v>#DIV/0!</v>
      </c>
      <c r="C59" s="116">
        <f t="shared" si="17"/>
        <v>0.2</v>
      </c>
      <c r="D59" s="1286">
        <v>0.25</v>
      </c>
      <c r="E59" s="676">
        <v>0</v>
      </c>
      <c r="F59" s="673" t="e">
        <f t="shared" si="15"/>
        <v>#DIV/0!</v>
      </c>
      <c r="G59" s="966">
        <f>SUMIF(修正!$A$45:$A$56,项目基本情况!$F$9,修正!D45:D56)</f>
        <v>0.2</v>
      </c>
      <c r="H59" s="967"/>
      <c r="I59" s="1251"/>
      <c r="J59" s="1256"/>
      <c r="K59" s="1252"/>
      <c r="L59" s="1252"/>
      <c r="M59" s="1251"/>
      <c r="N59" s="1251"/>
      <c r="O59" s="965"/>
    </row>
    <row r="60" spans="1:15" s="674" customFormat="1">
      <c r="A60" s="675" t="s">
        <v>2558</v>
      </c>
      <c r="B60" s="177" t="e">
        <f t="shared" si="16"/>
        <v>#DIV/0!</v>
      </c>
      <c r="C60" s="116">
        <f t="shared" si="17"/>
        <v>0.2</v>
      </c>
      <c r="D60" s="1286">
        <v>0.25</v>
      </c>
      <c r="E60" s="676">
        <v>0</v>
      </c>
      <c r="F60" s="673" t="e">
        <f t="shared" si="15"/>
        <v>#DIV/0!</v>
      </c>
      <c r="G60" s="966">
        <f>SUMIF(修正!$A$45:$A$56,项目基本情况!$F$9,修正!E45:E56)</f>
        <v>0.2</v>
      </c>
      <c r="H60" s="967"/>
      <c r="I60" s="1253"/>
      <c r="J60" s="1253"/>
      <c r="K60" s="1257"/>
      <c r="L60" s="1258"/>
      <c r="M60" s="1253"/>
      <c r="N60" s="1253"/>
      <c r="O60" s="965"/>
    </row>
    <row r="61" spans="1:15" s="674" customFormat="1">
      <c r="A61" s="675" t="s">
        <v>2559</v>
      </c>
      <c r="B61" s="177" t="e">
        <f t="shared" si="16"/>
        <v>#DIV/0!</v>
      </c>
      <c r="C61" s="116">
        <f t="shared" si="17"/>
        <v>0.2</v>
      </c>
      <c r="D61" s="1286">
        <v>0.25</v>
      </c>
      <c r="E61" s="676">
        <v>0</v>
      </c>
      <c r="F61" s="673" t="e">
        <f t="shared" si="15"/>
        <v>#DIV/0!</v>
      </c>
      <c r="G61" s="966">
        <f>SUMIF(修正!A45:A56,项目基本情况!F9,修正!F45:F56)</f>
        <v>0.2</v>
      </c>
      <c r="H61" s="967"/>
      <c r="I61" s="1251"/>
      <c r="J61" s="1256"/>
      <c r="K61" s="1252"/>
      <c r="L61" s="1252"/>
      <c r="M61" s="1251"/>
      <c r="N61" s="1251"/>
      <c r="O61" s="965"/>
    </row>
    <row r="62" spans="1:15" s="674" customFormat="1">
      <c r="A62" s="675" t="s">
        <v>2560</v>
      </c>
      <c r="B62" s="177" t="e">
        <f t="shared" si="16"/>
        <v>#DIV/0!</v>
      </c>
      <c r="C62" s="116">
        <f t="shared" si="17"/>
        <v>0.2</v>
      </c>
      <c r="D62" s="1286">
        <v>0.25</v>
      </c>
      <c r="E62" s="676">
        <v>0</v>
      </c>
      <c r="F62" s="673" t="e">
        <f t="shared" si="15"/>
        <v>#DIV/0!</v>
      </c>
      <c r="G62" s="966">
        <f>SUMIF(修正!A45:A56,项目基本情况!F9,修正!G45:G56)</f>
        <v>0.2</v>
      </c>
      <c r="H62" s="967"/>
      <c r="I62" s="1253"/>
      <c r="J62" s="1253"/>
      <c r="K62" s="1257"/>
      <c r="L62" s="1258"/>
      <c r="M62" s="1253"/>
      <c r="N62" s="1253"/>
      <c r="O62" s="965"/>
    </row>
    <row r="63" spans="1:15" s="674" customFormat="1">
      <c r="A63" s="675" t="s">
        <v>2561</v>
      </c>
      <c r="B63" s="177" t="e">
        <f t="shared" si="16"/>
        <v>#DIV/0!</v>
      </c>
      <c r="C63" s="116">
        <f>IF($C$55="北京市系数",G63,H63)</f>
        <v>0.15</v>
      </c>
      <c r="D63" s="1286">
        <v>0.25</v>
      </c>
      <c r="E63" s="676">
        <v>0</v>
      </c>
      <c r="F63" s="673" t="e">
        <f t="shared" si="15"/>
        <v>#DIV/0!</v>
      </c>
      <c r="G63" s="966">
        <f>SUMIF(修正!A45:A56,项目基本情况!F9,修正!H45:H56)</f>
        <v>0.15</v>
      </c>
      <c r="H63" s="967"/>
      <c r="I63" s="1251"/>
      <c r="J63" s="1256"/>
      <c r="K63" s="1252"/>
      <c r="L63" s="1252"/>
      <c r="M63" s="1251"/>
      <c r="N63" s="1251"/>
      <c r="O63" s="965"/>
    </row>
    <row r="64" spans="1:15" s="674" customFormat="1">
      <c r="A64" s="675" t="s">
        <v>2562</v>
      </c>
      <c r="B64" s="177" t="e">
        <f t="shared" si="16"/>
        <v>#DIV/0!</v>
      </c>
      <c r="C64" s="116">
        <f t="shared" si="17"/>
        <v>0.15</v>
      </c>
      <c r="D64" s="1286">
        <v>0.25</v>
      </c>
      <c r="E64" s="676">
        <v>0</v>
      </c>
      <c r="F64" s="673" t="e">
        <f t="shared" si="15"/>
        <v>#DIV/0!</v>
      </c>
      <c r="G64" s="966">
        <f>G63</f>
        <v>0.15</v>
      </c>
      <c r="H64" s="967"/>
      <c r="I64" s="1253"/>
      <c r="J64" s="1253"/>
      <c r="K64" s="1257"/>
      <c r="L64" s="1258"/>
      <c r="M64" s="1253"/>
      <c r="N64" s="1253"/>
      <c r="O64" s="965"/>
    </row>
    <row r="65" spans="1:17" s="674" customFormat="1">
      <c r="A65" s="675" t="s">
        <v>2563</v>
      </c>
      <c r="B65" s="177" t="e">
        <f t="shared" si="16"/>
        <v>#DIV/0!</v>
      </c>
      <c r="C65" s="116">
        <f t="shared" si="17"/>
        <v>0.15</v>
      </c>
      <c r="D65" s="1286">
        <v>0.25</v>
      </c>
      <c r="E65" s="676">
        <v>0</v>
      </c>
      <c r="F65" s="673" t="e">
        <f t="shared" si="15"/>
        <v>#DIV/0!</v>
      </c>
      <c r="G65" s="966">
        <f>G63</f>
        <v>0.15</v>
      </c>
      <c r="H65" s="967"/>
      <c r="I65" s="1251"/>
      <c r="J65" s="1256"/>
      <c r="K65" s="1252"/>
      <c r="L65" s="1252"/>
      <c r="M65" s="1251"/>
      <c r="N65" s="1251"/>
      <c r="O65" s="965"/>
    </row>
    <row r="66" spans="1:17" s="674" customFormat="1" ht="13.5" thickBot="1">
      <c r="A66" s="678" t="s">
        <v>2564</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1.75" thickBot="1">
      <c r="A69" s="740" t="s">
        <v>2460</v>
      </c>
      <c r="B69" s="736"/>
      <c r="C69" s="741"/>
      <c r="D69" s="741"/>
      <c r="E69" s="741"/>
      <c r="F69" s="742"/>
      <c r="G69" s="742"/>
      <c r="H69" s="741"/>
      <c r="I69" s="1267"/>
      <c r="J69" s="1267"/>
      <c r="K69" s="1265"/>
      <c r="L69" s="1266"/>
      <c r="M69" s="1267"/>
      <c r="N69" s="1267"/>
      <c r="O69" s="1267"/>
      <c r="P69" s="483"/>
      <c r="Q69" s="484"/>
    </row>
    <row r="70" spans="1:17" s="1668" customFormat="1" ht="15">
      <c r="A70" s="2489" t="s">
        <v>2565</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2566</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75" thickBot="1">
      <c r="A72" s="495" t="s">
        <v>2380</v>
      </c>
      <c r="B72" s="496"/>
      <c r="C72" s="497"/>
      <c r="D72" s="498"/>
      <c r="E72" s="498"/>
      <c r="F72" s="498"/>
      <c r="G72" s="498"/>
      <c r="H72" s="498"/>
      <c r="I72" s="498"/>
      <c r="J72" s="498"/>
      <c r="K72" s="498"/>
      <c r="L72" s="498"/>
      <c r="M72" s="499"/>
      <c r="N72" s="498"/>
      <c r="O72" s="1670"/>
      <c r="P72" s="484"/>
      <c r="Q72" s="484"/>
    </row>
    <row r="73" spans="1:17" s="35" customFormat="1" ht="15">
      <c r="A73" s="501" t="s">
        <v>2344</v>
      </c>
      <c r="B73" s="490"/>
      <c r="C73" s="502" t="s">
        <v>2345</v>
      </c>
      <c r="D73" s="503"/>
      <c r="E73" s="503"/>
      <c r="F73" s="503"/>
      <c r="G73" s="503"/>
      <c r="H73" s="503"/>
      <c r="I73" s="503"/>
      <c r="J73" s="503"/>
      <c r="K73" s="503"/>
      <c r="L73" s="504"/>
      <c r="M73" s="505"/>
      <c r="N73" s="1260"/>
      <c r="O73" s="1260"/>
      <c r="P73" s="506"/>
      <c r="Q73" s="484"/>
    </row>
    <row r="74" spans="1:17" s="35" customFormat="1" ht="15.75" thickBot="1">
      <c r="A74" s="501"/>
      <c r="B74" s="490"/>
      <c r="C74" s="622">
        <v>100</v>
      </c>
      <c r="D74" s="492"/>
      <c r="E74" s="492"/>
      <c r="F74" s="492"/>
      <c r="G74" s="492"/>
      <c r="H74" s="492"/>
      <c r="I74" s="492"/>
      <c r="J74" s="492"/>
      <c r="K74" s="492"/>
      <c r="L74" s="492"/>
      <c r="M74" s="494"/>
      <c r="N74" s="1260"/>
      <c r="O74" s="1260"/>
      <c r="P74" s="484"/>
      <c r="Q74" s="484"/>
    </row>
    <row r="75" spans="1:17">
      <c r="A75" s="507" t="s">
        <v>2383</v>
      </c>
      <c r="B75" s="508" t="s">
        <v>2348</v>
      </c>
      <c r="C75" s="510"/>
      <c r="D75" s="510"/>
      <c r="E75" s="510"/>
      <c r="F75" s="510"/>
      <c r="G75" s="510"/>
      <c r="H75" s="510"/>
      <c r="I75" s="510"/>
      <c r="J75" s="510"/>
      <c r="K75" s="511"/>
      <c r="L75" s="512"/>
      <c r="M75" s="513"/>
      <c r="N75" s="1261"/>
      <c r="O75" s="1261"/>
      <c r="P75" s="22"/>
      <c r="Q75" s="484"/>
    </row>
    <row r="76" spans="1:17" ht="15.75" thickBot="1">
      <c r="A76" s="515"/>
      <c r="B76" s="516"/>
      <c r="C76" s="517"/>
      <c r="D76" s="517"/>
      <c r="E76" s="517"/>
      <c r="F76" s="517"/>
      <c r="G76" s="517"/>
      <c r="H76" s="517"/>
      <c r="I76" s="517"/>
      <c r="J76" s="517"/>
      <c r="K76" s="517"/>
      <c r="L76" s="517"/>
      <c r="M76" s="518"/>
      <c r="N76" s="1262"/>
      <c r="O76" s="1262"/>
      <c r="P76" s="22"/>
      <c r="Q76" s="484"/>
    </row>
    <row r="77" spans="1:17" ht="27.75" thickTop="1">
      <c r="A77" s="515"/>
      <c r="B77" s="520" t="s">
        <v>2351</v>
      </c>
      <c r="C77" s="521"/>
      <c r="D77" s="521"/>
      <c r="E77" s="521"/>
      <c r="F77" s="521"/>
      <c r="G77" s="521"/>
      <c r="H77" s="521"/>
      <c r="I77" s="521"/>
      <c r="J77" s="521"/>
      <c r="K77" s="522"/>
      <c r="L77" s="523"/>
      <c r="M77" s="524"/>
      <c r="N77" s="1261"/>
      <c r="O77" s="1261"/>
      <c r="P77" s="22"/>
      <c r="Q77" s="484"/>
    </row>
    <row r="78" spans="1:17" ht="15.75" thickBot="1">
      <c r="A78" s="515"/>
      <c r="B78" s="525"/>
      <c r="C78" s="526"/>
      <c r="D78" s="526"/>
      <c r="E78" s="526"/>
      <c r="F78" s="526"/>
      <c r="G78" s="526"/>
      <c r="H78" s="526"/>
      <c r="I78" s="526"/>
      <c r="J78" s="526"/>
      <c r="K78" s="526"/>
      <c r="L78" s="526"/>
      <c r="M78" s="527"/>
      <c r="N78" s="1262"/>
      <c r="O78" s="1262"/>
      <c r="P78" s="22"/>
      <c r="Q78" s="484"/>
    </row>
    <row r="79" spans="1:17" ht="15.7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ht="15">
      <c r="A80" s="515"/>
      <c r="B80" s="530"/>
      <c r="C80" s="531"/>
      <c r="D80" s="531"/>
      <c r="E80" s="531"/>
      <c r="F80" s="531"/>
      <c r="G80" s="531"/>
      <c r="H80" s="531"/>
      <c r="I80" s="531"/>
      <c r="J80" s="531"/>
      <c r="K80" s="532"/>
      <c r="L80" s="533"/>
      <c r="M80" s="534"/>
      <c r="N80" s="1261"/>
      <c r="O80" s="1261"/>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5.75"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5.75" thickBot="1">
      <c r="A83" s="535"/>
      <c r="B83" s="525"/>
      <c r="C83" s="543"/>
      <c r="D83" s="517"/>
      <c r="E83" s="517"/>
      <c r="F83" s="517"/>
      <c r="G83" s="517"/>
      <c r="H83" s="517"/>
      <c r="I83" s="517"/>
      <c r="J83" s="517"/>
      <c r="K83" s="517"/>
      <c r="L83" s="517"/>
      <c r="M83" s="518"/>
      <c r="N83" s="1262"/>
      <c r="O83" s="1262"/>
      <c r="P83" s="541"/>
      <c r="Q83" s="542"/>
    </row>
    <row r="84" spans="1:17" s="451" customFormat="1" ht="15.75" thickTop="1">
      <c r="A84" s="535"/>
      <c r="B84" s="520">
        <f>B13</f>
        <v>111</v>
      </c>
      <c r="C84" s="536"/>
      <c r="D84" s="536"/>
      <c r="E84" s="536"/>
      <c r="F84" s="536"/>
      <c r="G84" s="536"/>
      <c r="H84" s="537"/>
      <c r="I84" s="537"/>
      <c r="J84" s="537"/>
      <c r="K84" s="537"/>
      <c r="L84" s="538"/>
      <c r="M84" s="539"/>
      <c r="N84" s="1263"/>
      <c r="O84" s="1263"/>
      <c r="P84" s="450"/>
      <c r="Q84" s="544"/>
    </row>
    <row r="85" spans="1:17" s="451" customFormat="1" ht="15.75" thickBot="1">
      <c r="A85" s="535"/>
      <c r="B85" s="525"/>
      <c r="C85" s="543"/>
      <c r="D85" s="543"/>
      <c r="E85" s="543"/>
      <c r="F85" s="543"/>
      <c r="G85" s="543"/>
      <c r="H85" s="545"/>
      <c r="I85" s="545"/>
      <c r="J85" s="545"/>
      <c r="K85" s="545"/>
      <c r="L85" s="545"/>
      <c r="M85" s="546"/>
      <c r="N85" s="1263"/>
      <c r="O85" s="1263"/>
      <c r="P85" s="541"/>
      <c r="Q85" s="542"/>
    </row>
    <row r="86" spans="1:17" s="451" customFormat="1" ht="15.75" thickTop="1">
      <c r="A86" s="535"/>
      <c r="B86" s="528">
        <f>B14</f>
        <v>111</v>
      </c>
      <c r="C86" s="503"/>
      <c r="D86" s="503"/>
      <c r="E86" s="503"/>
      <c r="F86" s="503"/>
      <c r="G86" s="503"/>
      <c r="H86" s="547"/>
      <c r="I86" s="547"/>
      <c r="J86" s="547"/>
      <c r="K86" s="547"/>
      <c r="L86" s="548"/>
      <c r="M86" s="549"/>
      <c r="N86" s="1263"/>
      <c r="O86" s="1263"/>
      <c r="P86" s="550"/>
      <c r="Q86" s="542"/>
    </row>
    <row r="87" spans="1:17" s="451" customFormat="1" ht="15.75" thickBot="1">
      <c r="A87" s="551"/>
      <c r="B87" s="552"/>
      <c r="C87" s="553"/>
      <c r="D87" s="553"/>
      <c r="E87" s="553"/>
      <c r="F87" s="553"/>
      <c r="G87" s="553"/>
      <c r="H87" s="554"/>
      <c r="I87" s="554"/>
      <c r="J87" s="554"/>
      <c r="K87" s="554"/>
      <c r="L87" s="554"/>
      <c r="M87" s="555"/>
      <c r="N87" s="1263"/>
      <c r="O87" s="1263"/>
      <c r="P87" s="541"/>
      <c r="Q87" s="542"/>
    </row>
    <row r="88" spans="1:17">
      <c r="A88" s="507" t="s">
        <v>2353</v>
      </c>
      <c r="B88" s="508" t="s">
        <v>2391</v>
      </c>
      <c r="C88" s="556" t="s">
        <v>2392</v>
      </c>
      <c r="D88" s="556" t="s">
        <v>2393</v>
      </c>
      <c r="E88" s="556" t="s">
        <v>2394</v>
      </c>
      <c r="F88" s="556" t="s">
        <v>2395</v>
      </c>
      <c r="G88" s="556" t="s">
        <v>2396</v>
      </c>
      <c r="H88" s="509"/>
      <c r="I88" s="509"/>
      <c r="J88" s="509"/>
      <c r="K88" s="557"/>
      <c r="L88" s="558"/>
      <c r="M88" s="559"/>
      <c r="N88" s="1261"/>
      <c r="O88" s="1261"/>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75" thickTop="1">
      <c r="A90" s="515"/>
      <c r="B90" s="520" t="s">
        <v>2567</v>
      </c>
      <c r="C90" s="561" t="s">
        <v>2392</v>
      </c>
      <c r="D90" s="561" t="s">
        <v>2393</v>
      </c>
      <c r="E90" s="561" t="s">
        <v>2394</v>
      </c>
      <c r="F90" s="561" t="s">
        <v>2395</v>
      </c>
      <c r="G90" s="561" t="s">
        <v>2396</v>
      </c>
      <c r="H90" s="521"/>
      <c r="I90" s="521"/>
      <c r="J90" s="521"/>
      <c r="K90" s="522"/>
      <c r="L90" s="523"/>
      <c r="M90" s="524"/>
      <c r="N90" s="1261"/>
      <c r="O90" s="1261"/>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75" thickTop="1">
      <c r="A92" s="515"/>
      <c r="B92" s="520" t="s">
        <v>2479</v>
      </c>
      <c r="C92" s="561" t="s">
        <v>2392</v>
      </c>
      <c r="D92" s="561" t="s">
        <v>2393</v>
      </c>
      <c r="E92" s="561" t="s">
        <v>2394</v>
      </c>
      <c r="F92" s="561" t="s">
        <v>2395</v>
      </c>
      <c r="G92" s="561" t="s">
        <v>2396</v>
      </c>
      <c r="H92" s="521"/>
      <c r="I92" s="521"/>
      <c r="J92" s="521"/>
      <c r="K92" s="522"/>
      <c r="L92" s="523"/>
      <c r="M92" s="524"/>
      <c r="N92" s="1261"/>
      <c r="O92" s="1261"/>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75" thickTop="1">
      <c r="A94" s="515"/>
      <c r="B94" s="520" t="s">
        <v>2397</v>
      </c>
      <c r="C94" s="561" t="s">
        <v>2392</v>
      </c>
      <c r="D94" s="561" t="s">
        <v>2393</v>
      </c>
      <c r="E94" s="561" t="s">
        <v>2394</v>
      </c>
      <c r="F94" s="561" t="s">
        <v>2395</v>
      </c>
      <c r="G94" s="561" t="s">
        <v>2396</v>
      </c>
      <c r="H94" s="521"/>
      <c r="I94" s="521"/>
      <c r="J94" s="521"/>
      <c r="K94" s="522"/>
      <c r="L94" s="523"/>
      <c r="M94" s="524"/>
      <c r="N94" s="1261"/>
      <c r="O94" s="1261"/>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15.75" thickTop="1">
      <c r="A96" s="562"/>
      <c r="B96" s="520" t="s">
        <v>2568</v>
      </c>
      <c r="C96" s="561" t="s">
        <v>2392</v>
      </c>
      <c r="D96" s="561" t="s">
        <v>2393</v>
      </c>
      <c r="E96" s="561" t="s">
        <v>2394</v>
      </c>
      <c r="F96" s="561" t="s">
        <v>2395</v>
      </c>
      <c r="G96" s="561" t="s">
        <v>2396</v>
      </c>
      <c r="H96" s="561"/>
      <c r="I96" s="561"/>
      <c r="J96" s="561"/>
      <c r="K96" s="561"/>
      <c r="L96" s="681"/>
      <c r="M96" s="605"/>
      <c r="N96" s="1260"/>
      <c r="O96" s="1260"/>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7.75" thickTop="1">
      <c r="A98" s="562"/>
      <c r="B98" s="520" t="s">
        <v>2569</v>
      </c>
      <c r="C98" s="556" t="s">
        <v>2392</v>
      </c>
      <c r="D98" s="556" t="s">
        <v>2393</v>
      </c>
      <c r="E98" s="556" t="s">
        <v>2394</v>
      </c>
      <c r="F98" s="556" t="s">
        <v>2395</v>
      </c>
      <c r="G98" s="556" t="s">
        <v>2396</v>
      </c>
      <c r="H98" s="561"/>
      <c r="I98" s="561"/>
      <c r="J98" s="561"/>
      <c r="K98" s="561"/>
      <c r="L98" s="561"/>
      <c r="M98" s="605"/>
      <c r="N98" s="1260"/>
      <c r="O98" s="1260"/>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75" thickTop="1">
      <c r="A100" s="562"/>
      <c r="B100" s="528" t="s">
        <v>2440</v>
      </c>
      <c r="C100" s="556" t="s">
        <v>2392</v>
      </c>
      <c r="D100" s="556" t="s">
        <v>2393</v>
      </c>
      <c r="E100" s="556" t="s">
        <v>2394</v>
      </c>
      <c r="F100" s="556" t="s">
        <v>2395</v>
      </c>
      <c r="G100" s="556" t="s">
        <v>2396</v>
      </c>
      <c r="H100" s="521"/>
      <c r="I100" s="521"/>
      <c r="J100" s="521"/>
      <c r="K100" s="521"/>
      <c r="L100" s="521"/>
      <c r="M100" s="1461"/>
      <c r="N100" s="1262"/>
      <c r="O100" s="1262"/>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75" thickTop="1">
      <c r="A102" s="535"/>
      <c r="B102" s="520" t="s">
        <v>2441</v>
      </c>
      <c r="C102" s="521" t="s">
        <v>2399</v>
      </c>
      <c r="D102" s="521" t="s">
        <v>2400</v>
      </c>
      <c r="E102" s="521" t="s">
        <v>2401</v>
      </c>
      <c r="F102" s="521" t="s">
        <v>2402</v>
      </c>
      <c r="G102" s="521" t="s">
        <v>2403</v>
      </c>
      <c r="H102" s="583"/>
      <c r="I102" s="583"/>
      <c r="J102" s="583"/>
      <c r="K102" s="583"/>
      <c r="L102" s="584"/>
      <c r="M102" s="585"/>
      <c r="N102" s="1263"/>
      <c r="O102" s="1263"/>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75" thickTop="1">
      <c r="A104" s="515"/>
      <c r="B104" s="520" t="str">
        <f>B31</f>
        <v>临街状况</v>
      </c>
      <c r="C104" s="521" t="s">
        <v>2570</v>
      </c>
      <c r="D104" s="521" t="s">
        <v>2571</v>
      </c>
      <c r="E104" s="521" t="s">
        <v>2572</v>
      </c>
      <c r="F104" s="521" t="s">
        <v>2573</v>
      </c>
      <c r="G104" s="521"/>
      <c r="H104" s="521"/>
      <c r="I104" s="521"/>
      <c r="J104" s="521"/>
      <c r="K104" s="522"/>
      <c r="L104" s="523"/>
      <c r="M104" s="524"/>
      <c r="N104" s="1261"/>
      <c r="O104" s="1261"/>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7.75" thickTop="1">
      <c r="A106" s="515"/>
      <c r="B106" s="520" t="s">
        <v>2472</v>
      </c>
      <c r="C106" s="536"/>
      <c r="D106" s="536"/>
      <c r="E106" s="536"/>
      <c r="F106" s="536"/>
      <c r="G106" s="536"/>
      <c r="H106" s="566"/>
      <c r="I106" s="566"/>
      <c r="J106" s="566"/>
      <c r="K106" s="567"/>
      <c r="L106" s="568"/>
      <c r="M106" s="569"/>
      <c r="N106" s="1261"/>
      <c r="O106" s="1261"/>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75" thickTop="1">
      <c r="A108" s="515"/>
      <c r="B108" s="520" t="s">
        <v>2539</v>
      </c>
      <c r="C108" s="566"/>
      <c r="D108" s="566"/>
      <c r="E108" s="566"/>
      <c r="F108" s="566"/>
      <c r="G108" s="566"/>
      <c r="H108" s="566"/>
      <c r="I108" s="566"/>
      <c r="J108" s="566"/>
      <c r="K108" s="567"/>
      <c r="L108" s="568"/>
      <c r="M108" s="569"/>
      <c r="N108" s="1261"/>
      <c r="O108" s="1261"/>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5.75" thickTop="1">
      <c r="A110" s="515"/>
      <c r="B110" s="528">
        <f>B35</f>
        <v>111</v>
      </c>
      <c r="C110" s="536"/>
      <c r="D110" s="536"/>
      <c r="E110" s="536"/>
      <c r="F110" s="536"/>
      <c r="G110" s="570"/>
      <c r="H110" s="570"/>
      <c r="I110" s="570"/>
      <c r="J110" s="570"/>
      <c r="K110" s="571"/>
      <c r="L110" s="572"/>
      <c r="M110" s="573"/>
      <c r="N110" s="1261"/>
      <c r="O110" s="1261"/>
      <c r="P110" s="22"/>
      <c r="Q110" s="484"/>
    </row>
    <row r="111" spans="1:17" ht="15.75" thickBot="1">
      <c r="A111" s="515"/>
      <c r="B111" s="552"/>
      <c r="C111" s="543"/>
      <c r="D111" s="543"/>
      <c r="E111" s="543"/>
      <c r="F111" s="543"/>
      <c r="G111" s="574"/>
      <c r="H111" s="574"/>
      <c r="I111" s="574"/>
      <c r="J111" s="574"/>
      <c r="K111" s="574"/>
      <c r="L111" s="574"/>
      <c r="M111" s="575"/>
      <c r="N111" s="1262"/>
      <c r="O111" s="1262"/>
      <c r="P111" s="22"/>
      <c r="Q111" s="484"/>
    </row>
    <row r="112" spans="1:17" ht="15" thickTop="1">
      <c r="A112" s="657"/>
      <c r="B112" s="520">
        <f>B36</f>
        <v>111</v>
      </c>
      <c r="C112" s="503"/>
      <c r="D112" s="503"/>
      <c r="E112" s="503"/>
      <c r="F112" s="503"/>
      <c r="G112" s="566"/>
      <c r="H112" s="566"/>
      <c r="I112" s="566"/>
      <c r="J112" s="566"/>
      <c r="K112" s="567"/>
      <c r="L112" s="568"/>
      <c r="M112" s="569"/>
      <c r="N112" s="1261"/>
      <c r="O112" s="1261"/>
      <c r="P112" s="22"/>
      <c r="Q112" s="484"/>
    </row>
    <row r="113" spans="1:17" ht="15.75" thickBot="1">
      <c r="A113" s="515"/>
      <c r="B113" s="525"/>
      <c r="C113" s="553"/>
      <c r="D113" s="553"/>
      <c r="E113" s="553"/>
      <c r="F113" s="553"/>
      <c r="G113" s="517"/>
      <c r="H113" s="517"/>
      <c r="I113" s="517"/>
      <c r="J113" s="517"/>
      <c r="K113" s="517"/>
      <c r="L113" s="517"/>
      <c r="M113" s="518"/>
      <c r="N113" s="1262"/>
      <c r="O113" s="1262"/>
      <c r="P113" s="22"/>
      <c r="Q113" s="484"/>
    </row>
    <row r="114" spans="1:17" s="451" customFormat="1" ht="15"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5.75" thickBot="1">
      <c r="A115" s="535"/>
      <c r="B115" s="528"/>
      <c r="C115" s="492"/>
      <c r="D115" s="659"/>
      <c r="E115" s="659"/>
      <c r="F115" s="659"/>
      <c r="G115" s="659"/>
      <c r="H115" s="659"/>
      <c r="I115" s="659"/>
      <c r="J115" s="659"/>
      <c r="K115" s="659"/>
      <c r="L115" s="659"/>
      <c r="M115" s="682"/>
      <c r="N115" s="1262"/>
      <c r="O115" s="1262"/>
      <c r="P115" s="541"/>
      <c r="Q115" s="542"/>
    </row>
    <row r="116" spans="1:17">
      <c r="A116" s="507" t="s">
        <v>2358</v>
      </c>
      <c r="B116" s="508" t="s">
        <v>2574</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ht="15">
      <c r="A117" s="515"/>
      <c r="B117" s="528"/>
      <c r="C117" s="578"/>
      <c r="D117" s="578"/>
      <c r="E117" s="578"/>
      <c r="F117" s="578"/>
      <c r="G117" s="578"/>
      <c r="H117" s="578"/>
      <c r="I117" s="578"/>
      <c r="J117" s="579"/>
      <c r="K117" s="579"/>
      <c r="L117" s="580"/>
      <c r="M117" s="581"/>
      <c r="N117" s="1261"/>
      <c r="O117" s="1261"/>
      <c r="P117" s="22"/>
      <c r="Q117" s="484"/>
    </row>
    <row r="118" spans="1:17" ht="15.75"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2575</v>
      </c>
      <c r="C119" s="566"/>
      <c r="D119" s="566"/>
      <c r="E119" s="566"/>
      <c r="F119" s="566"/>
      <c r="G119" s="566"/>
      <c r="H119" s="566"/>
      <c r="I119" s="566"/>
      <c r="J119" s="566"/>
      <c r="K119" s="567"/>
      <c r="L119" s="568"/>
      <c r="M119" s="569"/>
      <c r="N119" s="1261"/>
      <c r="O119" s="1261"/>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2576</v>
      </c>
      <c r="C121" s="536"/>
      <c r="D121" s="536"/>
      <c r="E121" s="536"/>
      <c r="F121" s="566"/>
      <c r="G121" s="566"/>
      <c r="H121" s="566"/>
      <c r="I121" s="566"/>
      <c r="J121" s="566"/>
      <c r="K121" s="567"/>
      <c r="L121" s="568"/>
      <c r="M121" s="569"/>
      <c r="N121" s="1261"/>
      <c r="O121" s="1261"/>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2577</v>
      </c>
      <c r="C123" s="536"/>
      <c r="D123" s="536"/>
      <c r="E123" s="536"/>
      <c r="F123" s="536"/>
      <c r="G123" s="536"/>
      <c r="H123" s="566"/>
      <c r="I123" s="566"/>
      <c r="J123" s="566"/>
      <c r="K123" s="567"/>
      <c r="L123" s="568"/>
      <c r="M123" s="569"/>
      <c r="N123" s="1263"/>
      <c r="O123" s="1263"/>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2578</v>
      </c>
      <c r="C125" s="536"/>
      <c r="D125" s="536"/>
      <c r="E125" s="566"/>
      <c r="F125" s="566"/>
      <c r="G125" s="566"/>
      <c r="H125" s="566"/>
      <c r="I125" s="566"/>
      <c r="J125" s="566"/>
      <c r="K125" s="567"/>
      <c r="L125" s="568"/>
      <c r="M125" s="569"/>
      <c r="N125" s="1261"/>
      <c r="O125" s="1261"/>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5" thickTop="1">
      <c r="A127" s="582"/>
      <c r="B127" s="520">
        <f>B43</f>
        <v>111</v>
      </c>
      <c r="C127" s="536"/>
      <c r="D127" s="536"/>
      <c r="E127" s="536"/>
      <c r="F127" s="536"/>
      <c r="G127" s="536"/>
      <c r="H127" s="566"/>
      <c r="I127" s="566"/>
      <c r="J127" s="566"/>
      <c r="K127" s="567"/>
      <c r="L127" s="568"/>
      <c r="M127" s="569"/>
      <c r="N127" s="1261"/>
      <c r="O127" s="1261"/>
      <c r="P127" s="22"/>
      <c r="Q127" s="484"/>
    </row>
    <row r="128" spans="1:17" ht="15.75" thickBot="1">
      <c r="A128" s="515"/>
      <c r="B128" s="525"/>
      <c r="C128" s="543"/>
      <c r="D128" s="543"/>
      <c r="E128" s="543"/>
      <c r="F128" s="543"/>
      <c r="G128" s="517"/>
      <c r="H128" s="517"/>
      <c r="I128" s="517"/>
      <c r="J128" s="517"/>
      <c r="K128" s="517"/>
      <c r="L128" s="517"/>
      <c r="M128" s="518"/>
      <c r="N128" s="1262"/>
      <c r="O128" s="1262"/>
      <c r="P128" s="22"/>
      <c r="Q128" s="484"/>
    </row>
    <row r="129" spans="1:17" ht="15" thickTop="1">
      <c r="A129" s="582"/>
      <c r="B129" s="520">
        <f>B44</f>
        <v>111</v>
      </c>
      <c r="C129" s="503"/>
      <c r="D129" s="503"/>
      <c r="E129" s="503"/>
      <c r="F129" s="503"/>
      <c r="G129" s="566"/>
      <c r="H129" s="566"/>
      <c r="I129" s="566"/>
      <c r="J129" s="566"/>
      <c r="K129" s="567"/>
      <c r="L129" s="568"/>
      <c r="M129" s="569"/>
      <c r="N129" s="1261"/>
      <c r="O129" s="1261"/>
      <c r="P129" s="22"/>
      <c r="Q129" s="484"/>
    </row>
    <row r="130" spans="1:17" ht="15.75" thickBot="1">
      <c r="A130" s="515"/>
      <c r="B130" s="525"/>
      <c r="C130" s="553"/>
      <c r="D130" s="553"/>
      <c r="E130" s="553"/>
      <c r="F130" s="553"/>
      <c r="G130" s="517"/>
      <c r="H130" s="517"/>
      <c r="I130" s="517"/>
      <c r="J130" s="517"/>
      <c r="K130" s="517"/>
      <c r="L130" s="517"/>
      <c r="M130" s="518"/>
      <c r="N130" s="1262"/>
      <c r="O130" s="1262"/>
      <c r="P130" s="22"/>
      <c r="Q130" s="484"/>
    </row>
    <row r="131" spans="1:17" s="451" customFormat="1" ht="15"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5.75"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xx  先生/女士：</v>
      </c>
      <c r="B3" s="1907"/>
      <c r="C3" s="1907"/>
      <c r="D3" s="1907"/>
      <c r="E3" s="1907"/>
      <c r="F3" s="1907"/>
      <c r="G3" s="1907"/>
    </row>
    <row r="4" spans="1:7" ht="36">
      <c r="A4" s="1909" t="str">
        <f>IF(ISNUMBER(FIND("公司",A3)),"受贵公司委托，我公司对"&amp;项目基本情况!I1&amp;"进行了预评估。","受您的委托，我公司对"&amp;项目基本情况!I1&amp;"进行了预评估。")</f>
        <v>受您的委托，我公司对北京市北京市昌平区小汤山镇橘郡花园水印长滩9-13号房地产进行了预评估。</v>
      </c>
      <c r="B4" s="1909"/>
      <c r="C4" s="1909"/>
      <c r="D4" s="1909"/>
      <c r="E4" s="1909"/>
      <c r="F4" s="1909"/>
      <c r="G4" s="1909"/>
    </row>
    <row r="5" spans="1:7" ht="18.75">
      <c r="A5" s="1910" t="s">
        <v>1261</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估价对象为北京市北京市昌平区小汤山镇橘郡花园水印长滩9-13号房地产，为XX所有。根据《房屋所有权证》[X京房权证昌私字第353781号]，估价对象建筑面积为353.61平方米。估价对象用途为住宅。</v>
      </c>
      <c r="B6" s="1909"/>
      <c r="C6" s="1909"/>
      <c r="D6" s="1909"/>
      <c r="E6" s="1909"/>
      <c r="F6" s="1909"/>
      <c r="G6" s="1909"/>
    </row>
    <row r="7" spans="1:7" ht="18.75">
      <c r="A7" s="1910" t="s">
        <v>1262</v>
      </c>
    </row>
    <row r="8" spans="1:7" ht="72">
      <c r="A8" s="1912" t="str">
        <f>IF(项目基本情况!D4="抵押",IF(项目基本情况!B4=项目基本情况!B5,定义!C51,定义!B51),定义!D51)</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2020年2月27日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c r="B13" s="1909"/>
      <c r="C13" s="1909"/>
      <c r="D13" s="1909"/>
      <c r="E13" s="1909"/>
      <c r="F13" s="1909"/>
      <c r="G13" s="1909"/>
    </row>
    <row r="14" spans="1:7" ht="54">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Id="3" sqref="A38:XFD1048576 J37:XFD37 A37:H37 A1:XFD3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2531</v>
      </c>
      <c r="B1" s="373"/>
      <c r="C1" s="374" t="s">
        <v>2579</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1997</v>
      </c>
      <c r="B2" s="653" t="e">
        <f>F61</f>
        <v>#DIV/0!</v>
      </c>
      <c r="C2" s="730" t="s">
        <v>2533</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ht="15">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29" ht="15.7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29" s="35" customFormat="1" ht="15.75" thickBot="1">
      <c r="A7" s="386" t="s">
        <v>2342</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7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40" si="3">D8/F8</f>
        <v>#DIV/0!</v>
      </c>
      <c r="AB8" s="750" t="e">
        <f t="shared" ref="AB8:AB40" si="4">D8/H8</f>
        <v>#DIV/0!</v>
      </c>
      <c r="AC8" s="750" t="e">
        <f t="shared" ref="AC8:AC40" si="5">D8/J8</f>
        <v>#DIV/0!</v>
      </c>
    </row>
    <row r="9" spans="1:29" s="35" customFormat="1">
      <c r="A9" s="394" t="s">
        <v>2347</v>
      </c>
      <c r="B9" s="28" t="s">
        <v>2348</v>
      </c>
      <c r="C9" s="2477" t="s">
        <v>2580</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75"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7">
      <c r="A10" s="400"/>
      <c r="B10" s="401" t="s">
        <v>2351</v>
      </c>
      <c r="C10" s="411"/>
      <c r="D10" s="51">
        <v>100</v>
      </c>
      <c r="E10" s="411"/>
      <c r="F10" s="51">
        <f>ROUND(100/'数据-取费表'!B14,0)</f>
        <v>107</v>
      </c>
      <c r="G10" s="411"/>
      <c r="H10" s="51">
        <f>ROUND(100/'数据-取费表'!B14,0)</f>
        <v>107</v>
      </c>
      <c r="I10" s="411"/>
      <c r="J10" s="51">
        <f>ROUND(100/'数据-取费表'!B14,0)</f>
        <v>107</v>
      </c>
      <c r="K10" s="654"/>
      <c r="L10" s="1242"/>
      <c r="M10" s="1243"/>
      <c r="N10" s="1243"/>
      <c r="O10" s="1244"/>
      <c r="P10" s="3075"/>
      <c r="Q10" s="1879" t="str">
        <f t="shared" si="6"/>
        <v>土地使用年限（年）</v>
      </c>
      <c r="R10" s="747" t="s">
        <v>25</v>
      </c>
      <c r="S10" s="748">
        <f t="shared" si="0"/>
        <v>107</v>
      </c>
      <c r="T10" s="747" t="s">
        <v>25</v>
      </c>
      <c r="U10" s="748">
        <f t="shared" si="1"/>
        <v>107</v>
      </c>
      <c r="V10" s="747" t="s">
        <v>25</v>
      </c>
      <c r="W10" s="748">
        <f t="shared" si="2"/>
        <v>107</v>
      </c>
      <c r="X10" s="749"/>
      <c r="Y10" s="2886"/>
      <c r="Z10" s="23" t="str">
        <f t="shared" si="7"/>
        <v>土地使用年限（年）</v>
      </c>
      <c r="AA10" s="750">
        <f t="shared" si="3"/>
        <v>0.93457943925233644</v>
      </c>
      <c r="AB10" s="750">
        <f t="shared" si="4"/>
        <v>0.93457943925233644</v>
      </c>
      <c r="AC10" s="750">
        <f t="shared" si="5"/>
        <v>0.93457943925233644</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75"/>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75" thickBot="1">
      <c r="A14" s="415"/>
      <c r="B14" s="2394">
        <v>111</v>
      </c>
      <c r="C14" s="2395">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75"/>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57">
      <c r="A15" s="418" t="s">
        <v>2353</v>
      </c>
      <c r="B15" s="612" t="s">
        <v>2581</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64" t="s">
        <v>2354</v>
      </c>
      <c r="Q15" s="1891" t="str">
        <f t="shared" si="6"/>
        <v>产业集聚程度</v>
      </c>
      <c r="R15" s="751" t="s">
        <v>25</v>
      </c>
      <c r="S15" s="752">
        <f t="shared" si="0"/>
        <v>100</v>
      </c>
      <c r="T15" s="751" t="s">
        <v>25</v>
      </c>
      <c r="U15" s="752">
        <f t="shared" si="1"/>
        <v>100</v>
      </c>
      <c r="V15" s="751" t="s">
        <v>25</v>
      </c>
      <c r="W15" s="752">
        <f t="shared" si="2"/>
        <v>100</v>
      </c>
      <c r="X15" s="1892"/>
      <c r="Y15" s="3064" t="s">
        <v>2354</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65"/>
      <c r="Q16" s="1891"/>
      <c r="R16" s="751"/>
      <c r="S16" s="752"/>
      <c r="T16" s="751"/>
      <c r="U16" s="752"/>
      <c r="V16" s="751"/>
      <c r="W16" s="752"/>
      <c r="X16" s="1892"/>
      <c r="Y16" s="3065"/>
      <c r="Z16" s="1894"/>
      <c r="AA16" s="1895">
        <v>1</v>
      </c>
      <c r="AB16" s="1895">
        <v>1</v>
      </c>
      <c r="AC16" s="1895">
        <v>1</v>
      </c>
    </row>
    <row r="17" spans="1:29" ht="85.5">
      <c r="A17" s="407"/>
      <c r="B17" s="614" t="s">
        <v>2497</v>
      </c>
      <c r="C17" s="2399"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65"/>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7"/>
      <c r="J18" s="426"/>
      <c r="K18" s="654"/>
      <c r="L18" s="1247"/>
      <c r="M18" s="1238"/>
      <c r="N18" s="1238"/>
      <c r="O18" s="1246"/>
      <c r="P18" s="3065"/>
      <c r="Q18" s="1891"/>
      <c r="R18" s="751"/>
      <c r="S18" s="752"/>
      <c r="T18" s="751"/>
      <c r="U18" s="752"/>
      <c r="V18" s="751"/>
      <c r="W18" s="752"/>
      <c r="X18" s="1892"/>
      <c r="Y18" s="3065"/>
      <c r="Z18" s="1894"/>
      <c r="AA18" s="1895">
        <v>1</v>
      </c>
      <c r="AB18" s="1895">
        <v>1</v>
      </c>
      <c r="AC18" s="1895">
        <v>1</v>
      </c>
    </row>
    <row r="19" spans="1:29" ht="15">
      <c r="A19" s="407"/>
      <c r="B19" s="614" t="s">
        <v>2537</v>
      </c>
      <c r="C19" s="2399">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65"/>
      <c r="Q19" s="1891" t="str">
        <f t="shared" ref="Q19:Q33" si="8">B19</f>
        <v>区域土地利用方向</v>
      </c>
      <c r="R19" s="751" t="s">
        <v>25</v>
      </c>
      <c r="S19" s="752">
        <f>F19</f>
        <v>100</v>
      </c>
      <c r="T19" s="751" t="s">
        <v>25</v>
      </c>
      <c r="U19" s="752">
        <f>H19</f>
        <v>100</v>
      </c>
      <c r="V19" s="751" t="s">
        <v>25</v>
      </c>
      <c r="W19" s="752">
        <f>J19</f>
        <v>100</v>
      </c>
      <c r="X19" s="1892"/>
      <c r="Y19" s="3065"/>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65"/>
      <c r="Q20" s="1891"/>
      <c r="R20" s="751"/>
      <c r="S20" s="752"/>
      <c r="T20" s="751"/>
      <c r="U20" s="752"/>
      <c r="V20" s="751"/>
      <c r="W20" s="752"/>
      <c r="X20" s="1892"/>
      <c r="Y20" s="3065"/>
      <c r="Z20" s="1894"/>
      <c r="AA20" s="1895"/>
      <c r="AB20" s="1895"/>
      <c r="AC20" s="1895"/>
    </row>
    <row r="21" spans="1:29" ht="71.25">
      <c r="A21" s="382"/>
      <c r="B21" s="614" t="s">
        <v>2582</v>
      </c>
      <c r="C21" s="2399"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65"/>
      <c r="Q21" s="1891" t="str">
        <f t="shared" si="8"/>
        <v>环境状况</v>
      </c>
      <c r="R21" s="751" t="s">
        <v>25</v>
      </c>
      <c r="S21" s="752">
        <f>F21</f>
        <v>100</v>
      </c>
      <c r="T21" s="751" t="s">
        <v>25</v>
      </c>
      <c r="U21" s="752">
        <f>H21</f>
        <v>100</v>
      </c>
      <c r="V21" s="751" t="s">
        <v>25</v>
      </c>
      <c r="W21" s="752">
        <f>J21</f>
        <v>100</v>
      </c>
      <c r="X21" s="1892"/>
      <c r="Y21" s="3065"/>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65"/>
      <c r="Q22" s="1891"/>
      <c r="R22" s="751"/>
      <c r="S22" s="752"/>
      <c r="T22" s="751"/>
      <c r="U22" s="752"/>
      <c r="V22" s="751"/>
      <c r="W22" s="752"/>
      <c r="X22" s="1892"/>
      <c r="Y22" s="3065"/>
      <c r="Z22" s="1894"/>
      <c r="AA22" s="1895">
        <v>1</v>
      </c>
      <c r="AB22" s="1895">
        <v>1</v>
      </c>
      <c r="AC22" s="1895">
        <v>1</v>
      </c>
    </row>
    <row r="23" spans="1:29" s="35" customFormat="1" ht="42.75">
      <c r="A23" s="632"/>
      <c r="B23" s="614" t="s">
        <v>2440</v>
      </c>
      <c r="C23" s="2399"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65"/>
      <c r="Q23" s="1879" t="str">
        <f t="shared" si="8"/>
        <v>公共配套设施</v>
      </c>
      <c r="R23" s="747" t="s">
        <v>25</v>
      </c>
      <c r="S23" s="748">
        <f>F23</f>
        <v>100</v>
      </c>
      <c r="T23" s="747" t="s">
        <v>25</v>
      </c>
      <c r="U23" s="748">
        <f>H23</f>
        <v>100</v>
      </c>
      <c r="V23" s="747" t="s">
        <v>25</v>
      </c>
      <c r="W23" s="748">
        <f>J23</f>
        <v>100</v>
      </c>
      <c r="X23" s="749"/>
      <c r="Y23" s="3065"/>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65"/>
      <c r="Q24" s="1879"/>
      <c r="R24" s="747"/>
      <c r="S24" s="748"/>
      <c r="T24" s="747"/>
      <c r="U24" s="748"/>
      <c r="V24" s="747"/>
      <c r="W24" s="748"/>
      <c r="X24" s="749"/>
      <c r="Y24" s="3065"/>
      <c r="Z24" s="23"/>
      <c r="AA24" s="750">
        <v>1</v>
      </c>
      <c r="AB24" s="750">
        <v>1</v>
      </c>
      <c r="AC24" s="750">
        <v>1</v>
      </c>
    </row>
    <row r="25" spans="1:29" s="35" customFormat="1" ht="28.5">
      <c r="A25" s="632"/>
      <c r="B25" s="616" t="s">
        <v>2441</v>
      </c>
      <c r="C25" s="2399"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65"/>
      <c r="Q25" s="1879" t="str">
        <f t="shared" ref="Q25" si="9">B25</f>
        <v>基础设施水平</v>
      </c>
      <c r="R25" s="747" t="s">
        <v>25</v>
      </c>
      <c r="S25" s="748">
        <f>F25</f>
        <v>100</v>
      </c>
      <c r="T25" s="747" t="s">
        <v>25</v>
      </c>
      <c r="U25" s="748">
        <f>H25</f>
        <v>100</v>
      </c>
      <c r="V25" s="747" t="s">
        <v>25</v>
      </c>
      <c r="W25" s="748">
        <f>J25</f>
        <v>100</v>
      </c>
      <c r="X25" s="749"/>
      <c r="Y25" s="3065"/>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65"/>
      <c r="Q26" s="1879"/>
      <c r="R26" s="747"/>
      <c r="S26" s="748"/>
      <c r="T26" s="747"/>
      <c r="U26" s="748"/>
      <c r="V26" s="747"/>
      <c r="W26" s="748"/>
      <c r="X26" s="749"/>
      <c r="Y26" s="3065"/>
      <c r="Z26" s="23"/>
      <c r="AA26" s="750">
        <v>1</v>
      </c>
      <c r="AB26" s="750">
        <v>1</v>
      </c>
      <c r="AC26" s="750">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65"/>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65"/>
      <c r="Z27" s="1894" t="str">
        <f t="shared" ref="Z27:Z40" si="13">Q27</f>
        <v>临街状况</v>
      </c>
      <c r="AA27" s="1895">
        <f t="shared" si="3"/>
        <v>1</v>
      </c>
      <c r="AB27" s="1895">
        <f t="shared" si="4"/>
        <v>1</v>
      </c>
      <c r="AC27" s="1895">
        <f t="shared" si="5"/>
        <v>1</v>
      </c>
    </row>
    <row r="28" spans="1:29" ht="27">
      <c r="A28" s="407"/>
      <c r="B28" s="616" t="s">
        <v>2472</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65"/>
      <c r="Q28" s="1891" t="str">
        <f t="shared" si="8"/>
        <v>毗邻道路的类型与等级</v>
      </c>
      <c r="R28" s="751" t="s">
        <v>25</v>
      </c>
      <c r="S28" s="752">
        <f t="shared" si="10"/>
        <v>100</v>
      </c>
      <c r="T28" s="751" t="s">
        <v>25</v>
      </c>
      <c r="U28" s="752">
        <f t="shared" si="11"/>
        <v>100</v>
      </c>
      <c r="V28" s="751" t="s">
        <v>25</v>
      </c>
      <c r="W28" s="752">
        <f t="shared" si="12"/>
        <v>100</v>
      </c>
      <c r="X28" s="1892"/>
      <c r="Y28" s="3065"/>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65"/>
      <c r="Q29" s="1891"/>
      <c r="R29" s="751"/>
      <c r="S29" s="752"/>
      <c r="T29" s="751"/>
      <c r="U29" s="752"/>
      <c r="V29" s="751"/>
      <c r="W29" s="752"/>
      <c r="X29" s="1892"/>
      <c r="Y29" s="3065"/>
      <c r="Z29" s="1894"/>
      <c r="AA29" s="1895">
        <v>1</v>
      </c>
      <c r="AB29" s="1895">
        <v>1</v>
      </c>
      <c r="AC29" s="1895">
        <v>1</v>
      </c>
    </row>
    <row r="30" spans="1:29" ht="15">
      <c r="A30" s="407"/>
      <c r="B30" s="636" t="s">
        <v>2539</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65"/>
      <c r="Q30" s="1891" t="str">
        <f t="shared" si="8"/>
        <v>土地级别</v>
      </c>
      <c r="R30" s="751" t="s">
        <v>25</v>
      </c>
      <c r="S30" s="752">
        <f t="shared" si="10"/>
        <v>100</v>
      </c>
      <c r="T30" s="751" t="s">
        <v>25</v>
      </c>
      <c r="U30" s="752">
        <f t="shared" si="11"/>
        <v>100</v>
      </c>
      <c r="V30" s="751" t="s">
        <v>25</v>
      </c>
      <c r="W30" s="752">
        <f t="shared" si="12"/>
        <v>100</v>
      </c>
      <c r="X30" s="1892"/>
      <c r="Y30" s="3065"/>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65"/>
      <c r="Q31" s="1891">
        <f t="shared" si="8"/>
        <v>111</v>
      </c>
      <c r="R31" s="751" t="s">
        <v>25</v>
      </c>
      <c r="S31" s="752">
        <f t="shared" si="10"/>
        <v>100</v>
      </c>
      <c r="T31" s="751" t="s">
        <v>25</v>
      </c>
      <c r="U31" s="752">
        <f t="shared" si="11"/>
        <v>100</v>
      </c>
      <c r="V31" s="751" t="s">
        <v>25</v>
      </c>
      <c r="W31" s="752">
        <f t="shared" si="12"/>
        <v>100</v>
      </c>
      <c r="X31" s="1892"/>
      <c r="Y31" s="3065"/>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1" t="s">
        <v>2360</v>
      </c>
      <c r="Q32" s="1891">
        <f t="shared" si="8"/>
        <v>111</v>
      </c>
      <c r="R32" s="751" t="s">
        <v>25</v>
      </c>
      <c r="S32" s="752">
        <f t="shared" si="10"/>
        <v>100</v>
      </c>
      <c r="T32" s="751" t="s">
        <v>25</v>
      </c>
      <c r="U32" s="752">
        <f t="shared" si="11"/>
        <v>100</v>
      </c>
      <c r="V32" s="751" t="s">
        <v>25</v>
      </c>
      <c r="W32" s="752">
        <f t="shared" si="12"/>
        <v>100</v>
      </c>
      <c r="X32" s="1892"/>
      <c r="Y32" s="3069" t="s">
        <v>2360</v>
      </c>
      <c r="Z32" s="1894">
        <f t="shared" si="13"/>
        <v>111</v>
      </c>
      <c r="AA32" s="1895">
        <f t="shared" si="3"/>
        <v>1</v>
      </c>
      <c r="AB32" s="1895">
        <f t="shared" si="4"/>
        <v>1</v>
      </c>
      <c r="AC32" s="1895">
        <f t="shared" si="5"/>
        <v>1</v>
      </c>
    </row>
    <row r="33" spans="1:29" s="451" customFormat="1" ht="15.75"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69"/>
      <c r="Q33" s="1891">
        <f t="shared" si="8"/>
        <v>111</v>
      </c>
      <c r="R33" s="754" t="s">
        <v>25</v>
      </c>
      <c r="S33" s="755">
        <f t="shared" si="10"/>
        <v>100</v>
      </c>
      <c r="T33" s="754" t="s">
        <v>25</v>
      </c>
      <c r="U33" s="755">
        <f t="shared" si="11"/>
        <v>100</v>
      </c>
      <c r="V33" s="754" t="s">
        <v>25</v>
      </c>
      <c r="W33" s="755">
        <f t="shared" si="12"/>
        <v>100</v>
      </c>
      <c r="X33" s="756"/>
      <c r="Y33" s="3069"/>
      <c r="Z33" s="757">
        <f t="shared" si="13"/>
        <v>111</v>
      </c>
      <c r="AA33" s="1895">
        <f t="shared" si="3"/>
        <v>1</v>
      </c>
      <c r="AB33" s="1895">
        <f t="shared" si="4"/>
        <v>1</v>
      </c>
      <c r="AC33" s="1895">
        <f t="shared" si="5"/>
        <v>1</v>
      </c>
    </row>
    <row r="34" spans="1:29" ht="15">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69"/>
      <c r="Q34" s="1891" t="str">
        <f>B34</f>
        <v>宗地面积</v>
      </c>
      <c r="R34" s="751" t="s">
        <v>25</v>
      </c>
      <c r="S34" s="752" t="e">
        <f t="shared" si="10"/>
        <v>#N/A</v>
      </c>
      <c r="T34" s="751" t="s">
        <v>25</v>
      </c>
      <c r="U34" s="752" t="e">
        <f t="shared" si="11"/>
        <v>#N/A</v>
      </c>
      <c r="V34" s="751" t="s">
        <v>25</v>
      </c>
      <c r="W34" s="752" t="e">
        <f t="shared" si="12"/>
        <v>#N/A</v>
      </c>
      <c r="X34" s="1892"/>
      <c r="Y34" s="3069"/>
      <c r="Z34" s="1894" t="str">
        <f t="shared" si="13"/>
        <v>宗地面积</v>
      </c>
      <c r="AA34" s="1895" t="e">
        <f t="shared" si="3"/>
        <v>#N/A</v>
      </c>
      <c r="AB34" s="1895" t="e">
        <f t="shared" si="4"/>
        <v>#N/A</v>
      </c>
      <c r="AC34" s="1895" t="e">
        <f t="shared" si="5"/>
        <v>#N/A</v>
      </c>
    </row>
    <row r="35" spans="1:29" ht="15">
      <c r="A35" s="452"/>
      <c r="B35" s="401" t="s">
        <v>2541</v>
      </c>
      <c r="C35" s="2404"/>
      <c r="D35" s="414">
        <v>100</v>
      </c>
      <c r="E35" s="2404"/>
      <c r="F35" s="414">
        <f>SUMIF(110:110,E35,111:111)-SUMIF(110:110,C35,111:111)+100</f>
        <v>100</v>
      </c>
      <c r="G35" s="2404"/>
      <c r="H35" s="414">
        <f>SUMIF(110:110,G35,111:111)-SUMIF(110:110,C35,111:111)+100</f>
        <v>100</v>
      </c>
      <c r="I35" s="2404"/>
      <c r="J35" s="414">
        <f>SUMIF(110:110,I35,111:111)-SUMIF(110:110,C35,111:111)+100</f>
        <v>100</v>
      </c>
      <c r="K35" s="595"/>
      <c r="L35" s="1247"/>
      <c r="M35" s="1238"/>
      <c r="N35" s="1238"/>
      <c r="O35" s="1246"/>
      <c r="P35" s="3069"/>
      <c r="Q35" s="1891" t="str">
        <f t="shared" ref="Q35:Q40" si="14">B35</f>
        <v>宗地形状</v>
      </c>
      <c r="R35" s="751" t="s">
        <v>25</v>
      </c>
      <c r="S35" s="752">
        <f t="shared" si="10"/>
        <v>100</v>
      </c>
      <c r="T35" s="751" t="s">
        <v>25</v>
      </c>
      <c r="U35" s="752">
        <f t="shared" si="11"/>
        <v>100</v>
      </c>
      <c r="V35" s="751" t="s">
        <v>25</v>
      </c>
      <c r="W35" s="752">
        <f t="shared" si="12"/>
        <v>100</v>
      </c>
      <c r="X35" s="1892"/>
      <c r="Y35" s="3069"/>
      <c r="Z35" s="1894" t="str">
        <f t="shared" si="13"/>
        <v>宗地形状</v>
      </c>
      <c r="AA35" s="1895">
        <f t="shared" si="3"/>
        <v>1</v>
      </c>
      <c r="AB35" s="1895">
        <f t="shared" si="4"/>
        <v>1</v>
      </c>
      <c r="AC35" s="1895">
        <f t="shared" si="5"/>
        <v>1</v>
      </c>
    </row>
    <row r="36" spans="1:29" s="35" customFormat="1" ht="15">
      <c r="A36" s="453"/>
      <c r="B36" s="401" t="s">
        <v>2543</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69"/>
      <c r="Q36" s="1891" t="str">
        <f t="shared" si="14"/>
        <v>宗地开发程度</v>
      </c>
      <c r="R36" s="747" t="s">
        <v>25</v>
      </c>
      <c r="S36" s="748">
        <f t="shared" si="10"/>
        <v>100</v>
      </c>
      <c r="T36" s="747" t="s">
        <v>25</v>
      </c>
      <c r="U36" s="748">
        <f t="shared" si="11"/>
        <v>100</v>
      </c>
      <c r="V36" s="747" t="s">
        <v>25</v>
      </c>
      <c r="W36" s="748">
        <f t="shared" si="12"/>
        <v>100</v>
      </c>
      <c r="X36" s="749"/>
      <c r="Y36" s="3069"/>
      <c r="Z36" s="23" t="str">
        <f t="shared" si="13"/>
        <v>宗地开发程度</v>
      </c>
      <c r="AA36" s="750">
        <f t="shared" si="3"/>
        <v>1</v>
      </c>
      <c r="AB36" s="750">
        <f t="shared" si="4"/>
        <v>1</v>
      </c>
      <c r="AC36" s="750">
        <f t="shared" si="5"/>
        <v>1</v>
      </c>
    </row>
    <row r="37" spans="1:29" ht="15">
      <c r="A37" s="452"/>
      <c r="B37" s="401" t="s">
        <v>2544</v>
      </c>
      <c r="C37" s="2404"/>
      <c r="D37" s="414">
        <v>100</v>
      </c>
      <c r="E37" s="2404"/>
      <c r="F37" s="414">
        <f>SUMIF(114:114,E37,115:115)-SUMIF(114:114,C37,115:115)+100</f>
        <v>100</v>
      </c>
      <c r="G37" s="2404"/>
      <c r="H37" s="414">
        <f>SUMIF(114:114,G37,115:115)-SUMIF(114:114,C37,115:115)+100</f>
        <v>100</v>
      </c>
      <c r="I37" s="2404"/>
      <c r="J37" s="414">
        <f>SUMIF(114:114,I37,115:115)-SUMIF(114:114,C37,115:115)+100</f>
        <v>100</v>
      </c>
      <c r="K37" s="595"/>
      <c r="L37" s="1247"/>
      <c r="M37" s="1238"/>
      <c r="N37" s="1238"/>
      <c r="O37" s="1246"/>
      <c r="P37" s="3069" t="s">
        <v>2360</v>
      </c>
      <c r="Q37" s="1891" t="str">
        <f t="shared" si="14"/>
        <v>工程地质条件</v>
      </c>
      <c r="R37" s="751" t="s">
        <v>25</v>
      </c>
      <c r="S37" s="752">
        <f t="shared" si="10"/>
        <v>100</v>
      </c>
      <c r="T37" s="751" t="s">
        <v>25</v>
      </c>
      <c r="U37" s="752">
        <f t="shared" si="11"/>
        <v>100</v>
      </c>
      <c r="V37" s="751" t="s">
        <v>25</v>
      </c>
      <c r="W37" s="752">
        <f t="shared" si="12"/>
        <v>100</v>
      </c>
      <c r="X37" s="1892"/>
      <c r="Y37" s="3069" t="s">
        <v>2360</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69"/>
      <c r="Q38" s="1891">
        <f t="shared" si="14"/>
        <v>111</v>
      </c>
      <c r="R38" s="751" t="s">
        <v>25</v>
      </c>
      <c r="S38" s="752">
        <f t="shared" si="10"/>
        <v>100</v>
      </c>
      <c r="T38" s="751" t="s">
        <v>25</v>
      </c>
      <c r="U38" s="752">
        <f t="shared" si="11"/>
        <v>100</v>
      </c>
      <c r="V38" s="751" t="s">
        <v>25</v>
      </c>
      <c r="W38" s="752">
        <f t="shared" si="12"/>
        <v>100</v>
      </c>
      <c r="X38" s="1892"/>
      <c r="Y38" s="3069"/>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69"/>
      <c r="Q39" s="1891">
        <f t="shared" si="14"/>
        <v>111</v>
      </c>
      <c r="R39" s="751" t="s">
        <v>25</v>
      </c>
      <c r="S39" s="752">
        <f t="shared" si="10"/>
        <v>100</v>
      </c>
      <c r="T39" s="751" t="s">
        <v>25</v>
      </c>
      <c r="U39" s="752">
        <f t="shared" si="11"/>
        <v>100</v>
      </c>
      <c r="V39" s="751" t="s">
        <v>25</v>
      </c>
      <c r="W39" s="752">
        <f t="shared" si="12"/>
        <v>100</v>
      </c>
      <c r="X39" s="1892"/>
      <c r="Y39" s="3069"/>
      <c r="Z39" s="1894">
        <f t="shared" si="13"/>
        <v>111</v>
      </c>
      <c r="AA39" s="1895">
        <f t="shared" si="3"/>
        <v>1</v>
      </c>
      <c r="AB39" s="1895">
        <f t="shared" si="4"/>
        <v>1</v>
      </c>
      <c r="AC39" s="1895">
        <f t="shared" si="5"/>
        <v>1</v>
      </c>
    </row>
    <row r="40" spans="1:29" s="451" customFormat="1" ht="15.75"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69"/>
      <c r="Q40" s="1891">
        <f t="shared" si="14"/>
        <v>111</v>
      </c>
      <c r="R40" s="754" t="s">
        <v>25</v>
      </c>
      <c r="S40" s="755">
        <f t="shared" si="10"/>
        <v>100</v>
      </c>
      <c r="T40" s="754" t="s">
        <v>25</v>
      </c>
      <c r="U40" s="755">
        <f t="shared" si="11"/>
        <v>100</v>
      </c>
      <c r="V40" s="754" t="s">
        <v>25</v>
      </c>
      <c r="W40" s="755">
        <f t="shared" si="12"/>
        <v>100</v>
      </c>
      <c r="X40" s="756"/>
      <c r="Y40" s="3069"/>
      <c r="Z40" s="757">
        <f t="shared" si="13"/>
        <v>111</v>
      </c>
      <c r="AA40" s="1895">
        <f t="shared" si="3"/>
        <v>1</v>
      </c>
      <c r="AB40" s="1895">
        <f t="shared" si="4"/>
        <v>1</v>
      </c>
      <c r="AC40" s="1895">
        <f t="shared" si="5"/>
        <v>1</v>
      </c>
    </row>
    <row r="41" spans="1:29" ht="15">
      <c r="A41" s="459" t="s">
        <v>2508</v>
      </c>
      <c r="B41" s="2485" t="s">
        <v>2583</v>
      </c>
      <c r="C41" s="664" t="s">
        <v>1</v>
      </c>
      <c r="D41" s="461"/>
      <c r="E41" s="462"/>
      <c r="F41" s="463"/>
      <c r="G41" s="464"/>
      <c r="H41" s="465"/>
      <c r="I41" s="462"/>
      <c r="J41" s="465"/>
      <c r="K41" s="760"/>
      <c r="L41" s="1250"/>
      <c r="M41" s="1238"/>
      <c r="N41" s="1238"/>
      <c r="O41" s="1251"/>
      <c r="P41" s="3075" t="str">
        <f>A41</f>
        <v>成交单价</v>
      </c>
      <c r="Q41" s="3075"/>
      <c r="R41" s="3054">
        <f>E41</f>
        <v>0</v>
      </c>
      <c r="S41" s="3054"/>
      <c r="T41" s="3054">
        <f>G41</f>
        <v>0</v>
      </c>
      <c r="U41" s="3054"/>
      <c r="V41" s="3054">
        <f>I41</f>
        <v>0</v>
      </c>
      <c r="W41" s="3054"/>
      <c r="X41" s="736"/>
      <c r="Y41" s="758"/>
      <c r="Z41" s="736"/>
      <c r="AA41" s="736"/>
      <c r="AB41" s="736"/>
      <c r="AC41" s="736"/>
    </row>
    <row r="42" spans="1:29" ht="15.75" thickBot="1">
      <c r="A42" s="466" t="s">
        <v>2455</v>
      </c>
      <c r="B42" s="665"/>
      <c r="C42" s="470" t="e">
        <f>R43</f>
        <v>#DIV/0!</v>
      </c>
      <c r="D42" s="469"/>
      <c r="E42" s="470" t="e">
        <f>R42</f>
        <v>#DIV/0!</v>
      </c>
      <c r="F42" s="471"/>
      <c r="G42" s="468" t="e">
        <f>T42</f>
        <v>#DIV/0!</v>
      </c>
      <c r="H42" s="469"/>
      <c r="I42" s="470" t="e">
        <f>V42</f>
        <v>#DIV/0!</v>
      </c>
      <c r="J42" s="469"/>
      <c r="K42" s="761"/>
      <c r="L42" s="1250"/>
      <c r="M42" s="1238"/>
      <c r="N42" s="1238"/>
      <c r="O42" s="1251"/>
      <c r="P42" s="3075" t="str">
        <f>A42</f>
        <v>比较价值（元/平方米）</v>
      </c>
      <c r="Q42" s="3075"/>
      <c r="R42" s="3092" t="e">
        <f>ROUND(PRODUCT(R41,AA7:AA40),0)</f>
        <v>#DIV/0!</v>
      </c>
      <c r="S42" s="3092"/>
      <c r="T42" s="3092" t="e">
        <f>ROUND(PRODUCT(T41,AB7:AB40),0)</f>
        <v>#DIV/0!</v>
      </c>
      <c r="U42" s="3092"/>
      <c r="V42" s="3092" t="e">
        <f>ROUND(PRODUCT(V41,AC7:AC40),0)</f>
        <v>#DIV/0!</v>
      </c>
      <c r="W42" s="3092"/>
      <c r="X42" s="736"/>
      <c r="Y42" s="736"/>
      <c r="Z42" s="736"/>
      <c r="AA42" s="736"/>
      <c r="AB42" s="736"/>
      <c r="AC42" s="736"/>
    </row>
    <row r="43" spans="1:29" ht="15.75" thickBot="1">
      <c r="A43" s="472" t="s">
        <v>2478</v>
      </c>
      <c r="B43" s="473"/>
      <c r="C43" s="474" t="e">
        <f>R43</f>
        <v>#DIV/0!</v>
      </c>
      <c r="D43" s="474"/>
      <c r="E43" s="474"/>
      <c r="F43" s="474"/>
      <c r="G43" s="474"/>
      <c r="H43" s="474"/>
      <c r="I43" s="474"/>
      <c r="J43" s="474"/>
      <c r="K43" s="762"/>
      <c r="L43" s="1250"/>
      <c r="M43" s="1238"/>
      <c r="N43" s="1238"/>
      <c r="O43" s="1251"/>
      <c r="P43" s="3081" t="str">
        <f>A43</f>
        <v>估价对象XX用房的比较价值（楼面单价，元/平方米）</v>
      </c>
      <c r="Q43" s="3082"/>
      <c r="R43" s="3093" t="e">
        <f>ROUND(AVERAGE(R42:V42),0)</f>
        <v>#DIV/0!</v>
      </c>
      <c r="S43" s="3093"/>
      <c r="T43" s="3093"/>
      <c r="U43" s="3093"/>
      <c r="V43" s="3093"/>
      <c r="W43" s="3093"/>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5" thickBot="1">
      <c r="A49" s="1253"/>
      <c r="B49" s="1254"/>
      <c r="C49" s="1259"/>
      <c r="D49" s="1253"/>
      <c r="E49" s="1253"/>
      <c r="F49" s="1253"/>
      <c r="G49" s="1253"/>
      <c r="H49" s="1253"/>
      <c r="I49" s="1253"/>
      <c r="J49" s="1253"/>
      <c r="K49" s="1257"/>
      <c r="L49" s="1258"/>
      <c r="M49" s="1253"/>
      <c r="N49" s="1253"/>
      <c r="O49" s="1253"/>
    </row>
    <row r="50" spans="1:17" ht="27">
      <c r="A50" s="666" t="s">
        <v>2546</v>
      </c>
      <c r="B50" s="667" t="s">
        <v>2547</v>
      </c>
      <c r="C50" s="2486" t="s">
        <v>2548</v>
      </c>
      <c r="D50" s="2487" t="s">
        <v>2549</v>
      </c>
      <c r="E50" s="668" t="s">
        <v>2550</v>
      </c>
      <c r="F50" s="669" t="s">
        <v>2551</v>
      </c>
      <c r="G50" s="1894" t="s">
        <v>2584</v>
      </c>
      <c r="H50" s="1894" t="str">
        <f>项目基本情况!G8</f>
        <v>XX</v>
      </c>
      <c r="I50" s="1842" t="s">
        <v>2553</v>
      </c>
      <c r="J50" s="1256"/>
      <c r="K50" s="1252"/>
      <c r="L50" s="1252"/>
      <c r="M50" s="1251"/>
      <c r="N50" s="1251"/>
      <c r="O50" s="1251"/>
    </row>
    <row r="51" spans="1:17" s="674" customFormat="1">
      <c r="A51" s="670" t="s">
        <v>2554</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2555</v>
      </c>
      <c r="B52" s="177" t="e">
        <f>ROUND($C$43*C52*D52,0)</f>
        <v>#DIV/0!</v>
      </c>
      <c r="C52" s="116">
        <f>IF($C$50="北京市系数",G52,H52)</f>
        <v>0.6</v>
      </c>
      <c r="D52" s="1286">
        <v>0.25</v>
      </c>
      <c r="E52" s="676">
        <v>0</v>
      </c>
      <c r="F52" s="673" t="e">
        <f t="shared" si="15"/>
        <v>#DIV/0!</v>
      </c>
      <c r="G52" s="966">
        <f>SUMIF(修正!$A$45:$A$56,项目基本情况!$F$9,修正!B45:B56)</f>
        <v>0.6</v>
      </c>
      <c r="H52" s="967"/>
      <c r="I52" s="1251"/>
      <c r="J52" s="1256"/>
      <c r="K52" s="1252"/>
      <c r="L52" s="1252"/>
      <c r="M52" s="1251"/>
      <c r="N52" s="1251"/>
      <c r="O52" s="1251"/>
    </row>
    <row r="53" spans="1:17" s="674" customFormat="1">
      <c r="A53" s="675" t="s">
        <v>2556</v>
      </c>
      <c r="B53" s="177" t="e">
        <f t="shared" ref="B53:B60" si="16">ROUND($C$43*C53*D53,0)</f>
        <v>#DIV/0!</v>
      </c>
      <c r="C53" s="116">
        <f t="shared" ref="C53:C60" si="17">IF($C$50="北京市系数",G53,H53)</f>
        <v>0.3</v>
      </c>
      <c r="D53" s="1286">
        <v>0.25</v>
      </c>
      <c r="E53" s="676">
        <v>0</v>
      </c>
      <c r="F53" s="673" t="e">
        <f t="shared" si="15"/>
        <v>#DIV/0!</v>
      </c>
      <c r="G53" s="966">
        <f>SUMIF(修正!$A$45:$A$56,项目基本情况!$F$9,修正!C45:C56)</f>
        <v>0.3</v>
      </c>
      <c r="H53" s="967"/>
      <c r="I53" s="1253"/>
      <c r="J53" s="1256"/>
      <c r="K53" s="1252"/>
      <c r="L53" s="1252"/>
      <c r="M53" s="1251"/>
      <c r="N53" s="1251"/>
      <c r="O53" s="1251"/>
    </row>
    <row r="54" spans="1:17" s="674" customFormat="1">
      <c r="A54" s="675" t="s">
        <v>2557</v>
      </c>
      <c r="B54" s="177" t="e">
        <f t="shared" si="16"/>
        <v>#DIV/0!</v>
      </c>
      <c r="C54" s="116">
        <f t="shared" si="17"/>
        <v>0.2</v>
      </c>
      <c r="D54" s="1286">
        <v>0.25</v>
      </c>
      <c r="E54" s="676">
        <v>0</v>
      </c>
      <c r="F54" s="673" t="e">
        <f t="shared" si="15"/>
        <v>#DIV/0!</v>
      </c>
      <c r="G54" s="966">
        <f>SUMIF(修正!$A$45:$A$56,项目基本情况!$F$9,修正!D45:D56)</f>
        <v>0.2</v>
      </c>
      <c r="H54" s="967"/>
      <c r="I54" s="1251"/>
      <c r="J54" s="1256"/>
      <c r="K54" s="1252"/>
      <c r="L54" s="1252"/>
      <c r="M54" s="1251"/>
      <c r="N54" s="1251"/>
      <c r="O54" s="1251"/>
    </row>
    <row r="55" spans="1:17" s="674" customFormat="1">
      <c r="A55" s="675" t="s">
        <v>2558</v>
      </c>
      <c r="B55" s="177" t="e">
        <f t="shared" si="16"/>
        <v>#DIV/0!</v>
      </c>
      <c r="C55" s="116">
        <f t="shared" si="17"/>
        <v>0.2</v>
      </c>
      <c r="D55" s="1286">
        <v>0.25</v>
      </c>
      <c r="E55" s="676">
        <v>0</v>
      </c>
      <c r="F55" s="673" t="e">
        <f t="shared" si="15"/>
        <v>#DIV/0!</v>
      </c>
      <c r="G55" s="966">
        <f>SUMIF(修正!$A$45:$A$56,项目基本情况!$F$9,修正!E45:E56)</f>
        <v>0.2</v>
      </c>
      <c r="H55" s="967"/>
      <c r="I55" s="1253"/>
      <c r="J55" s="1256"/>
      <c r="K55" s="1252"/>
      <c r="L55" s="1252"/>
      <c r="M55" s="1251"/>
      <c r="N55" s="1251"/>
      <c r="O55" s="1251"/>
    </row>
    <row r="56" spans="1:17" s="674" customFormat="1">
      <c r="A56" s="675" t="s">
        <v>2559</v>
      </c>
      <c r="B56" s="177" t="e">
        <f t="shared" si="16"/>
        <v>#DIV/0!</v>
      </c>
      <c r="C56" s="116">
        <f t="shared" si="17"/>
        <v>0</v>
      </c>
      <c r="D56" s="1286">
        <v>0.25</v>
      </c>
      <c r="E56" s="676">
        <v>0</v>
      </c>
      <c r="F56" s="673" t="e">
        <f t="shared" si="15"/>
        <v>#DIV/0!</v>
      </c>
      <c r="G56" s="966">
        <f>SUMIF(修正!A40:A51,项目基本情况!F9,修正!F45:F56)</f>
        <v>0</v>
      </c>
      <c r="H56" s="967"/>
      <c r="I56" s="1251"/>
      <c r="J56" s="1256"/>
      <c r="K56" s="1252"/>
      <c r="L56" s="1252"/>
      <c r="M56" s="1251"/>
      <c r="N56" s="1251"/>
      <c r="O56" s="1251"/>
    </row>
    <row r="57" spans="1:17" s="674" customFormat="1">
      <c r="A57" s="675" t="s">
        <v>2560</v>
      </c>
      <c r="B57" s="177" t="e">
        <f t="shared" si="16"/>
        <v>#DIV/0!</v>
      </c>
      <c r="C57" s="116">
        <f t="shared" si="17"/>
        <v>0</v>
      </c>
      <c r="D57" s="1286">
        <v>0.25</v>
      </c>
      <c r="E57" s="676">
        <v>0</v>
      </c>
      <c r="F57" s="673" t="e">
        <f t="shared" si="15"/>
        <v>#DIV/0!</v>
      </c>
      <c r="G57" s="966">
        <f>SUMIF(修正!A40:A51,项目基本情况!F9,修正!G45:G56)</f>
        <v>0</v>
      </c>
      <c r="H57" s="967"/>
      <c r="I57" s="1253"/>
      <c r="J57" s="1256"/>
      <c r="K57" s="1252"/>
      <c r="L57" s="1252"/>
      <c r="M57" s="1251"/>
      <c r="N57" s="1251"/>
      <c r="O57" s="1251"/>
    </row>
    <row r="58" spans="1:17" s="674" customFormat="1">
      <c r="A58" s="675" t="s">
        <v>2561</v>
      </c>
      <c r="B58" s="177" t="e">
        <f t="shared" si="16"/>
        <v>#DIV/0!</v>
      </c>
      <c r="C58" s="116">
        <f t="shared" si="17"/>
        <v>0</v>
      </c>
      <c r="D58" s="1286">
        <v>0.25</v>
      </c>
      <c r="E58" s="676">
        <v>0</v>
      </c>
      <c r="F58" s="673" t="e">
        <f t="shared" si="15"/>
        <v>#DIV/0!</v>
      </c>
      <c r="G58" s="966">
        <f>SUMIF(修正!A40:A51,项目基本情况!F9,修正!H45:H56)</f>
        <v>0</v>
      </c>
      <c r="H58" s="967"/>
      <c r="I58" s="1251"/>
      <c r="J58" s="1256"/>
      <c r="K58" s="1252"/>
      <c r="L58" s="1252"/>
      <c r="M58" s="1251"/>
      <c r="N58" s="1251"/>
      <c r="O58" s="1251"/>
    </row>
    <row r="59" spans="1:17" s="674" customFormat="1">
      <c r="A59" s="675" t="s">
        <v>2562</v>
      </c>
      <c r="B59" s="177" t="e">
        <f t="shared" si="16"/>
        <v>#DIV/0!</v>
      </c>
      <c r="C59" s="116">
        <f t="shared" si="17"/>
        <v>0</v>
      </c>
      <c r="D59" s="1286">
        <v>0.25</v>
      </c>
      <c r="E59" s="676">
        <v>0</v>
      </c>
      <c r="F59" s="673" t="e">
        <f t="shared" si="15"/>
        <v>#DIV/0!</v>
      </c>
      <c r="G59" s="966">
        <f>G58</f>
        <v>0</v>
      </c>
      <c r="H59" s="967"/>
      <c r="I59" s="1253"/>
      <c r="J59" s="1256"/>
      <c r="K59" s="1252"/>
      <c r="L59" s="1252"/>
      <c r="M59" s="1251"/>
      <c r="N59" s="1251"/>
      <c r="O59" s="1251"/>
    </row>
    <row r="60" spans="1:17" s="674" customFormat="1">
      <c r="A60" s="675" t="s">
        <v>2563</v>
      </c>
      <c r="B60" s="177" t="e">
        <f t="shared" si="16"/>
        <v>#DIV/0!</v>
      </c>
      <c r="C60" s="116">
        <f t="shared" si="17"/>
        <v>0</v>
      </c>
      <c r="D60" s="1286">
        <v>0.25</v>
      </c>
      <c r="E60" s="676">
        <v>0</v>
      </c>
      <c r="F60" s="673" t="e">
        <f t="shared" si="15"/>
        <v>#DIV/0!</v>
      </c>
      <c r="G60" s="966">
        <f>G58</f>
        <v>0</v>
      </c>
      <c r="H60" s="967"/>
      <c r="I60" s="1251"/>
      <c r="J60" s="1256"/>
      <c r="K60" s="1252"/>
      <c r="L60" s="1252"/>
      <c r="M60" s="1251"/>
      <c r="N60" s="1251"/>
      <c r="O60" s="1251"/>
    </row>
    <row r="61" spans="1:17" s="674" customFormat="1" ht="15" thickBot="1">
      <c r="A61" s="678" t="s">
        <v>2564</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1.75" thickBot="1">
      <c r="A64" s="740" t="s">
        <v>2460</v>
      </c>
      <c r="B64" s="736"/>
      <c r="C64" s="741"/>
      <c r="D64" s="741"/>
      <c r="E64" s="741"/>
      <c r="F64" s="742"/>
      <c r="G64" s="742"/>
      <c r="H64" s="741"/>
      <c r="I64" s="1267"/>
      <c r="J64" s="1267"/>
      <c r="K64" s="1265"/>
      <c r="L64" s="1266"/>
      <c r="M64" s="1267"/>
      <c r="N64" s="1267"/>
      <c r="O64" s="1267"/>
      <c r="P64" s="483"/>
      <c r="Q64" s="484"/>
    </row>
    <row r="65" spans="1:17" s="488" customFormat="1" ht="15">
      <c r="A65" s="2489" t="s">
        <v>2565</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2585</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75" thickBot="1">
      <c r="A67" s="495" t="s">
        <v>2380</v>
      </c>
      <c r="B67" s="496"/>
      <c r="C67" s="497"/>
      <c r="D67" s="498"/>
      <c r="E67" s="498"/>
      <c r="F67" s="498"/>
      <c r="G67" s="498"/>
      <c r="H67" s="498"/>
      <c r="I67" s="498"/>
      <c r="J67" s="498"/>
      <c r="K67" s="498"/>
      <c r="L67" s="498"/>
      <c r="M67" s="499"/>
      <c r="N67" s="498"/>
      <c r="O67" s="1670"/>
      <c r="P67" s="484"/>
      <c r="Q67" s="484"/>
    </row>
    <row r="68" spans="1:17" s="35" customFormat="1" ht="15">
      <c r="A68" s="501" t="s">
        <v>2344</v>
      </c>
      <c r="B68" s="490"/>
      <c r="C68" s="502" t="s">
        <v>2345</v>
      </c>
      <c r="D68" s="503"/>
      <c r="E68" s="503"/>
      <c r="F68" s="503"/>
      <c r="G68" s="503"/>
      <c r="H68" s="503"/>
      <c r="I68" s="503"/>
      <c r="J68" s="503"/>
      <c r="K68" s="503"/>
      <c r="L68" s="504"/>
      <c r="M68" s="505"/>
      <c r="N68" s="1260"/>
      <c r="O68" s="1260"/>
      <c r="P68" s="506"/>
      <c r="Q68" s="484"/>
    </row>
    <row r="69" spans="1:17" s="35" customFormat="1" ht="15.75" thickBot="1">
      <c r="A69" s="501"/>
      <c r="B69" s="490"/>
      <c r="C69" s="622">
        <v>100</v>
      </c>
      <c r="D69" s="492"/>
      <c r="E69" s="492"/>
      <c r="F69" s="492"/>
      <c r="G69" s="492"/>
      <c r="H69" s="492"/>
      <c r="I69" s="492"/>
      <c r="J69" s="492"/>
      <c r="K69" s="492"/>
      <c r="L69" s="492"/>
      <c r="M69" s="494"/>
      <c r="N69" s="1260"/>
      <c r="O69" s="1260"/>
      <c r="P69" s="484"/>
      <c r="Q69" s="484"/>
    </row>
    <row r="70" spans="1:17">
      <c r="A70" s="507" t="s">
        <v>2383</v>
      </c>
      <c r="B70" s="508" t="s">
        <v>2348</v>
      </c>
      <c r="C70" s="510"/>
      <c r="D70" s="510"/>
      <c r="E70" s="510"/>
      <c r="F70" s="510"/>
      <c r="G70" s="510"/>
      <c r="H70" s="510"/>
      <c r="I70" s="510"/>
      <c r="J70" s="510"/>
      <c r="K70" s="511"/>
      <c r="L70" s="512"/>
      <c r="M70" s="513"/>
      <c r="N70" s="1261"/>
      <c r="O70" s="1261"/>
      <c r="P70" s="22"/>
      <c r="Q70" s="484"/>
    </row>
    <row r="71" spans="1:17" ht="15.75" thickBot="1">
      <c r="A71" s="515"/>
      <c r="B71" s="516"/>
      <c r="C71" s="517"/>
      <c r="D71" s="517"/>
      <c r="E71" s="517"/>
      <c r="F71" s="517"/>
      <c r="G71" s="517"/>
      <c r="H71" s="517"/>
      <c r="I71" s="517"/>
      <c r="J71" s="517"/>
      <c r="K71" s="517"/>
      <c r="L71" s="517"/>
      <c r="M71" s="518"/>
      <c r="N71" s="1262"/>
      <c r="O71" s="1262"/>
      <c r="P71" s="22"/>
      <c r="Q71" s="484"/>
    </row>
    <row r="72" spans="1:17" ht="27.75" thickTop="1">
      <c r="A72" s="515"/>
      <c r="B72" s="520" t="s">
        <v>2351</v>
      </c>
      <c r="C72" s="521"/>
      <c r="D72" s="521"/>
      <c r="E72" s="521"/>
      <c r="F72" s="521"/>
      <c r="G72" s="521"/>
      <c r="H72" s="521"/>
      <c r="I72" s="521"/>
      <c r="J72" s="521"/>
      <c r="K72" s="522"/>
      <c r="L72" s="523"/>
      <c r="M72" s="524"/>
      <c r="N72" s="1261"/>
      <c r="O72" s="1261"/>
      <c r="P72" s="22"/>
      <c r="Q72" s="484"/>
    </row>
    <row r="73" spans="1:17" ht="15.75" thickBot="1">
      <c r="A73" s="515"/>
      <c r="B73" s="525"/>
      <c r="C73" s="526"/>
      <c r="D73" s="526"/>
      <c r="E73" s="526"/>
      <c r="F73" s="526"/>
      <c r="G73" s="526"/>
      <c r="H73" s="526"/>
      <c r="I73" s="526"/>
      <c r="J73" s="526"/>
      <c r="K73" s="526"/>
      <c r="L73" s="526"/>
      <c r="M73" s="527"/>
      <c r="N73" s="1262"/>
      <c r="O73" s="1262"/>
      <c r="P73" s="22"/>
      <c r="Q73" s="484"/>
    </row>
    <row r="74" spans="1:17" ht="15.7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ht="15">
      <c r="A75" s="515"/>
      <c r="B75" s="530"/>
      <c r="C75" s="531"/>
      <c r="D75" s="531"/>
      <c r="E75" s="531"/>
      <c r="F75" s="531"/>
      <c r="G75" s="531"/>
      <c r="H75" s="531"/>
      <c r="I75" s="531"/>
      <c r="J75" s="531"/>
      <c r="K75" s="532"/>
      <c r="L75" s="533"/>
      <c r="M75" s="534"/>
      <c r="N75" s="1261"/>
      <c r="O75" s="1261"/>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5.75" thickTop="1">
      <c r="A77" s="535"/>
      <c r="B77" s="520">
        <f>B12</f>
        <v>111</v>
      </c>
      <c r="C77" s="536"/>
      <c r="D77" s="536"/>
      <c r="E77" s="536"/>
      <c r="F77" s="536"/>
      <c r="G77" s="536"/>
      <c r="H77" s="537"/>
      <c r="I77" s="537"/>
      <c r="J77" s="537"/>
      <c r="K77" s="537"/>
      <c r="L77" s="538"/>
      <c r="M77" s="539"/>
      <c r="N77" s="1263"/>
      <c r="O77" s="1263"/>
      <c r="P77" s="541"/>
      <c r="Q77" s="542"/>
    </row>
    <row r="78" spans="1:17" s="451" customFormat="1" ht="15.75" thickBot="1">
      <c r="A78" s="535"/>
      <c r="B78" s="525"/>
      <c r="C78" s="543"/>
      <c r="D78" s="517"/>
      <c r="E78" s="517"/>
      <c r="F78" s="517"/>
      <c r="G78" s="517"/>
      <c r="H78" s="517"/>
      <c r="I78" s="517"/>
      <c r="J78" s="517"/>
      <c r="K78" s="517"/>
      <c r="L78" s="517"/>
      <c r="M78" s="518"/>
      <c r="N78" s="1262"/>
      <c r="O78" s="1262"/>
      <c r="P78" s="541"/>
      <c r="Q78" s="542"/>
    </row>
    <row r="79" spans="1:17" s="451" customFormat="1" ht="15.75" thickTop="1">
      <c r="A79" s="535"/>
      <c r="B79" s="520">
        <f>B13</f>
        <v>111</v>
      </c>
      <c r="C79" s="536"/>
      <c r="D79" s="536"/>
      <c r="E79" s="536"/>
      <c r="F79" s="536"/>
      <c r="G79" s="536"/>
      <c r="H79" s="537"/>
      <c r="I79" s="537"/>
      <c r="J79" s="537"/>
      <c r="K79" s="537"/>
      <c r="L79" s="538"/>
      <c r="M79" s="539"/>
      <c r="N79" s="1263"/>
      <c r="O79" s="1263"/>
      <c r="P79" s="450"/>
      <c r="Q79" s="544"/>
    </row>
    <row r="80" spans="1:17" s="451" customFormat="1" ht="15.75" thickBot="1">
      <c r="A80" s="535"/>
      <c r="B80" s="525"/>
      <c r="C80" s="543"/>
      <c r="D80" s="543"/>
      <c r="E80" s="543"/>
      <c r="F80" s="543"/>
      <c r="G80" s="543"/>
      <c r="H80" s="545"/>
      <c r="I80" s="545"/>
      <c r="J80" s="545"/>
      <c r="K80" s="545"/>
      <c r="L80" s="545"/>
      <c r="M80" s="546"/>
      <c r="N80" s="1263"/>
      <c r="O80" s="1263"/>
      <c r="P80" s="541"/>
      <c r="Q80" s="542"/>
    </row>
    <row r="81" spans="1:17" s="451" customFormat="1" ht="15.75" thickTop="1">
      <c r="A81" s="535"/>
      <c r="B81" s="528">
        <f>B14</f>
        <v>111</v>
      </c>
      <c r="C81" s="503"/>
      <c r="D81" s="503"/>
      <c r="E81" s="503"/>
      <c r="F81" s="503"/>
      <c r="G81" s="503"/>
      <c r="H81" s="547"/>
      <c r="I81" s="547"/>
      <c r="J81" s="547"/>
      <c r="K81" s="547"/>
      <c r="L81" s="548"/>
      <c r="M81" s="549"/>
      <c r="N81" s="1263"/>
      <c r="O81" s="1263"/>
      <c r="P81" s="550"/>
      <c r="Q81" s="542"/>
    </row>
    <row r="82" spans="1:17" s="451" customFormat="1" ht="15.75" thickBot="1">
      <c r="A82" s="551"/>
      <c r="B82" s="552"/>
      <c r="C82" s="553"/>
      <c r="D82" s="553"/>
      <c r="E82" s="553"/>
      <c r="F82" s="553"/>
      <c r="G82" s="553"/>
      <c r="H82" s="554"/>
      <c r="I82" s="554"/>
      <c r="J82" s="554"/>
      <c r="K82" s="554"/>
      <c r="L82" s="554"/>
      <c r="M82" s="555"/>
      <c r="N82" s="1263"/>
      <c r="O82" s="1263"/>
      <c r="P82" s="541"/>
      <c r="Q82" s="542"/>
    </row>
    <row r="83" spans="1:17">
      <c r="A83" s="507" t="s">
        <v>2353</v>
      </c>
      <c r="B83" s="508" t="s">
        <v>2493</v>
      </c>
      <c r="C83" s="556" t="s">
        <v>2392</v>
      </c>
      <c r="D83" s="556" t="s">
        <v>2393</v>
      </c>
      <c r="E83" s="556" t="s">
        <v>2394</v>
      </c>
      <c r="F83" s="556" t="s">
        <v>2395</v>
      </c>
      <c r="G83" s="556" t="s">
        <v>2396</v>
      </c>
      <c r="H83" s="509"/>
      <c r="I83" s="509"/>
      <c r="J83" s="509"/>
      <c r="K83" s="557"/>
      <c r="L83" s="558"/>
      <c r="M83" s="559"/>
      <c r="N83" s="1261"/>
      <c r="O83" s="1261"/>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75" thickTop="1">
      <c r="A85" s="515"/>
      <c r="B85" s="520" t="s">
        <v>2397</v>
      </c>
      <c r="C85" s="561" t="s">
        <v>2392</v>
      </c>
      <c r="D85" s="561" t="s">
        <v>2393</v>
      </c>
      <c r="E85" s="561" t="s">
        <v>2394</v>
      </c>
      <c r="F85" s="561" t="s">
        <v>2395</v>
      </c>
      <c r="G85" s="561" t="s">
        <v>2396</v>
      </c>
      <c r="H85" s="521"/>
      <c r="I85" s="521"/>
      <c r="J85" s="521"/>
      <c r="K85" s="522"/>
      <c r="L85" s="523"/>
      <c r="M85" s="524"/>
      <c r="N85" s="1261"/>
      <c r="O85" s="1261"/>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15.75" thickTop="1">
      <c r="A87" s="562"/>
      <c r="B87" s="520" t="s">
        <v>2568</v>
      </c>
      <c r="C87" s="556" t="s">
        <v>2392</v>
      </c>
      <c r="D87" s="556" t="s">
        <v>2393</v>
      </c>
      <c r="E87" s="556" t="s">
        <v>2394</v>
      </c>
      <c r="F87" s="556" t="s">
        <v>2395</v>
      </c>
      <c r="G87" s="556" t="s">
        <v>2396</v>
      </c>
      <c r="H87" s="561"/>
      <c r="I87" s="561"/>
      <c r="J87" s="561"/>
      <c r="K87" s="561"/>
      <c r="L87" s="681"/>
      <c r="M87" s="605"/>
      <c r="N87" s="1260"/>
      <c r="O87" s="1260"/>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7.75" thickTop="1">
      <c r="A89" s="562"/>
      <c r="B89" s="520" t="s">
        <v>2569</v>
      </c>
      <c r="C89" s="556" t="s">
        <v>2392</v>
      </c>
      <c r="D89" s="556" t="s">
        <v>2393</v>
      </c>
      <c r="E89" s="556" t="s">
        <v>2394</v>
      </c>
      <c r="F89" s="556" t="s">
        <v>2395</v>
      </c>
      <c r="G89" s="556" t="s">
        <v>2396</v>
      </c>
      <c r="H89" s="561"/>
      <c r="I89" s="561"/>
      <c r="J89" s="561"/>
      <c r="K89" s="561"/>
      <c r="L89" s="561"/>
      <c r="M89" s="605"/>
      <c r="N89" s="1260"/>
      <c r="O89" s="1260"/>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75" thickTop="1">
      <c r="A91" s="535"/>
      <c r="B91" s="528" t="s">
        <v>2440</v>
      </c>
      <c r="C91" s="556" t="s">
        <v>2392</v>
      </c>
      <c r="D91" s="556" t="s">
        <v>2393</v>
      </c>
      <c r="E91" s="556" t="s">
        <v>2394</v>
      </c>
      <c r="F91" s="556" t="s">
        <v>2395</v>
      </c>
      <c r="G91" s="556" t="s">
        <v>2396</v>
      </c>
      <c r="H91" s="583"/>
      <c r="I91" s="583"/>
      <c r="J91" s="583"/>
      <c r="K91" s="583"/>
      <c r="L91" s="584"/>
      <c r="M91" s="585"/>
      <c r="N91" s="1263"/>
      <c r="O91" s="1263"/>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75" thickTop="1">
      <c r="A93" s="535"/>
      <c r="B93" s="520" t="s">
        <v>2441</v>
      </c>
      <c r="C93" s="521" t="s">
        <v>2399</v>
      </c>
      <c r="D93" s="521" t="s">
        <v>2400</v>
      </c>
      <c r="E93" s="521" t="s">
        <v>2401</v>
      </c>
      <c r="F93" s="521" t="s">
        <v>2402</v>
      </c>
      <c r="G93" s="521" t="s">
        <v>2403</v>
      </c>
      <c r="H93" s="583"/>
      <c r="I93" s="583"/>
      <c r="J93" s="583"/>
      <c r="K93" s="583"/>
      <c r="L93" s="583"/>
      <c r="M93" s="585"/>
      <c r="N93" s="1263"/>
      <c r="O93" s="1263"/>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75" thickTop="1">
      <c r="A95" s="515"/>
      <c r="B95" s="520" t="str">
        <f>B27</f>
        <v>临街状况</v>
      </c>
      <c r="C95" s="521" t="s">
        <v>2570</v>
      </c>
      <c r="D95" s="521" t="s">
        <v>2571</v>
      </c>
      <c r="E95" s="521" t="s">
        <v>2572</v>
      </c>
      <c r="F95" s="521" t="s">
        <v>2573</v>
      </c>
      <c r="G95" s="521"/>
      <c r="H95" s="521"/>
      <c r="I95" s="521"/>
      <c r="J95" s="521"/>
      <c r="K95" s="522"/>
      <c r="L95" s="523"/>
      <c r="M95" s="524"/>
      <c r="N95" s="1261"/>
      <c r="O95" s="1261"/>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7.75" thickTop="1">
      <c r="A97" s="515"/>
      <c r="B97" s="520" t="s">
        <v>2472</v>
      </c>
      <c r="C97" s="536"/>
      <c r="D97" s="536"/>
      <c r="E97" s="536"/>
      <c r="F97" s="536"/>
      <c r="G97" s="536"/>
      <c r="H97" s="566"/>
      <c r="I97" s="566"/>
      <c r="J97" s="566"/>
      <c r="K97" s="567"/>
      <c r="L97" s="568"/>
      <c r="M97" s="569"/>
      <c r="N97" s="1261"/>
      <c r="O97" s="1261"/>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75" thickTop="1">
      <c r="A99" s="515"/>
      <c r="B99" s="520" t="s">
        <v>2539</v>
      </c>
      <c r="C99" s="566"/>
      <c r="D99" s="566"/>
      <c r="E99" s="566"/>
      <c r="F99" s="566"/>
      <c r="G99" s="566"/>
      <c r="H99" s="566"/>
      <c r="I99" s="566"/>
      <c r="J99" s="566"/>
      <c r="K99" s="567"/>
      <c r="L99" s="568"/>
      <c r="M99" s="569"/>
      <c r="N99" s="1261"/>
      <c r="O99" s="1261"/>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5.75" thickTop="1">
      <c r="A101" s="515"/>
      <c r="B101" s="528">
        <f>B31</f>
        <v>111</v>
      </c>
      <c r="C101" s="536"/>
      <c r="D101" s="536"/>
      <c r="E101" s="536"/>
      <c r="F101" s="536"/>
      <c r="G101" s="570"/>
      <c r="H101" s="570"/>
      <c r="I101" s="570"/>
      <c r="J101" s="570"/>
      <c r="K101" s="571"/>
      <c r="L101" s="572"/>
      <c r="M101" s="573"/>
      <c r="N101" s="1261"/>
      <c r="O101" s="1261"/>
      <c r="P101" s="22"/>
      <c r="Q101" s="484"/>
    </row>
    <row r="102" spans="1:17" ht="15.75" thickBot="1">
      <c r="A102" s="515"/>
      <c r="B102" s="552"/>
      <c r="C102" s="543"/>
      <c r="D102" s="517"/>
      <c r="E102" s="517"/>
      <c r="F102" s="517"/>
      <c r="G102" s="574"/>
      <c r="H102" s="574"/>
      <c r="I102" s="574"/>
      <c r="J102" s="574"/>
      <c r="K102" s="574"/>
      <c r="L102" s="574"/>
      <c r="M102" s="575"/>
      <c r="N102" s="1262"/>
      <c r="O102" s="1262"/>
      <c r="P102" s="22"/>
      <c r="Q102" s="484"/>
    </row>
    <row r="103" spans="1:17" ht="15" thickTop="1">
      <c r="A103" s="657"/>
      <c r="B103" s="520">
        <f>B32</f>
        <v>111</v>
      </c>
      <c r="C103" s="536"/>
      <c r="D103" s="536"/>
      <c r="E103" s="536"/>
      <c r="F103" s="536"/>
      <c r="G103" s="566"/>
      <c r="H103" s="566"/>
      <c r="I103" s="566"/>
      <c r="J103" s="566"/>
      <c r="K103" s="567"/>
      <c r="L103" s="568"/>
      <c r="M103" s="569"/>
      <c r="N103" s="1261"/>
      <c r="O103" s="1261"/>
      <c r="P103" s="22"/>
      <c r="Q103" s="484"/>
    </row>
    <row r="104" spans="1:17" ht="15.75" thickBot="1">
      <c r="A104" s="515"/>
      <c r="B104" s="525"/>
      <c r="C104" s="543"/>
      <c r="D104" s="543"/>
      <c r="E104" s="543"/>
      <c r="F104" s="543"/>
      <c r="G104" s="517"/>
      <c r="H104" s="517"/>
      <c r="I104" s="517"/>
      <c r="J104" s="517"/>
      <c r="K104" s="517"/>
      <c r="L104" s="517"/>
      <c r="M104" s="518"/>
      <c r="N104" s="1262"/>
      <c r="O104" s="1262"/>
      <c r="P104" s="22"/>
      <c r="Q104" s="484"/>
    </row>
    <row r="105" spans="1:17" s="451" customFormat="1" ht="15"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5.75" thickBot="1">
      <c r="A106" s="535"/>
      <c r="B106" s="528"/>
      <c r="C106" s="553"/>
      <c r="D106" s="553"/>
      <c r="E106" s="553"/>
      <c r="F106" s="553"/>
      <c r="G106" s="659"/>
      <c r="H106" s="659"/>
      <c r="I106" s="659"/>
      <c r="J106" s="659"/>
      <c r="K106" s="659"/>
      <c r="L106" s="659"/>
      <c r="M106" s="682"/>
      <c r="N106" s="1262"/>
      <c r="O106" s="1262"/>
      <c r="P106" s="541"/>
      <c r="Q106" s="542"/>
    </row>
    <row r="107" spans="1:17">
      <c r="A107" s="507" t="s">
        <v>2358</v>
      </c>
      <c r="B107" s="508" t="s">
        <v>2574</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ht="15">
      <c r="A108" s="515"/>
      <c r="B108" s="528"/>
      <c r="C108" s="578"/>
      <c r="D108" s="578"/>
      <c r="E108" s="578"/>
      <c r="F108" s="578"/>
      <c r="G108" s="578"/>
      <c r="H108" s="578"/>
      <c r="I108" s="578"/>
      <c r="J108" s="579"/>
      <c r="K108" s="579"/>
      <c r="L108" s="580"/>
      <c r="M108" s="581"/>
      <c r="N108" s="1261"/>
      <c r="O108" s="1261"/>
      <c r="P108" s="22"/>
      <c r="Q108" s="484"/>
    </row>
    <row r="109" spans="1:17" ht="15.75"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2575</v>
      </c>
      <c r="C110" s="566"/>
      <c r="D110" s="566"/>
      <c r="E110" s="566"/>
      <c r="F110" s="566"/>
      <c r="G110" s="566"/>
      <c r="H110" s="566"/>
      <c r="I110" s="566"/>
      <c r="J110" s="566"/>
      <c r="K110" s="567"/>
      <c r="L110" s="568"/>
      <c r="M110" s="569"/>
      <c r="N110" s="1261"/>
      <c r="O110" s="1261"/>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2577</v>
      </c>
      <c r="C112" s="536"/>
      <c r="D112" s="536"/>
      <c r="E112" s="536"/>
      <c r="F112" s="536"/>
      <c r="G112" s="536"/>
      <c r="H112" s="566"/>
      <c r="I112" s="566"/>
      <c r="J112" s="566"/>
      <c r="K112" s="567"/>
      <c r="L112" s="568"/>
      <c r="M112" s="569"/>
      <c r="N112" s="1263"/>
      <c r="O112" s="1263"/>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2578</v>
      </c>
      <c r="C114" s="536"/>
      <c r="D114" s="536"/>
      <c r="E114" s="566"/>
      <c r="F114" s="566"/>
      <c r="G114" s="566"/>
      <c r="H114" s="566"/>
      <c r="I114" s="566"/>
      <c r="J114" s="566"/>
      <c r="K114" s="567"/>
      <c r="L114" s="568"/>
      <c r="M114" s="569"/>
      <c r="N114" s="1261"/>
      <c r="O114" s="1261"/>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5" thickTop="1">
      <c r="A116" s="582"/>
      <c r="B116" s="520">
        <f>B38</f>
        <v>111</v>
      </c>
      <c r="C116" s="536"/>
      <c r="D116" s="536"/>
      <c r="E116" s="536"/>
      <c r="F116" s="536"/>
      <c r="G116" s="536"/>
      <c r="H116" s="566"/>
      <c r="I116" s="566"/>
      <c r="J116" s="566"/>
      <c r="K116" s="567"/>
      <c r="L116" s="568"/>
      <c r="M116" s="569"/>
      <c r="N116" s="1261"/>
      <c r="O116" s="1261"/>
      <c r="P116" s="22"/>
      <c r="Q116" s="484"/>
    </row>
    <row r="117" spans="1:17" ht="15.75" thickBot="1">
      <c r="A117" s="515"/>
      <c r="B117" s="525"/>
      <c r="C117" s="543"/>
      <c r="D117" s="517"/>
      <c r="E117" s="517"/>
      <c r="F117" s="517"/>
      <c r="G117" s="517"/>
      <c r="H117" s="517"/>
      <c r="I117" s="517"/>
      <c r="J117" s="517"/>
      <c r="K117" s="517"/>
      <c r="L117" s="517"/>
      <c r="M117" s="518"/>
      <c r="N117" s="1262"/>
      <c r="O117" s="1262"/>
      <c r="P117" s="22"/>
      <c r="Q117" s="484"/>
    </row>
    <row r="118" spans="1:17" ht="15" thickTop="1">
      <c r="A118" s="582"/>
      <c r="B118" s="520">
        <f>B39</f>
        <v>111</v>
      </c>
      <c r="C118" s="536"/>
      <c r="D118" s="536"/>
      <c r="E118" s="536"/>
      <c r="F118" s="536"/>
      <c r="G118" s="566"/>
      <c r="H118" s="566"/>
      <c r="I118" s="566"/>
      <c r="J118" s="566"/>
      <c r="K118" s="567"/>
      <c r="L118" s="568"/>
      <c r="M118" s="569"/>
      <c r="N118" s="1261"/>
      <c r="O118" s="1261"/>
      <c r="P118" s="22"/>
      <c r="Q118" s="484"/>
    </row>
    <row r="119" spans="1:17" ht="15.75" thickBot="1">
      <c r="A119" s="515"/>
      <c r="B119" s="525"/>
      <c r="C119" s="543"/>
      <c r="D119" s="543"/>
      <c r="E119" s="543"/>
      <c r="F119" s="543"/>
      <c r="G119" s="517"/>
      <c r="H119" s="517"/>
      <c r="I119" s="517"/>
      <c r="J119" s="517"/>
      <c r="K119" s="517"/>
      <c r="L119" s="517"/>
      <c r="M119" s="518"/>
      <c r="N119" s="1262"/>
      <c r="O119" s="1262"/>
      <c r="P119" s="22"/>
      <c r="Q119" s="484"/>
    </row>
    <row r="120" spans="1:17" s="451" customFormat="1" ht="15"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5.75"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d="3" sqref="A38:XFD1048576 J37:XFD37 A37:H37 A1:XFD3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6"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0" t="s">
        <v>2586</v>
      </c>
      <c r="B1" s="2497"/>
      <c r="C1" s="161" t="s">
        <v>2587</v>
      </c>
      <c r="D1" s="2498">
        <f>SUM(D29:D30,D33:D39)</f>
        <v>0</v>
      </c>
      <c r="E1" s="2498"/>
      <c r="F1" s="2498"/>
      <c r="G1" s="2498"/>
      <c r="H1" s="2498"/>
      <c r="I1" s="2498"/>
      <c r="J1" s="2498"/>
      <c r="L1" s="2499"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4.75">
      <c r="A2" s="164" t="s">
        <v>2594</v>
      </c>
      <c r="B2" s="167" t="e">
        <f>C26</f>
        <v>#DIV/0!</v>
      </c>
      <c r="C2" s="2501" t="s">
        <v>2595</v>
      </c>
      <c r="D2" s="2502" t="s">
        <v>2596</v>
      </c>
      <c r="E2" s="2503"/>
      <c r="F2" s="2502" t="s">
        <v>2597</v>
      </c>
      <c r="G2" s="2504" t="str">
        <f>项目基本情况!F9</f>
        <v>八级</v>
      </c>
      <c r="H2" s="2505" t="s">
        <v>2598</v>
      </c>
      <c r="I2" s="2504" t="str">
        <f>项目基本情况!F10</f>
        <v>Ⅷ-昌3</v>
      </c>
      <c r="J2" s="2506"/>
      <c r="L2" s="2507"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6" t="s">
        <v>2600</v>
      </c>
      <c r="B3" s="167" t="e">
        <f>ROUND(B2/D1,0)</f>
        <v>#DIV/0!</v>
      </c>
      <c r="C3" s="2501" t="s">
        <v>2601</v>
      </c>
      <c r="D3" s="2502" t="s">
        <v>2602</v>
      </c>
      <c r="E3" s="2508"/>
      <c r="F3" s="2509" t="s">
        <v>2603</v>
      </c>
      <c r="G3" s="939">
        <f>项目基本情况!C15</f>
        <v>0</v>
      </c>
      <c r="H3" s="114" t="s">
        <v>2604</v>
      </c>
      <c r="I3" s="968"/>
      <c r="J3" s="2506" t="s">
        <v>2605</v>
      </c>
      <c r="L3" s="2507"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12"/>
      <c r="B4" s="3113"/>
      <c r="C4" s="3113"/>
      <c r="D4" s="3114"/>
      <c r="E4" s="3114"/>
      <c r="F4" s="3114"/>
      <c r="G4" s="3114"/>
      <c r="H4" s="3114"/>
      <c r="I4" s="3114"/>
      <c r="J4" s="3115"/>
      <c r="L4" s="2507"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75" thickBot="1">
      <c r="A5" s="2510" t="s">
        <v>2608</v>
      </c>
      <c r="B5" s="2511" t="s">
        <v>2609</v>
      </c>
      <c r="C5" s="2717" t="e">
        <f>ROUND(IF(E2="商业",C6*C7+C16,(IF(E2="住宅",C6*C12+C16,C6+C16))),0)</f>
        <v>#DIV/0!</v>
      </c>
      <c r="D5" s="2718" t="e">
        <f>ROUND(C6+C16,0)</f>
        <v>#DIV/0!</v>
      </c>
      <c r="E5" s="2718"/>
      <c r="F5" s="2719"/>
      <c r="G5" s="2512"/>
      <c r="H5" s="2512"/>
      <c r="I5" s="2512"/>
      <c r="J5" s="2513"/>
      <c r="K5" s="2514"/>
      <c r="L5" s="2507"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75" thickBot="1">
      <c r="A6" s="2519">
        <v>1</v>
      </c>
      <c r="B6" s="2520" t="s">
        <v>2611</v>
      </c>
      <c r="C6" s="940">
        <f>SUMIF(L1:L12,G2,M1:M12)</f>
        <v>0</v>
      </c>
      <c r="D6" s="2521" t="s">
        <v>2612</v>
      </c>
      <c r="E6" s="2522"/>
      <c r="F6" s="2522"/>
      <c r="G6" s="2523"/>
      <c r="H6" s="2523"/>
      <c r="I6" s="2523"/>
      <c r="J6" s="2524"/>
      <c r="K6" s="2525"/>
      <c r="L6" s="2507"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16" t="str">
        <f>IF(E2="商业",IF(C8="不临58条商业街","",2),"")</f>
        <v/>
      </c>
      <c r="B7" s="2526" t="s">
        <v>2614</v>
      </c>
      <c r="C7" s="941" t="e">
        <f>IF(C8="不临58条商业街",1,ROUND(1+(1.6*E8+1.2*E9+0.8*E10+0.4*E11)*C9,4))</f>
        <v>#DIV/0!</v>
      </c>
      <c r="D7" s="2527" t="s">
        <v>2615</v>
      </c>
      <c r="E7" s="969"/>
      <c r="F7" s="2528"/>
      <c r="G7" s="2529"/>
      <c r="H7" s="2529"/>
      <c r="I7" s="2529"/>
      <c r="J7" s="2530"/>
      <c r="K7" s="2525"/>
      <c r="L7" s="2507"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2617</v>
      </c>
      <c r="X7" s="1705" t="str">
        <f>G2</f>
        <v>八级</v>
      </c>
      <c r="Y7" s="1705" t="s">
        <v>2618</v>
      </c>
      <c r="Z7" s="1706">
        <f>G3</f>
        <v>0</v>
      </c>
      <c r="AA7" s="1707"/>
      <c r="AB7" s="1707"/>
      <c r="AC7" s="1708"/>
      <c r="AD7" s="1709"/>
      <c r="AE7" s="1709"/>
      <c r="AF7" s="1709"/>
      <c r="AG7" s="1709"/>
      <c r="AH7" s="1709"/>
      <c r="AI7" s="1709"/>
      <c r="AJ7" s="1710"/>
    </row>
    <row r="8" spans="1:36" ht="15">
      <c r="A8" s="3117"/>
      <c r="B8" s="114" t="s">
        <v>2619</v>
      </c>
      <c r="C8" s="2531"/>
      <c r="D8" s="942" t="s">
        <v>89</v>
      </c>
      <c r="E8" s="943" t="e">
        <f>ROUND(C11/E7,4)</f>
        <v>#DIV/0!</v>
      </c>
      <c r="F8" s="2532" t="s">
        <v>2620</v>
      </c>
      <c r="G8" s="2533"/>
      <c r="H8" s="2533"/>
      <c r="I8" s="2533"/>
      <c r="J8" s="2534"/>
      <c r="L8" s="2507"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9" t="s">
        <v>2622</v>
      </c>
      <c r="X8" s="3110"/>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17"/>
      <c r="B9" s="114" t="s">
        <v>2635</v>
      </c>
      <c r="C9" s="944">
        <f>SUMIF(修正!C59:C119,C8,修正!E59:E119)</f>
        <v>0</v>
      </c>
      <c r="D9" s="116" t="s">
        <v>90</v>
      </c>
      <c r="E9" s="116" t="e">
        <f>ROUND(C11/E7,4)</f>
        <v>#DIV/0!</v>
      </c>
      <c r="F9" s="2532" t="s">
        <v>2636</v>
      </c>
      <c r="G9" s="2533"/>
      <c r="H9" s="2533"/>
      <c r="I9" s="2533"/>
      <c r="J9" s="2534"/>
      <c r="L9" s="2507"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11"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7"/>
      <c r="B10" s="114" t="s">
        <v>2640</v>
      </c>
      <c r="C10" s="116">
        <f>SUMIF(修正!C59:C119,C8,修正!F59:F119)</f>
        <v>0</v>
      </c>
      <c r="D10" s="116" t="s">
        <v>91</v>
      </c>
      <c r="E10" s="116" t="e">
        <f>ROUND(C11/E7,4)</f>
        <v>#DIV/0!</v>
      </c>
      <c r="F10" s="2532" t="s">
        <v>2641</v>
      </c>
      <c r="G10" s="2533"/>
      <c r="H10" s="2533"/>
      <c r="I10" s="2533"/>
      <c r="J10" s="2534"/>
      <c r="L10" s="2507"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11"/>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17"/>
      <c r="B11" s="2535" t="s">
        <v>2643</v>
      </c>
      <c r="C11" s="945">
        <f>C10/4</f>
        <v>0</v>
      </c>
      <c r="D11" s="945" t="s">
        <v>92</v>
      </c>
      <c r="E11" s="945" t="e">
        <f>ROUND(C11/E7,4)</f>
        <v>#DIV/0!</v>
      </c>
      <c r="F11" s="2536" t="s">
        <v>2644</v>
      </c>
      <c r="G11" s="2537"/>
      <c r="H11" s="2537"/>
      <c r="I11" s="2537"/>
      <c r="J11" s="2538"/>
      <c r="L11" s="2507"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11"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16" t="str">
        <f>IF(E2="住宅",2,"")</f>
        <v/>
      </c>
      <c r="B12" s="2539" t="s">
        <v>2648</v>
      </c>
      <c r="C12" s="941">
        <f>ROUND(C15*D15*E15*F15*G15*H15*I15*J15,4)</f>
        <v>1.32</v>
      </c>
      <c r="D12" s="2540" t="s">
        <v>2649</v>
      </c>
      <c r="E12" s="2541"/>
      <c r="F12" s="2541"/>
      <c r="G12" s="2542"/>
      <c r="H12" s="2542"/>
      <c r="I12" s="2542"/>
      <c r="J12" s="2543"/>
      <c r="L12" s="2544"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11"/>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8"/>
      <c r="B13" s="2545" t="s">
        <v>2652</v>
      </c>
      <c r="C13" s="2546" t="s">
        <v>2653</v>
      </c>
      <c r="D13" s="2547" t="s">
        <v>2654</v>
      </c>
      <c r="E13" s="2547" t="s">
        <v>2655</v>
      </c>
      <c r="F13" s="20" t="s">
        <v>2656</v>
      </c>
      <c r="G13" s="2548" t="s">
        <v>2657</v>
      </c>
      <c r="H13" s="2548" t="s">
        <v>2657</v>
      </c>
      <c r="I13" s="2548" t="s">
        <v>2657</v>
      </c>
      <c r="J13" s="2549" t="s">
        <v>2657</v>
      </c>
      <c r="L13" s="1456"/>
      <c r="M13" s="1456"/>
      <c r="N13" s="1456"/>
      <c r="O13" s="1456"/>
      <c r="P13" s="1456"/>
      <c r="Q13" s="1456"/>
      <c r="R13" s="1703">
        <v>12</v>
      </c>
      <c r="S13" s="1704"/>
      <c r="T13" s="1703" t="e">
        <f t="shared" si="0"/>
        <v>#DIV/0!</v>
      </c>
      <c r="U13" s="1704"/>
      <c r="V13" s="1703" t="e">
        <f t="shared" si="1"/>
        <v>#DIV/0!</v>
      </c>
      <c r="W13" s="3111"/>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8"/>
      <c r="B14" s="2550"/>
      <c r="C14" s="2551" t="s">
        <v>2658</v>
      </c>
      <c r="D14" s="2552" t="s">
        <v>2659</v>
      </c>
      <c r="E14" s="2552" t="s">
        <v>2659</v>
      </c>
      <c r="F14" s="2553" t="s">
        <v>2660</v>
      </c>
      <c r="G14" s="2554" t="s">
        <v>2661</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19"/>
      <c r="B15" s="2558" t="s">
        <v>2662</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4" t="b">
        <f>IF(E2="办公",2,IF(E2="工业",2,IF(E2="住宅",3,IF(E2="商业",IF(C8="不临58条商业街",2,3)))))</f>
        <v>0</v>
      </c>
      <c r="B16" s="2726" t="s">
        <v>2668</v>
      </c>
      <c r="C16" s="2720" t="e">
        <f>ROUND(IF(F17="与级别开发程度一致",0,(G17-E17)/C17),0)</f>
        <v>#DIV/0!</v>
      </c>
      <c r="D16" s="3107" t="s">
        <v>2672</v>
      </c>
      <c r="E16" s="3108"/>
      <c r="F16" s="3107" t="s">
        <v>2669</v>
      </c>
      <c r="G16" s="3108"/>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095"/>
      <c r="B17" s="2727" t="s">
        <v>2671</v>
      </c>
      <c r="C17" s="2728">
        <f>SUMPRODUCT((修正!A2:A5=E2)*(修正!B1:M1=G2)*(修正!B2:M5))</f>
        <v>0</v>
      </c>
      <c r="D17" s="149" t="str">
        <f>IF(OR(G2="八级",G2="九级",G2="十级",G2="十一级",G2="十二级"),"五通一平","七通一平")</f>
        <v>五通一平</v>
      </c>
      <c r="E17" s="2729">
        <f>SUMPRODUCT((修正!B1:M1=G2)*(修正!B15:M15))</f>
        <v>155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75" thickBot="1">
      <c r="A18" s="2563" t="s">
        <v>2674</v>
      </c>
      <c r="B18" s="2721" t="s">
        <v>2675</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25" thickBot="1">
      <c r="A19" s="2563" t="s">
        <v>2676</v>
      </c>
      <c r="B19" s="2564" t="s">
        <v>2677</v>
      </c>
      <c r="C19" s="946">
        <f>ROUND(IF(H19="按公示增长率计算",SUMPRODUCT((地价!A3:A29=YEAR(G19)&amp;"-"&amp;ROUNDUP(MONTH(G19)/3,0))*(地价!X2:AB2=E2)*(地价!X3:AB29)),IF(H19="地价指数",M20/M19,(1+I19)^O19)),4)</f>
        <v>0</v>
      </c>
      <c r="D19" s="2568" t="s">
        <v>2678</v>
      </c>
      <c r="E19" s="947">
        <v>41640</v>
      </c>
      <c r="F19" s="2568" t="s">
        <v>2679</v>
      </c>
      <c r="G19" s="948">
        <f>'数据-取费表'!B2</f>
        <v>43888</v>
      </c>
      <c r="H19" s="2569" t="s">
        <v>2818</v>
      </c>
      <c r="I19" s="949" t="str">
        <f>IF(H19="季度增幅（自定义）",SUMIF(N21:N24,E2,O21:O24),"")</f>
        <v/>
      </c>
      <c r="J19" s="2565"/>
      <c r="K19" s="2566"/>
      <c r="L19" s="2570" t="s">
        <v>2680</v>
      </c>
      <c r="M19" s="1819">
        <f>ROUND(SUMIF(地价!B2:F2,E2,地价!B29:F29),0)</f>
        <v>0</v>
      </c>
      <c r="N19" s="1460" t="s">
        <v>2681</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7.75" thickBot="1">
      <c r="A20" s="2574" t="s">
        <v>2682</v>
      </c>
      <c r="B20" s="2575" t="s">
        <v>2683</v>
      </c>
      <c r="C20" s="951" t="e">
        <f>ROUND(POWER(1+G20,J20-I20)*(POWER(1+G20,I20)-1)/(POWER(1+G20,J20)-1),4)</f>
        <v>#DIV/0!</v>
      </c>
      <c r="D20" s="2576" t="s">
        <v>2684</v>
      </c>
      <c r="E20" s="1849">
        <f ca="1">存贷款利率!D4/100</f>
        <v>4.3499999999999997E-2</v>
      </c>
      <c r="F20" s="2576" t="s">
        <v>2673</v>
      </c>
      <c r="G20" s="957">
        <f>SUMIF(M26:P26,E2,M28:P28)</f>
        <v>0</v>
      </c>
      <c r="H20" s="2576" t="s">
        <v>2685</v>
      </c>
      <c r="I20" s="958">
        <f>'数据-取费表'!B13</f>
        <v>53</v>
      </c>
      <c r="J20" s="959">
        <f>IF(E2="住宅",70,IF(E2="商业",40,50))</f>
        <v>50</v>
      </c>
      <c r="K20" s="2566"/>
      <c r="L20" s="2577" t="s">
        <v>2686</v>
      </c>
      <c r="M20" s="1820">
        <f>ROUND(SUMPRODUCT((地价!A4:A29=YEAR(G19)&amp;"-"&amp;ROUNDUP(MONTH(G19)/3,0))*(地价!B2:F2=E2)*(地价!B4:F29)),0)</f>
        <v>0</v>
      </c>
      <c r="N20" s="2578" t="s">
        <v>2687</v>
      </c>
      <c r="O20" s="2579" t="s">
        <v>2688</v>
      </c>
      <c r="P20" s="2580" t="s">
        <v>2689</v>
      </c>
      <c r="R20" s="1456"/>
      <c r="S20" s="1456"/>
      <c r="T20" s="1456"/>
      <c r="U20" s="1456"/>
      <c r="V20" s="1456"/>
      <c r="W20" s="1456"/>
      <c r="X20" s="1456"/>
      <c r="Y20" s="1456"/>
      <c r="Z20" s="1456"/>
      <c r="AA20" s="1456"/>
      <c r="AB20" s="1456"/>
      <c r="AC20" s="1456"/>
      <c r="AD20" s="1456"/>
      <c r="AE20" s="2566"/>
      <c r="AF20" s="2566"/>
    </row>
    <row r="21" spans="1:37" s="2518" customFormat="1" ht="14.25">
      <c r="A21" s="2581" t="s">
        <v>2690</v>
      </c>
      <c r="B21" s="2582" t="s">
        <v>2691</v>
      </c>
      <c r="C21" s="960" t="b">
        <f>IF(B21="容积率修正",IF(G3&lt;=10,D22,J22),C23)</f>
        <v>0</v>
      </c>
      <c r="D21" s="2583"/>
      <c r="E21" s="2583"/>
      <c r="F21" s="2583"/>
      <c r="G21" s="2583"/>
      <c r="H21" s="2583"/>
      <c r="I21" s="2583"/>
      <c r="J21" s="2584"/>
      <c r="K21" s="2566"/>
      <c r="N21" s="2585" t="s">
        <v>2692</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25">
      <c r="A22" s="2586">
        <v>1</v>
      </c>
      <c r="B22" s="2587" t="s">
        <v>2693</v>
      </c>
      <c r="C22" s="1891" t="s">
        <v>2694</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2695</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7">
      <c r="A23" s="2586">
        <v>2</v>
      </c>
      <c r="B23" s="2587" t="s">
        <v>2696</v>
      </c>
      <c r="C23" s="952" t="e">
        <f>ROUND(IF(G3&gt;1,IF(I3&lt;7,SUMPRODUCT((B93:B98=I3)*(C92:N92=G2)*(C93:N98)),SUMIF(C92:N92,G2,C100:N100)),IF(I3&lt;7,SUMPRODUCT((B102:B107=I3)*(C92:N92=G2)*(C102:N107)),SUMIF(C92:N92,G2,C109:N109))),4)</f>
        <v>#DIV/0!</v>
      </c>
      <c r="D23" s="2555"/>
      <c r="E23" s="2555"/>
      <c r="F23" s="2588"/>
      <c r="G23" s="2589"/>
      <c r="H23" s="2590"/>
      <c r="I23" s="2591"/>
      <c r="J23" s="2592"/>
      <c r="N23" s="2585" t="s">
        <v>2697</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75" thickBot="1">
      <c r="A24" s="2593" t="s">
        <v>2698</v>
      </c>
      <c r="B24" s="2594" t="s">
        <v>2699</v>
      </c>
      <c r="C24" s="962">
        <f>SUMIF(A46:A88,E2,B46:B88)</f>
        <v>0</v>
      </c>
      <c r="D24" s="2595"/>
      <c r="E24" s="2596"/>
      <c r="F24" s="2596"/>
      <c r="G24" s="2596"/>
      <c r="H24" s="2596"/>
      <c r="I24" s="2596"/>
      <c r="J24" s="2597"/>
      <c r="K24" s="2566"/>
      <c r="N24" s="2598" t="s">
        <v>2700</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2701</v>
      </c>
      <c r="B25" s="2599" t="s">
        <v>2702</v>
      </c>
      <c r="C25" s="953"/>
      <c r="D25" s="2529"/>
      <c r="E25" s="2529"/>
      <c r="F25" s="2600"/>
      <c r="G25" s="2529"/>
      <c r="H25" s="2529"/>
      <c r="I25" s="2529"/>
      <c r="J25" s="2530"/>
      <c r="L25" s="1456"/>
      <c r="M25" s="1456"/>
      <c r="N25" s="2601" t="s">
        <v>2703</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5">
      <c r="A26" s="2602"/>
      <c r="B26" s="2587" t="s">
        <v>2704</v>
      </c>
      <c r="C26" s="122" t="e">
        <f>E29+SUM(E33:E39)</f>
        <v>#DIV/0!</v>
      </c>
      <c r="D26" s="2603"/>
      <c r="E26" s="2555"/>
      <c r="F26" s="2604"/>
      <c r="G26" s="2555"/>
      <c r="H26" s="2555"/>
      <c r="I26" s="2555"/>
      <c r="J26" s="2605"/>
      <c r="L26" s="2559" t="s">
        <v>2663</v>
      </c>
      <c r="M26" s="942" t="s">
        <v>2664</v>
      </c>
      <c r="N26" s="942" t="s">
        <v>2665</v>
      </c>
      <c r="O26" s="942" t="s">
        <v>2666</v>
      </c>
      <c r="P26" s="2560" t="s">
        <v>2667</v>
      </c>
      <c r="Q26" s="1456"/>
      <c r="R26" s="1456"/>
      <c r="S26" s="1456"/>
      <c r="T26" s="1456"/>
      <c r="U26" s="1456"/>
      <c r="V26" s="1456"/>
      <c r="W26" s="1456"/>
      <c r="X26" s="1456"/>
      <c r="Y26" s="1456"/>
      <c r="Z26" s="1456"/>
      <c r="AA26" s="1456"/>
      <c r="AB26" s="1456"/>
      <c r="AC26" s="1456"/>
      <c r="AD26" s="1456"/>
      <c r="AE26" s="1457"/>
      <c r="AF26" s="1457"/>
    </row>
    <row r="27" spans="1:37" ht="15.75" thickBot="1">
      <c r="A27" s="2602"/>
      <c r="B27" s="2606" t="s">
        <v>2705</v>
      </c>
      <c r="C27" s="954" t="e">
        <f>E30+SUM(I33:I39)</f>
        <v>#DIV/0!</v>
      </c>
      <c r="D27" s="2607"/>
      <c r="E27" s="2608"/>
      <c r="F27" s="2609"/>
      <c r="G27" s="2608"/>
      <c r="H27" s="2608"/>
      <c r="I27" s="2608"/>
      <c r="J27" s="2610"/>
      <c r="L27" s="1454" t="s">
        <v>2670</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4"/>
      <c r="B28" s="2611" t="s">
        <v>2706</v>
      </c>
      <c r="C28" s="2612" t="s">
        <v>2707</v>
      </c>
      <c r="D28" s="2612" t="s">
        <v>2708</v>
      </c>
      <c r="E28" s="2613" t="s">
        <v>2709</v>
      </c>
      <c r="F28" s="2614"/>
      <c r="G28" s="2542"/>
      <c r="H28" s="2542"/>
      <c r="I28" s="2542"/>
      <c r="J28" s="2543"/>
      <c r="L28" s="1458" t="s">
        <v>2673</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5"/>
      <c r="B29" s="2616" t="s">
        <v>2710</v>
      </c>
      <c r="C29" s="122" t="e">
        <f>ROUND(C5*C18*C19*C20*C21*C24,0)</f>
        <v>#DIV/0!</v>
      </c>
      <c r="D29" s="2617"/>
      <c r="E29" s="966" t="e">
        <f>ROUND(C29*D29,0)</f>
        <v>#DIV/0!</v>
      </c>
      <c r="F29" s="2618" t="s">
        <v>2711</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5" thickBot="1">
      <c r="A30" s="2621"/>
      <c r="B30" s="2622" t="s">
        <v>2712</v>
      </c>
      <c r="C30" s="149" t="e">
        <f>ROUND(IF(E2="工业",C29*M39,C29*M38),0)</f>
        <v>#DIV/0!</v>
      </c>
      <c r="D30" s="2623"/>
      <c r="E30" s="966" t="e">
        <f>ROUND(C30*D30,0)</f>
        <v>#DIV/0!</v>
      </c>
      <c r="F30" s="2624" t="s">
        <v>2713</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2714</v>
      </c>
      <c r="C31" s="2629" t="s">
        <v>2715</v>
      </c>
      <c r="D31" s="2542"/>
      <c r="E31" s="2629"/>
      <c r="F31" s="2629"/>
      <c r="G31" s="2540" t="s">
        <v>2716</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24">
      <c r="A32" s="2615"/>
      <c r="B32" s="2631"/>
      <c r="C32" s="481" t="s">
        <v>2707</v>
      </c>
      <c r="D32" s="478" t="s">
        <v>2708</v>
      </c>
      <c r="E32" s="478" t="s">
        <v>2709</v>
      </c>
      <c r="F32" s="366" t="s">
        <v>2717</v>
      </c>
      <c r="G32" s="952" t="s">
        <v>2707</v>
      </c>
      <c r="H32" s="952" t="s">
        <v>2708</v>
      </c>
      <c r="I32" s="952" t="s">
        <v>2709</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04" t="s">
        <v>2718</v>
      </c>
      <c r="B33" s="2632" t="s">
        <v>2719</v>
      </c>
      <c r="C33" s="122" t="e">
        <f>ROUND(D5*C19*C20*C24*F33,0)</f>
        <v>#DIV/0!</v>
      </c>
      <c r="D33" s="2617"/>
      <c r="E33" s="116" t="e">
        <f t="shared" ref="E33:E39" si="6">ROUND(C33*D33,0)</f>
        <v>#DIV/0!</v>
      </c>
      <c r="F33" s="116">
        <f>SUMIF(修正!A45:A56,G2,修正!B45:B56)</f>
        <v>0.6</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05"/>
      <c r="B34" s="2546" t="s">
        <v>2720</v>
      </c>
      <c r="C34" s="122" t="e">
        <f>ROUND(D5*C19*C20*C24*F34,0)</f>
        <v>#DIV/0!</v>
      </c>
      <c r="D34" s="2617"/>
      <c r="E34" s="116" t="e">
        <f t="shared" si="6"/>
        <v>#DIV/0!</v>
      </c>
      <c r="F34" s="116">
        <f>SUMIF(修正!A45:A56,G2,修正!C45:C56)</f>
        <v>0.3</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05"/>
      <c r="B35" s="2546" t="s">
        <v>2721</v>
      </c>
      <c r="C35" s="122" t="e">
        <f>ROUND(D5*C19*C20*C24*F35,0)</f>
        <v>#DIV/0!</v>
      </c>
      <c r="D35" s="2617"/>
      <c r="E35" s="116" t="e">
        <f t="shared" si="6"/>
        <v>#DIV/0!</v>
      </c>
      <c r="F35" s="116">
        <f>SUMIF(修正!A45:A56,G2,修正!D45:D56)</f>
        <v>0.2</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06"/>
      <c r="B36" s="2546" t="s">
        <v>2722</v>
      </c>
      <c r="C36" s="122" t="e">
        <f>ROUND(D5*C19*C20*C24*F36,0)</f>
        <v>#DIV/0!</v>
      </c>
      <c r="D36" s="2617"/>
      <c r="E36" s="116" t="e">
        <f t="shared" si="6"/>
        <v>#DIV/0!</v>
      </c>
      <c r="F36" s="116">
        <f>SUMIF(修正!A45:A56,G2,修正!E45:E56)</f>
        <v>0.2</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2723</v>
      </c>
      <c r="C37" s="116" t="e">
        <f>ROUND(D5*C19*C20*C24*F37,0)</f>
        <v>#DIV/0!</v>
      </c>
      <c r="D37" s="2617"/>
      <c r="E37" s="116" t="e">
        <f t="shared" si="6"/>
        <v>#DIV/0!</v>
      </c>
      <c r="F37" s="122">
        <f>SUMIF(修正!A45:A56,G2,修正!F45:F56)</f>
        <v>0.2</v>
      </c>
      <c r="G37" s="116" t="e">
        <f>ROUND(IF(E2="工业",C37*$M$39,C37*$M$38),0)</f>
        <v>#DIV/0!</v>
      </c>
      <c r="H37" s="116">
        <f t="shared" si="9"/>
        <v>0</v>
      </c>
      <c r="I37" s="116" t="e">
        <f t="shared" si="8"/>
        <v>#DIV/0!</v>
      </c>
      <c r="J37" s="2633"/>
      <c r="L37" s="2636" t="s">
        <v>2724</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2725</v>
      </c>
      <c r="C38" s="116" t="e">
        <f>ROUND(D5*C19*C41*C24*F38,0)</f>
        <v>#DIV/0!</v>
      </c>
      <c r="D38" s="2617"/>
      <c r="E38" s="116" t="e">
        <f t="shared" si="6"/>
        <v>#DIV/0!</v>
      </c>
      <c r="F38" s="122">
        <f>SUMIF(修正!A45:A56,G2,修正!G45:G56)</f>
        <v>0.2</v>
      </c>
      <c r="G38" s="116" t="e">
        <f>ROUND(IF(E2="工业",C38*$M$39,C38*$M$38),0)</f>
        <v>#DIV/0!</v>
      </c>
      <c r="H38" s="116">
        <f t="shared" si="9"/>
        <v>0</v>
      </c>
      <c r="I38" s="116" t="e">
        <f t="shared" si="8"/>
        <v>#DIV/0!</v>
      </c>
      <c r="J38" s="2633"/>
      <c r="L38" s="2637" t="s">
        <v>2726</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1"/>
      <c r="B39" s="2639" t="s">
        <v>2727</v>
      </c>
      <c r="C39" s="149" t="e">
        <f>ROUND(D5*C19*C41*C24*F39,0)</f>
        <v>#DIV/0!</v>
      </c>
      <c r="D39" s="2623"/>
      <c r="E39" s="149" t="e">
        <f t="shared" si="6"/>
        <v>#DIV/0!</v>
      </c>
      <c r="F39" s="955">
        <f>SUMIF(修正!A45:A56,G2,修正!H45:H56)</f>
        <v>0.15</v>
      </c>
      <c r="G39" s="149" t="e">
        <f>ROUND(IF(E2="工业",C39*$M$39,C39*$M$38),0)</f>
        <v>#DIV/0!</v>
      </c>
      <c r="H39" s="149">
        <f t="shared" si="9"/>
        <v>0</v>
      </c>
      <c r="I39" s="149" t="e">
        <f t="shared" si="8"/>
        <v>#DIV/0!</v>
      </c>
      <c r="J39" s="2640"/>
      <c r="L39" s="2641" t="s">
        <v>2667</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c r="A41" s="1457"/>
      <c r="B41" s="2715" t="s">
        <v>2809</v>
      </c>
      <c r="C41" s="366" t="e">
        <f>ROUND(POWER(1+E41,H41-G41)*(POWER(1+E41,G41)-1)/(POWER(1+E41,H41)-1),4)</f>
        <v>#DIV/0!</v>
      </c>
      <c r="D41" s="116" t="s">
        <v>2807</v>
      </c>
      <c r="E41" s="825">
        <f>G20</f>
        <v>0</v>
      </c>
      <c r="F41" s="116" t="s">
        <v>2808</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75" thickBot="1">
      <c r="A45" s="2646" t="s">
        <v>2728</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5">
      <c r="A46" s="2648" t="s">
        <v>2729</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4.75">
      <c r="A47" s="2653" t="s">
        <v>2730</v>
      </c>
      <c r="B47" s="821" t="s">
        <v>2731</v>
      </c>
      <c r="C47" s="821" t="s">
        <v>2732</v>
      </c>
      <c r="D47" s="821" t="s">
        <v>2733</v>
      </c>
      <c r="E47" s="822" t="s">
        <v>2734</v>
      </c>
      <c r="F47" s="2654" t="s">
        <v>2735</v>
      </c>
      <c r="G47" s="821" t="s">
        <v>2736</v>
      </c>
      <c r="H47" s="2655" t="s">
        <v>2737</v>
      </c>
      <c r="I47" s="821" t="s">
        <v>2738</v>
      </c>
      <c r="J47" s="586" t="s">
        <v>2739</v>
      </c>
      <c r="K47" s="586" t="s">
        <v>2740</v>
      </c>
      <c r="L47" s="586" t="s">
        <v>2741</v>
      </c>
      <c r="M47" s="586" t="s">
        <v>2742</v>
      </c>
      <c r="N47" s="586" t="s">
        <v>2743</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38.25">
      <c r="A48" s="2653" t="s">
        <v>2744</v>
      </c>
      <c r="B48" s="2656" t="str">
        <f>估价对象房地状况!C16</f>
        <v>估价对象位于XX商圈，周边商业氛围成熟，人流量大，商业繁华度好</v>
      </c>
      <c r="C48" s="2552"/>
      <c r="D48" s="1370">
        <f t="shared" ref="D48:D56" si="10">SUMIF($J$47:$N$47,C48,J48:N48)</f>
        <v>0</v>
      </c>
      <c r="E48" s="827">
        <f>ROUND(SUM(D48:D56),4)</f>
        <v>0</v>
      </c>
      <c r="F48" s="2270"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51">
      <c r="A49" s="2653" t="s">
        <v>2745</v>
      </c>
      <c r="B49" s="2657" t="str">
        <f>估价对象房地状况!C18</f>
        <v>估价对象周边道路状况、公共交通通达情况、停车便捷程度，综合评价交通便捷度较好</v>
      </c>
      <c r="C49" s="2552"/>
      <c r="D49" s="1370">
        <f t="shared" si="10"/>
        <v>0</v>
      </c>
      <c r="E49" s="830"/>
      <c r="F49" s="2270"/>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2746</v>
      </c>
      <c r="B50" s="2657">
        <f>估价对象房地状况!C19</f>
        <v>0</v>
      </c>
      <c r="C50" s="2552"/>
      <c r="D50" s="1370">
        <f t="shared" si="10"/>
        <v>0</v>
      </c>
      <c r="E50" s="830"/>
      <c r="F50" s="2270"/>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36.75">
      <c r="A51" s="2653" t="s">
        <v>2747</v>
      </c>
      <c r="B51" s="2658" t="s">
        <v>2748</v>
      </c>
      <c r="C51" s="2552"/>
      <c r="D51" s="1370">
        <f t="shared" si="10"/>
        <v>0</v>
      </c>
      <c r="E51" s="830"/>
      <c r="F51" s="2270"/>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2749</v>
      </c>
      <c r="B52" s="2657">
        <f>估价对象房地状况!C24</f>
        <v>0</v>
      </c>
      <c r="C52" s="2552"/>
      <c r="D52" s="1370">
        <f t="shared" si="10"/>
        <v>0</v>
      </c>
      <c r="E52" s="830"/>
      <c r="F52" s="2270"/>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24">
      <c r="A53" s="2653" t="s">
        <v>2750</v>
      </c>
      <c r="B53" s="2659" t="s">
        <v>2751</v>
      </c>
      <c r="C53" s="2552"/>
      <c r="D53" s="1370">
        <f t="shared" si="10"/>
        <v>0</v>
      </c>
      <c r="E53" s="830"/>
      <c r="F53" s="2270"/>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5.5">
      <c r="A54" s="2660" t="s">
        <v>2752</v>
      </c>
      <c r="B54" s="2661" t="str">
        <f>估价对象房地状况!C21</f>
        <v>估价对象所在区域公共配套设施齐备情况</v>
      </c>
      <c r="C54" s="2552"/>
      <c r="D54" s="1370">
        <f t="shared" si="10"/>
        <v>0</v>
      </c>
      <c r="E54" s="830"/>
      <c r="F54" s="2270"/>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5.5">
      <c r="A55" s="2660" t="s">
        <v>2753</v>
      </c>
      <c r="B55" s="2657" t="str">
        <f>估价对象房地状况!C22</f>
        <v>估价对象所在区域基础设施水平</v>
      </c>
      <c r="C55" s="2552"/>
      <c r="D55" s="1370">
        <f t="shared" si="10"/>
        <v>0</v>
      </c>
      <c r="E55" s="830"/>
      <c r="F55" s="2270"/>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39" thickBot="1">
      <c r="A56" s="2662" t="s">
        <v>2754</v>
      </c>
      <c r="B56" s="2663" t="str">
        <f>估价对象房地状况!C20</f>
        <v>区域自然环境：；人文环境；综合评价环境状况一般</v>
      </c>
      <c r="C56" s="2552"/>
      <c r="D56" s="1370">
        <f t="shared" si="10"/>
        <v>0</v>
      </c>
      <c r="E56" s="836"/>
      <c r="F56" s="2270"/>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5">
      <c r="A57" s="2648" t="s">
        <v>2755</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4.75">
      <c r="A58" s="2653" t="s">
        <v>2730</v>
      </c>
      <c r="B58" s="2657"/>
      <c r="C58" s="821" t="s">
        <v>2732</v>
      </c>
      <c r="D58" s="821" t="s">
        <v>2733</v>
      </c>
      <c r="E58" s="822" t="s">
        <v>2734</v>
      </c>
      <c r="F58" s="2654" t="s">
        <v>2735</v>
      </c>
      <c r="G58" s="821" t="s">
        <v>2756</v>
      </c>
      <c r="H58" s="2655" t="s">
        <v>2757</v>
      </c>
      <c r="I58" s="821" t="s">
        <v>2758</v>
      </c>
      <c r="J58" s="586" t="s">
        <v>2392</v>
      </c>
      <c r="K58" s="586" t="s">
        <v>2393</v>
      </c>
      <c r="L58" s="586" t="s">
        <v>2394</v>
      </c>
      <c r="M58" s="586" t="s">
        <v>2395</v>
      </c>
      <c r="N58" s="586" t="s">
        <v>2396</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38.25">
      <c r="A59" s="2653" t="s">
        <v>2759</v>
      </c>
      <c r="B59" s="2656" t="str">
        <f>估价对象房地状况!C17</f>
        <v>估价对象位于XX商圈，周边办公楼项目较多，入驻率高，办公集聚程度较好</v>
      </c>
      <c r="C59" s="2552"/>
      <c r="D59" s="1370">
        <f t="shared" ref="D59:D67" si="15">SUMIF($J$58:$N$58,C59,J59:N59)</f>
        <v>0</v>
      </c>
      <c r="E59" s="827">
        <f>ROUND(SUM(D59:D67),4)</f>
        <v>0</v>
      </c>
      <c r="F59" s="2270"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51">
      <c r="A60" s="2653" t="s">
        <v>2745</v>
      </c>
      <c r="B60" s="2657" t="str">
        <f>估价对象房地状况!C18</f>
        <v>估价对象周边道路状况、公共交通通达情况、停车便捷程度，综合评价交通便捷度较好</v>
      </c>
      <c r="C60" s="2552"/>
      <c r="D60" s="1370">
        <f t="shared" si="15"/>
        <v>0</v>
      </c>
      <c r="E60" s="830"/>
      <c r="F60" s="2270"/>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2746</v>
      </c>
      <c r="B61" s="2657">
        <f>估价对象房地状况!C19</f>
        <v>0</v>
      </c>
      <c r="C61" s="2552"/>
      <c r="D61" s="1370">
        <f t="shared" si="15"/>
        <v>0</v>
      </c>
      <c r="E61" s="830"/>
      <c r="F61" s="2270"/>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36.75">
      <c r="A62" s="2653" t="s">
        <v>2747</v>
      </c>
      <c r="B62" s="2658" t="s">
        <v>2748</v>
      </c>
      <c r="C62" s="2552"/>
      <c r="D62" s="1370">
        <f t="shared" si="15"/>
        <v>0</v>
      </c>
      <c r="E62" s="830"/>
      <c r="F62" s="2270"/>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2749</v>
      </c>
      <c r="B63" s="2657">
        <f>估价对象房地状况!C24</f>
        <v>0</v>
      </c>
      <c r="C63" s="2552"/>
      <c r="D63" s="1370">
        <f t="shared" si="15"/>
        <v>0</v>
      </c>
      <c r="E63" s="830"/>
      <c r="F63" s="2270"/>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24">
      <c r="A64" s="2653" t="s">
        <v>2750</v>
      </c>
      <c r="B64" s="2659" t="s">
        <v>2751</v>
      </c>
      <c r="C64" s="2552"/>
      <c r="D64" s="1370">
        <f t="shared" si="15"/>
        <v>0</v>
      </c>
      <c r="E64" s="830"/>
      <c r="F64" s="2270"/>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5.5">
      <c r="A65" s="2653" t="s">
        <v>2752</v>
      </c>
      <c r="B65" s="2661" t="str">
        <f>估价对象房地状况!C21</f>
        <v>估价对象所在区域公共配套设施齐备情况</v>
      </c>
      <c r="C65" s="2552"/>
      <c r="D65" s="1370">
        <f t="shared" si="15"/>
        <v>0</v>
      </c>
      <c r="E65" s="830"/>
      <c r="F65" s="2270"/>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5.5">
      <c r="A66" s="2653" t="s">
        <v>2753</v>
      </c>
      <c r="B66" s="2661" t="str">
        <f>估价对象房地状况!C22</f>
        <v>估价对象所在区域基础设施水平</v>
      </c>
      <c r="C66" s="2552"/>
      <c r="D66" s="1370">
        <f t="shared" si="15"/>
        <v>0</v>
      </c>
      <c r="E66" s="830"/>
      <c r="F66" s="2270"/>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39" thickBot="1">
      <c r="A67" s="2662" t="s">
        <v>2754</v>
      </c>
      <c r="B67" s="2665" t="str">
        <f>估价对象房地状况!C20</f>
        <v>区域自然环境：；人文环境；综合评价环境状况一般</v>
      </c>
      <c r="C67" s="2552"/>
      <c r="D67" s="1370">
        <f t="shared" si="15"/>
        <v>0</v>
      </c>
      <c r="E67" s="836"/>
      <c r="F67" s="2270"/>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5">
      <c r="A68" s="2648" t="s">
        <v>2760</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4.75">
      <c r="A69" s="2653" t="s">
        <v>2730</v>
      </c>
      <c r="B69" s="2657"/>
      <c r="C69" s="821" t="s">
        <v>2732</v>
      </c>
      <c r="D69" s="821" t="s">
        <v>2733</v>
      </c>
      <c r="E69" s="822" t="s">
        <v>2734</v>
      </c>
      <c r="F69" s="2654" t="s">
        <v>2735</v>
      </c>
      <c r="G69" s="821" t="s">
        <v>2756</v>
      </c>
      <c r="H69" s="2655" t="s">
        <v>2757</v>
      </c>
      <c r="I69" s="821" t="s">
        <v>2758</v>
      </c>
      <c r="J69" s="586" t="s">
        <v>2392</v>
      </c>
      <c r="K69" s="586" t="s">
        <v>2393</v>
      </c>
      <c r="L69" s="586" t="s">
        <v>2394</v>
      </c>
      <c r="M69" s="586" t="s">
        <v>2395</v>
      </c>
      <c r="N69" s="586" t="s">
        <v>2396</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51">
      <c r="A70" s="2653" t="s">
        <v>2761</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0"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51">
      <c r="A71" s="2653" t="s">
        <v>2745</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2746</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4.25">
      <c r="A73" s="2653" t="s">
        <v>2762</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5.5">
      <c r="A74" s="2653" t="s">
        <v>2752</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5.5">
      <c r="A75" s="2653" t="s">
        <v>2753</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24">
      <c r="A76" s="2653" t="s">
        <v>2750</v>
      </c>
      <c r="B76" s="2659" t="s">
        <v>2751</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8.25">
      <c r="A77" s="2653" t="s">
        <v>2754</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24.75" thickBot="1">
      <c r="A78" s="2662" t="s">
        <v>2763</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5">
      <c r="A79" s="2648" t="s">
        <v>2764</v>
      </c>
      <c r="B79" s="2664">
        <f>1+E81</f>
        <v>1</v>
      </c>
      <c r="C79" s="815"/>
      <c r="D79" s="815"/>
      <c r="E79" s="816"/>
      <c r="F79" s="2651"/>
      <c r="G79" s="7"/>
      <c r="H79" s="7"/>
      <c r="I79" s="7"/>
      <c r="J79" s="9"/>
      <c r="K79" s="9"/>
      <c r="L79" s="9"/>
      <c r="M79" s="9"/>
      <c r="N79" s="9"/>
      <c r="Z79" s="2500"/>
      <c r="AA79" s="2567"/>
      <c r="AG79" s="2643"/>
      <c r="AK79" s="2567"/>
    </row>
    <row r="80" spans="1:37" ht="24.75">
      <c r="A80" s="2653" t="s">
        <v>2730</v>
      </c>
      <c r="B80" s="2657"/>
      <c r="C80" s="821" t="s">
        <v>2732</v>
      </c>
      <c r="D80" s="821" t="s">
        <v>2733</v>
      </c>
      <c r="E80" s="822" t="s">
        <v>2734</v>
      </c>
      <c r="F80" s="2654" t="s">
        <v>2735</v>
      </c>
      <c r="G80" s="821" t="s">
        <v>2756</v>
      </c>
      <c r="H80" s="2655" t="s">
        <v>2757</v>
      </c>
      <c r="I80" s="821" t="s">
        <v>2758</v>
      </c>
      <c r="J80" s="586" t="s">
        <v>2392</v>
      </c>
      <c r="K80" s="586" t="s">
        <v>2393</v>
      </c>
      <c r="L80" s="586" t="s">
        <v>2394</v>
      </c>
      <c r="M80" s="586" t="s">
        <v>2395</v>
      </c>
      <c r="N80" s="586" t="s">
        <v>2396</v>
      </c>
      <c r="Z80" s="2500"/>
      <c r="AA80" s="2567"/>
      <c r="AG80" s="2643"/>
      <c r="AK80" s="2567"/>
    </row>
    <row r="81" spans="1:37" ht="38.25">
      <c r="A81" s="2653" t="s">
        <v>2765</v>
      </c>
      <c r="B81" s="2657" t="str">
        <f>估价对象房地状况!G15</f>
        <v>估价对象位于XX开发区，园区建设成熟度XX，产业集聚程度XX</v>
      </c>
      <c r="C81" s="2552"/>
      <c r="D81" s="1370">
        <f t="shared" ref="D81:D88" si="25">SUMIF($J$80:$N$80,C81,J81:N81)</f>
        <v>0</v>
      </c>
      <c r="E81" s="827">
        <f>ROUND(SUM(D81:D88),4)</f>
        <v>0</v>
      </c>
      <c r="F81" s="2270"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51">
      <c r="A82" s="2653" t="s">
        <v>2745</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2746</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4.25">
      <c r="A84" s="2653" t="s">
        <v>2762</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5.5">
      <c r="A85" s="2653" t="s">
        <v>2752</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5.5">
      <c r="A86" s="2653" t="s">
        <v>2753</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24">
      <c r="A87" s="2653" t="s">
        <v>2750</v>
      </c>
      <c r="B87" s="2659" t="s">
        <v>2751</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39" thickBot="1">
      <c r="A88" s="2662" t="s">
        <v>2766</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096" t="s">
        <v>2767</v>
      </c>
      <c r="B90" s="3096"/>
      <c r="C90" s="3096"/>
      <c r="D90" s="3096"/>
      <c r="E90" s="3096"/>
      <c r="F90" s="3096"/>
      <c r="G90" s="3096"/>
      <c r="H90" s="3096"/>
      <c r="I90" s="3096"/>
      <c r="J90" s="3096"/>
      <c r="K90" s="2670"/>
      <c r="L90" s="2670"/>
      <c r="M90" s="2670"/>
      <c r="N90" s="2670"/>
    </row>
    <row r="91" spans="1:37">
      <c r="A91" s="3098" t="s">
        <v>2768</v>
      </c>
      <c r="B91" s="3098" t="s">
        <v>2769</v>
      </c>
      <c r="C91" s="2618" t="s">
        <v>2770</v>
      </c>
      <c r="D91" s="2619"/>
      <c r="E91" s="2619"/>
      <c r="F91" s="2619"/>
      <c r="G91" s="2619"/>
      <c r="H91" s="2619"/>
      <c r="I91" s="2619"/>
      <c r="J91" s="2671"/>
      <c r="K91" s="2672"/>
      <c r="L91" s="2672"/>
      <c r="M91" s="2672"/>
      <c r="N91" s="2672"/>
    </row>
    <row r="92" spans="1:37">
      <c r="A92" s="3098"/>
      <c r="B92" s="3098"/>
      <c r="C92" s="966" t="s">
        <v>2623</v>
      </c>
      <c r="D92" s="966" t="s">
        <v>2624</v>
      </c>
      <c r="E92" s="966" t="s">
        <v>2625</v>
      </c>
      <c r="F92" s="966" t="s">
        <v>2626</v>
      </c>
      <c r="G92" s="966" t="s">
        <v>2627</v>
      </c>
      <c r="H92" s="966" t="s">
        <v>2628</v>
      </c>
      <c r="I92" s="966" t="s">
        <v>2629</v>
      </c>
      <c r="J92" s="966" t="s">
        <v>2630</v>
      </c>
      <c r="K92" s="966" t="s">
        <v>2631</v>
      </c>
      <c r="L92" s="966" t="s">
        <v>2632</v>
      </c>
      <c r="M92" s="966" t="s">
        <v>2633</v>
      </c>
      <c r="N92" s="966" t="s">
        <v>2634</v>
      </c>
    </row>
    <row r="93" spans="1:37">
      <c r="A93" s="3099" t="s">
        <v>2771</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00"/>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00"/>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00"/>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00"/>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00"/>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00"/>
      <c r="B99" s="2673" t="s">
        <v>2639</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01"/>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099" t="s">
        <v>2772</v>
      </c>
      <c r="B101" s="2677" t="s">
        <v>2773</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00"/>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00"/>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00"/>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00"/>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00"/>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00"/>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00"/>
      <c r="B108" s="3102" t="s">
        <v>2774</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01"/>
      <c r="B109" s="3103"/>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97" t="s">
        <v>2775</v>
      </c>
      <c r="B110" s="3097"/>
      <c r="C110" s="3097"/>
      <c r="D110" s="3097"/>
      <c r="E110" s="3097"/>
      <c r="F110" s="3097"/>
      <c r="G110" s="3097"/>
      <c r="H110" s="3097"/>
      <c r="I110" s="3097"/>
      <c r="J110" s="3097"/>
      <c r="K110" s="2679"/>
      <c r="L110" s="2679"/>
      <c r="M110" s="2679"/>
      <c r="N110" s="2679"/>
    </row>
    <row r="112" spans="1:14" ht="13.5" thickBot="1"/>
    <row r="113" spans="1:13" ht="25.5" thickBot="1">
      <c r="A113" s="926" t="s">
        <v>2776</v>
      </c>
      <c r="B113" s="1373">
        <f>G3</f>
        <v>0</v>
      </c>
      <c r="C113" s="927" t="s">
        <v>2777</v>
      </c>
      <c r="D113" s="928">
        <f>SUMPRODUCT((A115:A118=F113)*(B114:M114=H113)*B115:M118)</f>
        <v>0</v>
      </c>
      <c r="E113" s="2681" t="s">
        <v>2663</v>
      </c>
      <c r="F113" s="2682">
        <f>E2</f>
        <v>0</v>
      </c>
      <c r="G113" s="2681" t="s">
        <v>2597</v>
      </c>
      <c r="H113" s="2682" t="str">
        <f>G2</f>
        <v>八级</v>
      </c>
      <c r="I113" s="2681"/>
      <c r="J113" s="2683"/>
      <c r="K113" s="2683"/>
      <c r="L113" s="2683"/>
      <c r="M113" s="2683"/>
    </row>
    <row r="114" spans="1:13">
      <c r="A114" s="931"/>
      <c r="B114" s="2684" t="s">
        <v>2778</v>
      </c>
      <c r="C114" s="2684" t="s">
        <v>2779</v>
      </c>
      <c r="D114" s="2684" t="s">
        <v>2780</v>
      </c>
      <c r="E114" s="2685" t="s">
        <v>2781</v>
      </c>
      <c r="F114" s="2685" t="s">
        <v>2782</v>
      </c>
      <c r="G114" s="2685" t="s">
        <v>2783</v>
      </c>
      <c r="H114" s="2686" t="s">
        <v>2784</v>
      </c>
      <c r="I114" s="2686" t="s">
        <v>2785</v>
      </c>
      <c r="J114" s="2687" t="s">
        <v>2786</v>
      </c>
      <c r="K114" s="2687" t="s">
        <v>2787</v>
      </c>
      <c r="L114" s="2687" t="s">
        <v>2788</v>
      </c>
      <c r="M114" s="2688" t="s">
        <v>2789</v>
      </c>
    </row>
    <row r="115" spans="1:13">
      <c r="A115" s="932" t="s">
        <v>2664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2667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20" t="s">
        <v>783</v>
      </c>
      <c r="B1" s="3120"/>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4" t="s">
        <v>790</v>
      </c>
      <c r="B5" s="855" t="s">
        <v>791</v>
      </c>
      <c r="C5" s="1095">
        <v>8.8999999999999996E-2</v>
      </c>
      <c r="D5" s="1095">
        <v>7.3999999999999996E-2</v>
      </c>
      <c r="E5" s="1095">
        <v>7.4999999999999997E-2</v>
      </c>
      <c r="F5" s="1096">
        <v>0.1</v>
      </c>
    </row>
    <row r="6" spans="1:6" ht="14.25" thickBot="1">
      <c r="A6" s="854" t="s">
        <v>161</v>
      </c>
      <c r="B6" s="848" t="s">
        <v>792</v>
      </c>
      <c r="C6" s="1097">
        <v>0.1</v>
      </c>
      <c r="D6" s="1097">
        <v>9.0999999999999998E-2</v>
      </c>
      <c r="E6" s="1097">
        <v>9.0999999999999998E-2</v>
      </c>
      <c r="F6" s="1098">
        <v>0.1</v>
      </c>
    </row>
    <row r="7" spans="1:6" ht="14.25" thickBot="1">
      <c r="A7" s="854" t="s">
        <v>161</v>
      </c>
      <c r="B7" s="862" t="s">
        <v>150</v>
      </c>
      <c r="C7" s="1097">
        <v>8.5999999999999993E-2</v>
      </c>
      <c r="D7" s="1097">
        <v>9.6000000000000002E-2</v>
      </c>
      <c r="E7" s="1097">
        <v>7.5999999999999998E-2</v>
      </c>
      <c r="F7" s="1098">
        <v>0.1</v>
      </c>
    </row>
    <row r="8" spans="1:6" ht="14.25" thickBot="1">
      <c r="A8" s="854" t="s">
        <v>161</v>
      </c>
      <c r="B8" s="848" t="s">
        <v>162</v>
      </c>
      <c r="C8" s="1097">
        <v>9.9000000000000005E-2</v>
      </c>
      <c r="D8" s="1097">
        <v>9.8000000000000004E-2</v>
      </c>
      <c r="E8" s="1097">
        <v>9.8000000000000004E-2</v>
      </c>
      <c r="F8" s="1098">
        <v>0.1</v>
      </c>
    </row>
    <row r="9" spans="1:6" ht="14.25" thickBot="1">
      <c r="A9" s="871" t="s">
        <v>161</v>
      </c>
      <c r="B9" s="863" t="s">
        <v>174</v>
      </c>
      <c r="C9" s="1099">
        <v>0.05</v>
      </c>
      <c r="D9" s="1100"/>
      <c r="E9" s="1100"/>
      <c r="F9" s="1101"/>
    </row>
    <row r="10" spans="1:6" ht="14.25" thickBot="1">
      <c r="A10" s="854" t="s">
        <v>221</v>
      </c>
      <c r="B10" s="855" t="s">
        <v>793</v>
      </c>
      <c r="C10" s="1095">
        <v>8.8999999999999996E-2</v>
      </c>
      <c r="D10" s="1095">
        <v>7.2999999999999995E-2</v>
      </c>
      <c r="E10" s="1095">
        <v>8.2000000000000003E-2</v>
      </c>
      <c r="F10" s="1096">
        <v>0.1</v>
      </c>
    </row>
    <row r="11" spans="1:6" ht="14.25" thickBot="1">
      <c r="A11" s="854" t="s">
        <v>221</v>
      </c>
      <c r="B11" s="862" t="s">
        <v>137</v>
      </c>
      <c r="C11" s="1097">
        <v>8.8999999999999996E-2</v>
      </c>
      <c r="D11" s="1097">
        <v>7.2999999999999995E-2</v>
      </c>
      <c r="E11" s="1097">
        <v>8.2000000000000003E-2</v>
      </c>
      <c r="F11" s="1098">
        <v>0.1</v>
      </c>
    </row>
    <row r="12" spans="1:6" ht="14.25" thickBot="1">
      <c r="A12" s="854" t="s">
        <v>221</v>
      </c>
      <c r="B12" s="862" t="s">
        <v>88</v>
      </c>
      <c r="C12" s="1097">
        <v>6.0999999999999999E-2</v>
      </c>
      <c r="D12" s="1097">
        <v>7.0999999999999994E-2</v>
      </c>
      <c r="E12" s="1097">
        <v>9.6000000000000002E-2</v>
      </c>
      <c r="F12" s="1098">
        <v>0.1</v>
      </c>
    </row>
    <row r="13" spans="1:6" ht="14.25" thickBot="1">
      <c r="A13" s="854" t="s">
        <v>221</v>
      </c>
      <c r="B13" s="862" t="s">
        <v>163</v>
      </c>
      <c r="C13" s="1097">
        <v>6.9000000000000006E-2</v>
      </c>
      <c r="D13" s="1097">
        <v>6.5000000000000002E-2</v>
      </c>
      <c r="E13" s="1097">
        <v>6.6000000000000003E-2</v>
      </c>
      <c r="F13" s="1098">
        <v>0.1</v>
      </c>
    </row>
    <row r="14" spans="1:6" ht="14.25" thickBot="1">
      <c r="A14" s="854" t="s">
        <v>221</v>
      </c>
      <c r="B14" s="862" t="s">
        <v>175</v>
      </c>
      <c r="C14" s="1097">
        <v>0.1</v>
      </c>
      <c r="D14" s="1097">
        <v>6.5000000000000002E-2</v>
      </c>
      <c r="E14" s="1097">
        <v>7.0000000000000007E-2</v>
      </c>
      <c r="F14" s="1098">
        <v>0.1</v>
      </c>
    </row>
    <row r="15" spans="1:6" ht="14.25" thickBot="1">
      <c r="A15" s="854" t="s">
        <v>221</v>
      </c>
      <c r="B15" s="862" t="s">
        <v>187</v>
      </c>
      <c r="C15" s="1097">
        <v>9.8000000000000004E-2</v>
      </c>
      <c r="D15" s="1097">
        <v>8.8999999999999996E-2</v>
      </c>
      <c r="E15" s="1097">
        <v>8.8999999999999996E-2</v>
      </c>
      <c r="F15" s="1098">
        <v>0.1</v>
      </c>
    </row>
    <row r="16" spans="1:6" ht="14.25" thickBot="1">
      <c r="A16" s="854" t="s">
        <v>221</v>
      </c>
      <c r="B16" s="862" t="s">
        <v>199</v>
      </c>
      <c r="C16" s="1097">
        <v>7.0000000000000007E-2</v>
      </c>
      <c r="D16" s="1097">
        <v>9.2999999999999999E-2</v>
      </c>
      <c r="E16" s="1097">
        <v>9.6000000000000002E-2</v>
      </c>
      <c r="F16" s="1098">
        <v>0.1</v>
      </c>
    </row>
    <row r="17" spans="1:6" ht="14.25" thickBot="1">
      <c r="A17" s="854" t="s">
        <v>221</v>
      </c>
      <c r="B17" s="862" t="s">
        <v>211</v>
      </c>
      <c r="C17" s="1097">
        <v>9.5000000000000001E-2</v>
      </c>
      <c r="D17" s="1097">
        <v>0.1</v>
      </c>
      <c r="E17" s="1097">
        <v>0.1</v>
      </c>
      <c r="F17" s="1102"/>
    </row>
    <row r="18" spans="1:6" ht="14.25" thickBot="1">
      <c r="A18" s="854" t="s">
        <v>221</v>
      </c>
      <c r="B18" s="862" t="s">
        <v>224</v>
      </c>
      <c r="C18" s="1097">
        <v>7.3999999999999996E-2</v>
      </c>
      <c r="D18" s="1097">
        <v>9.9000000000000005E-2</v>
      </c>
      <c r="E18" s="1097">
        <v>0.1</v>
      </c>
      <c r="F18" s="1102"/>
    </row>
    <row r="19" spans="1:6" ht="14.25" thickBot="1">
      <c r="A19" s="854" t="s">
        <v>221</v>
      </c>
      <c r="B19" s="862" t="s">
        <v>235</v>
      </c>
      <c r="C19" s="1097">
        <v>9.9000000000000005E-2</v>
      </c>
      <c r="D19" s="1097">
        <v>7.5999999999999998E-2</v>
      </c>
      <c r="E19" s="1097">
        <v>8.6999999999999994E-2</v>
      </c>
      <c r="F19" s="1102"/>
    </row>
    <row r="20" spans="1:6" ht="14.25" thickBot="1">
      <c r="A20" s="854" t="s">
        <v>221</v>
      </c>
      <c r="B20" s="862" t="s">
        <v>246</v>
      </c>
      <c r="C20" s="1097">
        <v>9.8000000000000004E-2</v>
      </c>
      <c r="D20" s="1097">
        <v>8.5000000000000006E-2</v>
      </c>
      <c r="E20" s="1097">
        <v>8.2000000000000003E-2</v>
      </c>
      <c r="F20" s="1102"/>
    </row>
    <row r="21" spans="1:6" ht="14.25" thickBot="1">
      <c r="A21" s="854" t="s">
        <v>221</v>
      </c>
      <c r="B21" s="862" t="s">
        <v>257</v>
      </c>
      <c r="C21" s="1097">
        <v>6.6000000000000003E-2</v>
      </c>
      <c r="D21" s="1097">
        <v>6.4000000000000001E-2</v>
      </c>
      <c r="E21" s="1097">
        <v>6.5000000000000002E-2</v>
      </c>
      <c r="F21" s="1102"/>
    </row>
    <row r="22" spans="1:6" ht="14.25" thickBot="1">
      <c r="A22" s="854" t="s">
        <v>221</v>
      </c>
      <c r="B22" s="862" t="s">
        <v>794</v>
      </c>
      <c r="C22" s="1097">
        <v>0.08</v>
      </c>
      <c r="D22" s="1097">
        <v>9.8000000000000004E-2</v>
      </c>
      <c r="E22" s="1097">
        <v>9.8000000000000004E-2</v>
      </c>
      <c r="F22" s="1102"/>
    </row>
    <row r="23" spans="1:6" ht="14.25" thickBot="1">
      <c r="A23" s="854" t="s">
        <v>221</v>
      </c>
      <c r="B23" s="862" t="s">
        <v>279</v>
      </c>
      <c r="C23" s="1097">
        <v>9.9000000000000005E-2</v>
      </c>
      <c r="D23" s="1097">
        <v>9.8000000000000004E-2</v>
      </c>
      <c r="E23" s="1097">
        <v>9.0999999999999998E-2</v>
      </c>
      <c r="F23" s="1102"/>
    </row>
    <row r="24" spans="1:6" ht="14.25" thickBot="1">
      <c r="A24" s="854" t="s">
        <v>221</v>
      </c>
      <c r="B24" s="862" t="s">
        <v>290</v>
      </c>
      <c r="C24" s="1097">
        <v>8.8999999999999996E-2</v>
      </c>
      <c r="D24" s="1097">
        <v>9.7000000000000003E-2</v>
      </c>
      <c r="E24" s="1097">
        <v>7.0000000000000007E-2</v>
      </c>
      <c r="F24" s="1102"/>
    </row>
    <row r="25" spans="1:6" ht="14.25" thickBot="1">
      <c r="A25" s="854" t="s">
        <v>221</v>
      </c>
      <c r="B25" s="862" t="s">
        <v>300</v>
      </c>
      <c r="C25" s="1097">
        <v>8.8999999999999996E-2</v>
      </c>
      <c r="D25" s="1097">
        <v>0.1</v>
      </c>
      <c r="E25" s="1097">
        <v>8.1000000000000003E-2</v>
      </c>
      <c r="F25" s="1102"/>
    </row>
    <row r="26" spans="1:6" ht="14.25" thickBot="1">
      <c r="A26" s="854" t="s">
        <v>221</v>
      </c>
      <c r="B26" s="862" t="s">
        <v>310</v>
      </c>
      <c r="C26" s="1103"/>
      <c r="D26" s="1097">
        <v>9.6000000000000002E-2</v>
      </c>
      <c r="E26" s="1097">
        <v>9.2999999999999999E-2</v>
      </c>
      <c r="F26" s="1102"/>
    </row>
    <row r="27" spans="1:6" ht="14.25" thickBot="1">
      <c r="A27" s="854" t="s">
        <v>221</v>
      </c>
      <c r="B27" s="862" t="s">
        <v>320</v>
      </c>
      <c r="C27" s="1103"/>
      <c r="D27" s="1097">
        <v>7.5999999999999998E-2</v>
      </c>
      <c r="E27" s="1097">
        <v>9.1999999999999998E-2</v>
      </c>
      <c r="F27" s="1102"/>
    </row>
    <row r="28" spans="1:6" ht="14.25" thickBot="1">
      <c r="A28" s="871" t="s">
        <v>221</v>
      </c>
      <c r="B28" s="863" t="s">
        <v>330</v>
      </c>
      <c r="C28" s="1100"/>
      <c r="D28" s="1099">
        <v>7.5999999999999998E-2</v>
      </c>
      <c r="E28" s="1099">
        <v>9.1999999999999998E-2</v>
      </c>
      <c r="F28" s="1101"/>
    </row>
    <row r="29" spans="1:6" ht="14.25" thickBot="1">
      <c r="A29" s="854" t="s">
        <v>399</v>
      </c>
      <c r="B29" s="855" t="s">
        <v>795</v>
      </c>
      <c r="C29" s="1095">
        <v>6.4000000000000001E-2</v>
      </c>
      <c r="D29" s="1095">
        <v>6.5000000000000002E-2</v>
      </c>
      <c r="E29" s="1095">
        <v>6.9000000000000006E-2</v>
      </c>
      <c r="F29" s="1096">
        <v>0.1</v>
      </c>
    </row>
    <row r="30" spans="1:6" ht="14.25" thickBot="1">
      <c r="A30" s="854" t="s">
        <v>399</v>
      </c>
      <c r="B30" s="862" t="s">
        <v>138</v>
      </c>
      <c r="C30" s="1097">
        <v>6.4000000000000001E-2</v>
      </c>
      <c r="D30" s="1097">
        <v>9.9000000000000005E-2</v>
      </c>
      <c r="E30" s="1097">
        <v>0.1</v>
      </c>
      <c r="F30" s="1098">
        <v>0.1</v>
      </c>
    </row>
    <row r="31" spans="1:6" ht="14.25" thickBot="1">
      <c r="A31" s="854" t="s">
        <v>399</v>
      </c>
      <c r="B31" s="862" t="s">
        <v>151</v>
      </c>
      <c r="C31" s="1097">
        <v>0.1</v>
      </c>
      <c r="D31" s="1097">
        <v>9.5000000000000001E-2</v>
      </c>
      <c r="E31" s="1097">
        <v>8.8999999999999996E-2</v>
      </c>
      <c r="F31" s="1098">
        <v>0.1</v>
      </c>
    </row>
    <row r="32" spans="1:6" ht="14.25" thickBot="1">
      <c r="A32" s="854" t="s">
        <v>399</v>
      </c>
      <c r="B32" s="862" t="s">
        <v>164</v>
      </c>
      <c r="C32" s="1097">
        <v>0.05</v>
      </c>
      <c r="D32" s="1097">
        <v>0.05</v>
      </c>
      <c r="E32" s="1097">
        <v>8.7999999999999995E-2</v>
      </c>
      <c r="F32" s="1098">
        <v>0.1</v>
      </c>
    </row>
    <row r="33" spans="1:6" ht="14.25" thickBot="1">
      <c r="A33" s="854" t="s">
        <v>399</v>
      </c>
      <c r="B33" s="862" t="s">
        <v>176</v>
      </c>
      <c r="C33" s="1097">
        <v>7.4999999999999997E-2</v>
      </c>
      <c r="D33" s="1097">
        <v>9.4E-2</v>
      </c>
      <c r="E33" s="1097">
        <v>9.7000000000000003E-2</v>
      </c>
      <c r="F33" s="1098">
        <v>0.1</v>
      </c>
    </row>
    <row r="34" spans="1:6" ht="14.25" thickBot="1">
      <c r="A34" s="854" t="s">
        <v>399</v>
      </c>
      <c r="B34" s="862" t="s">
        <v>188</v>
      </c>
      <c r="C34" s="1097">
        <v>9.8000000000000004E-2</v>
      </c>
      <c r="D34" s="1097">
        <v>8.5999999999999993E-2</v>
      </c>
      <c r="E34" s="1097">
        <v>9.7000000000000003E-2</v>
      </c>
      <c r="F34" s="1098">
        <v>0.1</v>
      </c>
    </row>
    <row r="35" spans="1:6" ht="14.25" thickBot="1">
      <c r="A35" s="854" t="s">
        <v>399</v>
      </c>
      <c r="B35" s="862" t="s">
        <v>200</v>
      </c>
      <c r="C35" s="1097">
        <v>5.8999999999999997E-2</v>
      </c>
      <c r="D35" s="1097">
        <v>6.5000000000000002E-2</v>
      </c>
      <c r="E35" s="1097">
        <v>7.0000000000000007E-2</v>
      </c>
      <c r="F35" s="1098">
        <v>0.1</v>
      </c>
    </row>
    <row r="36" spans="1:6" ht="14.25" thickBot="1">
      <c r="A36" s="854" t="s">
        <v>399</v>
      </c>
      <c r="B36" s="862" t="s">
        <v>212</v>
      </c>
      <c r="C36" s="1097">
        <v>6.3E-2</v>
      </c>
      <c r="D36" s="1097">
        <v>0.1</v>
      </c>
      <c r="E36" s="1097">
        <v>0.1</v>
      </c>
      <c r="F36" s="1098">
        <v>0.1</v>
      </c>
    </row>
    <row r="37" spans="1:6" ht="14.25" thickBot="1">
      <c r="A37" s="854" t="s">
        <v>399</v>
      </c>
      <c r="B37" s="862" t="s">
        <v>225</v>
      </c>
      <c r="C37" s="1097">
        <v>7.3999999999999996E-2</v>
      </c>
      <c r="D37" s="1097">
        <v>0.1</v>
      </c>
      <c r="E37" s="1097">
        <v>0.1</v>
      </c>
      <c r="F37" s="1098">
        <v>0.1</v>
      </c>
    </row>
    <row r="38" spans="1:6" ht="14.25" thickBot="1">
      <c r="A38" s="854" t="s">
        <v>399</v>
      </c>
      <c r="B38" s="862" t="s">
        <v>236</v>
      </c>
      <c r="C38" s="1097">
        <v>0.1</v>
      </c>
      <c r="D38" s="1097">
        <v>9.6000000000000002E-2</v>
      </c>
      <c r="E38" s="1097">
        <v>9.6000000000000002E-2</v>
      </c>
      <c r="F38" s="1102"/>
    </row>
    <row r="39" spans="1:6" ht="14.25" thickBot="1">
      <c r="A39" s="854" t="s">
        <v>399</v>
      </c>
      <c r="B39" s="862" t="s">
        <v>247</v>
      </c>
      <c r="C39" s="1097">
        <v>0.1</v>
      </c>
      <c r="D39" s="1097">
        <v>9.6000000000000002E-2</v>
      </c>
      <c r="E39" s="1097">
        <v>9.6000000000000002E-2</v>
      </c>
      <c r="F39" s="1102"/>
    </row>
    <row r="40" spans="1:6" ht="14.25" thickBot="1">
      <c r="A40" s="854" t="s">
        <v>399</v>
      </c>
      <c r="B40" s="862" t="s">
        <v>258</v>
      </c>
      <c r="C40" s="1097">
        <v>9.6000000000000002E-2</v>
      </c>
      <c r="D40" s="1097">
        <v>0.1</v>
      </c>
      <c r="E40" s="1097">
        <v>9.9000000000000005E-2</v>
      </c>
      <c r="F40" s="1102"/>
    </row>
    <row r="41" spans="1:6" ht="14.25" thickBot="1">
      <c r="A41" s="854" t="s">
        <v>399</v>
      </c>
      <c r="B41" s="862" t="s">
        <v>269</v>
      </c>
      <c r="C41" s="1097">
        <v>9.6000000000000002E-2</v>
      </c>
      <c r="D41" s="1097">
        <v>9.8000000000000004E-2</v>
      </c>
      <c r="E41" s="1097">
        <v>9.8000000000000004E-2</v>
      </c>
      <c r="F41" s="1102"/>
    </row>
    <row r="42" spans="1:6" ht="14.25" thickBot="1">
      <c r="A42" s="854" t="s">
        <v>399</v>
      </c>
      <c r="B42" s="862" t="s">
        <v>280</v>
      </c>
      <c r="C42" s="1097">
        <v>0.1</v>
      </c>
      <c r="D42" s="1097">
        <v>8.7999999999999995E-2</v>
      </c>
      <c r="E42" s="1097">
        <v>0.1</v>
      </c>
      <c r="F42" s="1102"/>
    </row>
    <row r="43" spans="1:6" ht="14.25" thickBot="1">
      <c r="A43" s="854" t="s">
        <v>399</v>
      </c>
      <c r="B43" s="862" t="s">
        <v>291</v>
      </c>
      <c r="C43" s="1097">
        <v>9.8000000000000004E-2</v>
      </c>
      <c r="D43" s="1097">
        <v>9.7000000000000003E-2</v>
      </c>
      <c r="E43" s="1097">
        <v>9.6000000000000002E-2</v>
      </c>
      <c r="F43" s="1102"/>
    </row>
    <row r="44" spans="1:6" ht="14.25" thickBot="1">
      <c r="A44" s="854" t="s">
        <v>399</v>
      </c>
      <c r="B44" s="862" t="s">
        <v>301</v>
      </c>
      <c r="C44" s="1097">
        <v>8.5999999999999993E-2</v>
      </c>
      <c r="D44" s="1097">
        <v>7.9000000000000001E-2</v>
      </c>
      <c r="E44" s="1097">
        <v>7.0999999999999994E-2</v>
      </c>
      <c r="F44" s="1102"/>
    </row>
    <row r="45" spans="1:6" ht="14.25" thickBot="1">
      <c r="A45" s="854" t="s">
        <v>399</v>
      </c>
      <c r="B45" s="862" t="s">
        <v>311</v>
      </c>
      <c r="C45" s="1097">
        <v>9.8000000000000004E-2</v>
      </c>
      <c r="D45" s="1097">
        <v>9.6000000000000002E-2</v>
      </c>
      <c r="E45" s="1097">
        <v>9.6000000000000002E-2</v>
      </c>
      <c r="F45" s="1102"/>
    </row>
    <row r="46" spans="1:6" ht="14.25" thickBot="1">
      <c r="A46" s="854" t="s">
        <v>399</v>
      </c>
      <c r="B46" s="862" t="s">
        <v>321</v>
      </c>
      <c r="C46" s="1097">
        <v>8.5999999999999993E-2</v>
      </c>
      <c r="D46" s="1097">
        <v>9.8000000000000004E-2</v>
      </c>
      <c r="E46" s="1097">
        <v>8.7999999999999995E-2</v>
      </c>
      <c r="F46" s="1102"/>
    </row>
    <row r="47" spans="1:6" ht="14.25" thickBot="1">
      <c r="A47" s="854" t="s">
        <v>399</v>
      </c>
      <c r="B47" s="862" t="s">
        <v>331</v>
      </c>
      <c r="C47" s="1097">
        <v>9.6000000000000002E-2</v>
      </c>
      <c r="D47" s="1103"/>
      <c r="E47" s="1097">
        <v>6.9000000000000006E-2</v>
      </c>
      <c r="F47" s="1102"/>
    </row>
    <row r="48" spans="1:6" ht="14.25" thickBot="1">
      <c r="A48" s="871" t="s">
        <v>399</v>
      </c>
      <c r="B48" s="863" t="s">
        <v>340</v>
      </c>
      <c r="C48" s="1099">
        <v>9.8000000000000004E-2</v>
      </c>
      <c r="D48" s="1100"/>
      <c r="E48" s="1099">
        <v>9.5000000000000001E-2</v>
      </c>
      <c r="F48" s="1101"/>
    </row>
    <row r="49" spans="1:6" ht="14.25" thickBot="1">
      <c r="A49" s="854" t="s">
        <v>87</v>
      </c>
      <c r="B49" s="855" t="s">
        <v>796</v>
      </c>
      <c r="C49" s="1095">
        <v>9.7000000000000003E-2</v>
      </c>
      <c r="D49" s="1095">
        <v>9.5000000000000001E-2</v>
      </c>
      <c r="E49" s="1095">
        <v>9.7000000000000003E-2</v>
      </c>
      <c r="F49" s="1096">
        <v>0.1</v>
      </c>
    </row>
    <row r="50" spans="1:6" ht="14.25" thickBot="1">
      <c r="A50" s="854" t="s">
        <v>87</v>
      </c>
      <c r="B50" s="848" t="s">
        <v>139</v>
      </c>
      <c r="C50" s="1097">
        <v>7.4999999999999997E-2</v>
      </c>
      <c r="D50" s="1097">
        <v>9.5000000000000001E-2</v>
      </c>
      <c r="E50" s="1097">
        <v>0.1</v>
      </c>
      <c r="F50" s="1098">
        <v>0.1</v>
      </c>
    </row>
    <row r="51" spans="1:6" ht="14.25" thickBot="1">
      <c r="A51" s="854" t="s">
        <v>87</v>
      </c>
      <c r="B51" s="848" t="s">
        <v>152</v>
      </c>
      <c r="C51" s="1097">
        <v>9.8000000000000004E-2</v>
      </c>
      <c r="D51" s="1097">
        <v>8.8999999999999996E-2</v>
      </c>
      <c r="E51" s="1097">
        <v>0.1</v>
      </c>
      <c r="F51" s="1098">
        <v>0.1</v>
      </c>
    </row>
    <row r="52" spans="1:6" ht="14.25" thickBot="1">
      <c r="A52" s="854" t="s">
        <v>87</v>
      </c>
      <c r="B52" s="848" t="s">
        <v>165</v>
      </c>
      <c r="C52" s="1097">
        <v>9.8000000000000004E-2</v>
      </c>
      <c r="D52" s="1097">
        <v>9.7000000000000003E-2</v>
      </c>
      <c r="E52" s="1097">
        <v>8.1000000000000003E-2</v>
      </c>
      <c r="F52" s="1098">
        <v>0.1</v>
      </c>
    </row>
    <row r="53" spans="1:6" ht="14.25" thickBot="1">
      <c r="A53" s="854" t="s">
        <v>87</v>
      </c>
      <c r="B53" s="848" t="s">
        <v>177</v>
      </c>
      <c r="C53" s="1097">
        <v>9.7000000000000003E-2</v>
      </c>
      <c r="D53" s="1097">
        <v>7.5999999999999998E-2</v>
      </c>
      <c r="E53" s="1097">
        <v>7.0999999999999994E-2</v>
      </c>
      <c r="F53" s="1098">
        <v>0.1</v>
      </c>
    </row>
    <row r="54" spans="1:6" ht="14.25" thickBot="1">
      <c r="A54" s="854" t="s">
        <v>87</v>
      </c>
      <c r="B54" s="848" t="s">
        <v>189</v>
      </c>
      <c r="C54" s="1097">
        <v>7.5999999999999998E-2</v>
      </c>
      <c r="D54" s="1097">
        <v>0.1</v>
      </c>
      <c r="E54" s="1097">
        <v>9.9000000000000005E-2</v>
      </c>
      <c r="F54" s="1098">
        <v>0.1</v>
      </c>
    </row>
    <row r="55" spans="1:6" ht="14.25" thickBot="1">
      <c r="A55" s="854" t="s">
        <v>87</v>
      </c>
      <c r="B55" s="848" t="s">
        <v>201</v>
      </c>
      <c r="C55" s="1097">
        <v>0.1</v>
      </c>
      <c r="D55" s="1097">
        <v>0.1</v>
      </c>
      <c r="E55" s="1097">
        <v>9.6000000000000002E-2</v>
      </c>
      <c r="F55" s="1098">
        <v>0.1</v>
      </c>
    </row>
    <row r="56" spans="1:6" ht="14.25" thickBot="1">
      <c r="A56" s="854" t="s">
        <v>87</v>
      </c>
      <c r="B56" s="848" t="s">
        <v>213</v>
      </c>
      <c r="C56" s="1097">
        <v>0.1</v>
      </c>
      <c r="D56" s="1097">
        <v>9.6000000000000002E-2</v>
      </c>
      <c r="E56" s="1097">
        <v>5.1999999999999998E-2</v>
      </c>
      <c r="F56" s="1098">
        <v>0.1</v>
      </c>
    </row>
    <row r="57" spans="1:6" ht="14.25" thickBot="1">
      <c r="A57" s="854" t="s">
        <v>87</v>
      </c>
      <c r="B57" s="848" t="s">
        <v>226</v>
      </c>
      <c r="C57" s="1097">
        <v>9.7000000000000003E-2</v>
      </c>
      <c r="D57" s="1097">
        <v>9.6000000000000002E-2</v>
      </c>
      <c r="E57" s="1097">
        <v>9.6000000000000002E-2</v>
      </c>
      <c r="F57" s="1098">
        <v>0.1</v>
      </c>
    </row>
    <row r="58" spans="1:6" ht="14.25" thickBot="1">
      <c r="A58" s="854" t="s">
        <v>87</v>
      </c>
      <c r="B58" s="848" t="s">
        <v>237</v>
      </c>
      <c r="C58" s="1097">
        <v>9.6000000000000002E-2</v>
      </c>
      <c r="D58" s="1097">
        <v>9.9000000000000005E-2</v>
      </c>
      <c r="E58" s="1097">
        <v>9.6000000000000002E-2</v>
      </c>
      <c r="F58" s="1098">
        <v>0.1</v>
      </c>
    </row>
    <row r="59" spans="1:6" ht="14.25" thickBot="1">
      <c r="A59" s="854" t="s">
        <v>87</v>
      </c>
      <c r="B59" s="848" t="s">
        <v>248</v>
      </c>
      <c r="C59" s="1097">
        <v>7.1999999999999995E-2</v>
      </c>
      <c r="D59" s="1097">
        <v>9.6000000000000002E-2</v>
      </c>
      <c r="E59" s="1097">
        <v>7.0999999999999994E-2</v>
      </c>
      <c r="F59" s="1098">
        <v>0.1</v>
      </c>
    </row>
    <row r="60" spans="1:6" ht="14.25" thickBot="1">
      <c r="A60" s="854" t="s">
        <v>87</v>
      </c>
      <c r="B60" s="848" t="s">
        <v>259</v>
      </c>
      <c r="C60" s="1097">
        <v>9.6000000000000002E-2</v>
      </c>
      <c r="D60" s="1097">
        <v>8.8999999999999996E-2</v>
      </c>
      <c r="E60" s="1097">
        <v>9.6000000000000002E-2</v>
      </c>
      <c r="F60" s="1098">
        <v>0.1</v>
      </c>
    </row>
    <row r="61" spans="1:6" ht="14.25" thickBot="1">
      <c r="A61" s="854" t="s">
        <v>87</v>
      </c>
      <c r="B61" s="848" t="s">
        <v>270</v>
      </c>
      <c r="C61" s="1097">
        <v>8.8999999999999996E-2</v>
      </c>
      <c r="D61" s="1097">
        <v>9.8000000000000004E-2</v>
      </c>
      <c r="E61" s="1097">
        <v>8.7999999999999995E-2</v>
      </c>
      <c r="F61" s="1102"/>
    </row>
    <row r="62" spans="1:6" ht="14.25" thickBot="1">
      <c r="A62" s="854" t="s">
        <v>87</v>
      </c>
      <c r="B62" s="848" t="s">
        <v>281</v>
      </c>
      <c r="C62" s="1097">
        <v>9.8000000000000004E-2</v>
      </c>
      <c r="D62" s="1097">
        <v>9.2999999999999999E-2</v>
      </c>
      <c r="E62" s="1097">
        <v>9.7000000000000003E-2</v>
      </c>
      <c r="F62" s="1102"/>
    </row>
    <row r="63" spans="1:6" ht="14.25" thickBot="1">
      <c r="A63" s="854" t="s">
        <v>87</v>
      </c>
      <c r="B63" s="848" t="s">
        <v>292</v>
      </c>
      <c r="C63" s="1097">
        <v>9.6000000000000002E-2</v>
      </c>
      <c r="D63" s="1097">
        <v>9.8000000000000004E-2</v>
      </c>
      <c r="E63" s="1097">
        <v>0.09</v>
      </c>
      <c r="F63" s="1102"/>
    </row>
    <row r="64" spans="1:6" ht="14.25" thickBot="1">
      <c r="A64" s="854" t="s">
        <v>87</v>
      </c>
      <c r="B64" s="848" t="s">
        <v>302</v>
      </c>
      <c r="C64" s="1097">
        <v>9.9000000000000005E-2</v>
      </c>
      <c r="D64" s="1097">
        <v>9.7000000000000003E-2</v>
      </c>
      <c r="E64" s="1097">
        <v>9.9000000000000005E-2</v>
      </c>
      <c r="F64" s="1102"/>
    </row>
    <row r="65" spans="1:6" ht="14.25" thickBot="1">
      <c r="A65" s="854" t="s">
        <v>87</v>
      </c>
      <c r="B65" s="848" t="s">
        <v>312</v>
      </c>
      <c r="C65" s="1097">
        <v>9.8000000000000004E-2</v>
      </c>
      <c r="D65" s="1097">
        <v>9.6000000000000002E-2</v>
      </c>
      <c r="E65" s="1097">
        <v>9.6000000000000002E-2</v>
      </c>
      <c r="F65" s="1102"/>
    </row>
    <row r="66" spans="1:6" ht="14.25" thickBot="1">
      <c r="A66" s="854" t="s">
        <v>87</v>
      </c>
      <c r="B66" s="848" t="s">
        <v>322</v>
      </c>
      <c r="C66" s="1097">
        <v>9.6000000000000002E-2</v>
      </c>
      <c r="D66" s="1097">
        <v>9.1999999999999998E-2</v>
      </c>
      <c r="E66" s="1097">
        <v>9.6000000000000002E-2</v>
      </c>
      <c r="F66" s="1102"/>
    </row>
    <row r="67" spans="1:6" ht="14.25" thickBot="1">
      <c r="A67" s="854" t="s">
        <v>87</v>
      </c>
      <c r="B67" s="848" t="s">
        <v>332</v>
      </c>
      <c r="C67" s="1097">
        <v>9.4E-2</v>
      </c>
      <c r="D67" s="1097">
        <v>0.1</v>
      </c>
      <c r="E67" s="1097">
        <v>8.7999999999999995E-2</v>
      </c>
      <c r="F67" s="1102"/>
    </row>
    <row r="68" spans="1:6" ht="14.25" thickBot="1">
      <c r="A68" s="854" t="s">
        <v>87</v>
      </c>
      <c r="B68" s="848" t="s">
        <v>341</v>
      </c>
      <c r="C68" s="1097">
        <v>0.1</v>
      </c>
      <c r="D68" s="1097">
        <v>8.7999999999999995E-2</v>
      </c>
      <c r="E68" s="1097">
        <v>9.7000000000000003E-2</v>
      </c>
      <c r="F68" s="1102"/>
    </row>
    <row r="69" spans="1:6" ht="14.25" thickBot="1">
      <c r="A69" s="854" t="s">
        <v>87</v>
      </c>
      <c r="B69" s="848" t="s">
        <v>350</v>
      </c>
      <c r="C69" s="1097">
        <v>6.4000000000000001E-2</v>
      </c>
      <c r="D69" s="1097">
        <v>0.1</v>
      </c>
      <c r="E69" s="1097">
        <v>0.1</v>
      </c>
      <c r="F69" s="1102"/>
    </row>
    <row r="70" spans="1:6" ht="14.25" thickBot="1">
      <c r="A70" s="854" t="s">
        <v>87</v>
      </c>
      <c r="B70" s="848" t="s">
        <v>358</v>
      </c>
      <c r="C70" s="1097">
        <v>9.0999999999999998E-2</v>
      </c>
      <c r="D70" s="1103"/>
      <c r="E70" s="1103"/>
      <c r="F70" s="1102"/>
    </row>
    <row r="71" spans="1:6" ht="14.25" thickBot="1">
      <c r="A71" s="854" t="s">
        <v>87</v>
      </c>
      <c r="B71" s="848" t="s">
        <v>365</v>
      </c>
      <c r="C71" s="1097">
        <v>0.1</v>
      </c>
      <c r="D71" s="1103"/>
      <c r="E71" s="1103"/>
      <c r="F71" s="1102"/>
    </row>
    <row r="72" spans="1:6" ht="14.25" thickBot="1">
      <c r="A72" s="854" t="s">
        <v>87</v>
      </c>
      <c r="B72" s="848" t="s">
        <v>797</v>
      </c>
      <c r="C72" s="1103"/>
      <c r="D72" s="1103"/>
      <c r="E72" s="1103"/>
      <c r="F72" s="1098">
        <v>0.05</v>
      </c>
    </row>
    <row r="73" spans="1:6" ht="14.25" thickBot="1">
      <c r="A73" s="854" t="s">
        <v>87</v>
      </c>
      <c r="B73" s="848" t="s">
        <v>798</v>
      </c>
      <c r="C73" s="1103"/>
      <c r="D73" s="1103"/>
      <c r="E73" s="1103"/>
      <c r="F73" s="1098">
        <v>0.05</v>
      </c>
    </row>
    <row r="74" spans="1:6" ht="14.25" thickBot="1">
      <c r="A74" s="854" t="s">
        <v>87</v>
      </c>
      <c r="B74" s="848" t="s">
        <v>799</v>
      </c>
      <c r="C74" s="1103"/>
      <c r="D74" s="1103"/>
      <c r="E74" s="1103"/>
      <c r="F74" s="1098">
        <v>0.05</v>
      </c>
    </row>
    <row r="75" spans="1:6" ht="14.25" thickBot="1">
      <c r="A75" s="871" t="s">
        <v>87</v>
      </c>
      <c r="B75" s="864" t="s">
        <v>800</v>
      </c>
      <c r="C75" s="1100"/>
      <c r="D75" s="1100"/>
      <c r="E75" s="1100"/>
      <c r="F75" s="1104">
        <v>0.05</v>
      </c>
    </row>
    <row r="76" spans="1:6" ht="14.25" thickBot="1">
      <c r="A76" s="854" t="s">
        <v>480</v>
      </c>
      <c r="B76" s="855" t="s">
        <v>801</v>
      </c>
      <c r="C76" s="1095">
        <v>0.1</v>
      </c>
      <c r="D76" s="1095">
        <v>0.1</v>
      </c>
      <c r="E76" s="1095">
        <v>0.1</v>
      </c>
      <c r="F76" s="1096">
        <v>0.1</v>
      </c>
    </row>
    <row r="77" spans="1:6" ht="14.25" thickBot="1">
      <c r="A77" s="854" t="s">
        <v>480</v>
      </c>
      <c r="B77" s="848" t="s">
        <v>140</v>
      </c>
      <c r="C77" s="1097">
        <v>8.7999999999999995E-2</v>
      </c>
      <c r="D77" s="1097">
        <v>8.6999999999999994E-2</v>
      </c>
      <c r="E77" s="1097">
        <v>7.9000000000000001E-2</v>
      </c>
      <c r="F77" s="1098">
        <v>0.1</v>
      </c>
    </row>
    <row r="78" spans="1:6" ht="14.25" thickBot="1">
      <c r="A78" s="854" t="s">
        <v>480</v>
      </c>
      <c r="B78" s="848" t="s">
        <v>153</v>
      </c>
      <c r="C78" s="1097">
        <v>8.6999999999999994E-2</v>
      </c>
      <c r="D78" s="1097">
        <v>8.4000000000000005E-2</v>
      </c>
      <c r="E78" s="1097">
        <v>9.6000000000000002E-2</v>
      </c>
      <c r="F78" s="1098">
        <v>0.1</v>
      </c>
    </row>
    <row r="79" spans="1:6" ht="14.25" thickBot="1">
      <c r="A79" s="854" t="s">
        <v>480</v>
      </c>
      <c r="B79" s="848" t="s">
        <v>166</v>
      </c>
      <c r="C79" s="1097">
        <v>9.8000000000000004E-2</v>
      </c>
      <c r="D79" s="1097">
        <v>9.8000000000000004E-2</v>
      </c>
      <c r="E79" s="1097">
        <v>9.0999999999999998E-2</v>
      </c>
      <c r="F79" s="1098">
        <v>0.1</v>
      </c>
    </row>
    <row r="80" spans="1:6" ht="14.25" thickBot="1">
      <c r="A80" s="854" t="s">
        <v>480</v>
      </c>
      <c r="B80" s="848" t="s">
        <v>178</v>
      </c>
      <c r="C80" s="1097">
        <v>9.6000000000000002E-2</v>
      </c>
      <c r="D80" s="1097">
        <v>9.6000000000000002E-2</v>
      </c>
      <c r="E80" s="1097">
        <v>0.1</v>
      </c>
      <c r="F80" s="1098">
        <v>0.1</v>
      </c>
    </row>
    <row r="81" spans="1:6" ht="14.25" thickBot="1">
      <c r="A81" s="854" t="s">
        <v>480</v>
      </c>
      <c r="B81" s="848" t="s">
        <v>190</v>
      </c>
      <c r="C81" s="1097">
        <v>9.9000000000000005E-2</v>
      </c>
      <c r="D81" s="1097">
        <v>9.9000000000000005E-2</v>
      </c>
      <c r="E81" s="1097">
        <v>9.8000000000000004E-2</v>
      </c>
      <c r="F81" s="1098">
        <v>0.1</v>
      </c>
    </row>
    <row r="82" spans="1:6" ht="14.25" thickBot="1">
      <c r="A82" s="854" t="s">
        <v>480</v>
      </c>
      <c r="B82" s="848" t="s">
        <v>202</v>
      </c>
      <c r="C82" s="1097">
        <v>9.9000000000000005E-2</v>
      </c>
      <c r="D82" s="1097">
        <v>9.9000000000000005E-2</v>
      </c>
      <c r="E82" s="1097">
        <v>9.7000000000000003E-2</v>
      </c>
      <c r="F82" s="1098">
        <v>0.1</v>
      </c>
    </row>
    <row r="83" spans="1:6" ht="14.25" thickBot="1">
      <c r="A83" s="854" t="s">
        <v>480</v>
      </c>
      <c r="B83" s="848" t="s">
        <v>214</v>
      </c>
      <c r="C83" s="1097">
        <v>9.8000000000000004E-2</v>
      </c>
      <c r="D83" s="1097">
        <v>9.8000000000000004E-2</v>
      </c>
      <c r="E83" s="1097">
        <v>9.8000000000000004E-2</v>
      </c>
      <c r="F83" s="1098">
        <v>0.1</v>
      </c>
    </row>
    <row r="84" spans="1:6" ht="14.25" thickBot="1">
      <c r="A84" s="854" t="s">
        <v>480</v>
      </c>
      <c r="B84" s="848" t="s">
        <v>227</v>
      </c>
      <c r="C84" s="1097">
        <v>9.9000000000000005E-2</v>
      </c>
      <c r="D84" s="1097">
        <v>9.9000000000000005E-2</v>
      </c>
      <c r="E84" s="1097">
        <v>9.9000000000000005E-2</v>
      </c>
      <c r="F84" s="1098">
        <v>0.1</v>
      </c>
    </row>
    <row r="85" spans="1:6" ht="14.25" thickBot="1">
      <c r="A85" s="854" t="s">
        <v>480</v>
      </c>
      <c r="B85" s="848" t="s">
        <v>238</v>
      </c>
      <c r="C85" s="1097">
        <v>9.9000000000000005E-2</v>
      </c>
      <c r="D85" s="1097">
        <v>9.9000000000000005E-2</v>
      </c>
      <c r="E85" s="1097">
        <v>9.9000000000000005E-2</v>
      </c>
      <c r="F85" s="1098">
        <v>0.1</v>
      </c>
    </row>
    <row r="86" spans="1:6" ht="14.25" thickBot="1">
      <c r="A86" s="854" t="s">
        <v>480</v>
      </c>
      <c r="B86" s="848" t="s">
        <v>249</v>
      </c>
      <c r="C86" s="1097">
        <v>0.1</v>
      </c>
      <c r="D86" s="1097">
        <v>0.1</v>
      </c>
      <c r="E86" s="1097">
        <v>7.6999999999999999E-2</v>
      </c>
      <c r="F86" s="1098">
        <v>0.1</v>
      </c>
    </row>
    <row r="87" spans="1:6" ht="14.25" thickBot="1">
      <c r="A87" s="854" t="s">
        <v>480</v>
      </c>
      <c r="B87" s="848" t="s">
        <v>260</v>
      </c>
      <c r="C87" s="1097">
        <v>0.1</v>
      </c>
      <c r="D87" s="1097">
        <v>0.1</v>
      </c>
      <c r="E87" s="1097">
        <v>9.8000000000000004E-2</v>
      </c>
      <c r="F87" s="1102"/>
    </row>
    <row r="88" spans="1:6" ht="14.25" thickBot="1">
      <c r="A88" s="854" t="s">
        <v>480</v>
      </c>
      <c r="B88" s="848" t="s">
        <v>271</v>
      </c>
      <c r="C88" s="1097">
        <v>9.1999999999999998E-2</v>
      </c>
      <c r="D88" s="1097">
        <v>8.5000000000000006E-2</v>
      </c>
      <c r="E88" s="1097">
        <v>9.6000000000000002E-2</v>
      </c>
      <c r="F88" s="1102"/>
    </row>
    <row r="89" spans="1:6" ht="14.25" thickBot="1">
      <c r="A89" s="854" t="s">
        <v>480</v>
      </c>
      <c r="B89" s="848" t="s">
        <v>282</v>
      </c>
      <c r="C89" s="1097">
        <v>0.1</v>
      </c>
      <c r="D89" s="1097">
        <v>0.1</v>
      </c>
      <c r="E89" s="1097">
        <v>9.7000000000000003E-2</v>
      </c>
      <c r="F89" s="1102"/>
    </row>
    <row r="90" spans="1:6" ht="14.25" thickBot="1">
      <c r="A90" s="854" t="s">
        <v>480</v>
      </c>
      <c r="B90" s="848" t="s">
        <v>293</v>
      </c>
      <c r="C90" s="1097">
        <v>9.8000000000000004E-2</v>
      </c>
      <c r="D90" s="1097">
        <v>9.8000000000000004E-2</v>
      </c>
      <c r="E90" s="1097">
        <v>8.7999999999999995E-2</v>
      </c>
      <c r="F90" s="1102"/>
    </row>
    <row r="91" spans="1:6" ht="14.25" thickBot="1">
      <c r="A91" s="854" t="s">
        <v>480</v>
      </c>
      <c r="B91" s="848" t="s">
        <v>303</v>
      </c>
      <c r="C91" s="1097">
        <v>9.9000000000000005E-2</v>
      </c>
      <c r="D91" s="1097">
        <v>9.9000000000000005E-2</v>
      </c>
      <c r="E91" s="1097">
        <v>9.0999999999999998E-2</v>
      </c>
      <c r="F91" s="1102"/>
    </row>
    <row r="92" spans="1:6" ht="14.25" thickBot="1">
      <c r="A92" s="854" t="s">
        <v>480</v>
      </c>
      <c r="B92" s="848" t="s">
        <v>313</v>
      </c>
      <c r="C92" s="1097">
        <v>9.6000000000000002E-2</v>
      </c>
      <c r="D92" s="1097">
        <v>9.6000000000000002E-2</v>
      </c>
      <c r="E92" s="1097">
        <v>7.2999999999999995E-2</v>
      </c>
      <c r="F92" s="1102"/>
    </row>
    <row r="93" spans="1:6" ht="14.25" thickBot="1">
      <c r="A93" s="854" t="s">
        <v>480</v>
      </c>
      <c r="B93" s="848" t="s">
        <v>323</v>
      </c>
      <c r="C93" s="1097">
        <v>9.6000000000000002E-2</v>
      </c>
      <c r="D93" s="1097">
        <v>9.6000000000000002E-2</v>
      </c>
      <c r="E93" s="1097">
        <v>9.9000000000000005E-2</v>
      </c>
      <c r="F93" s="1102"/>
    </row>
    <row r="94" spans="1:6" ht="14.25" thickBot="1">
      <c r="A94" s="854" t="s">
        <v>480</v>
      </c>
      <c r="B94" s="848" t="s">
        <v>333</v>
      </c>
      <c r="C94" s="1097">
        <v>7.5999999999999998E-2</v>
      </c>
      <c r="D94" s="1097">
        <v>7.3999999999999996E-2</v>
      </c>
      <c r="E94" s="1097">
        <v>9.7000000000000003E-2</v>
      </c>
      <c r="F94" s="1102"/>
    </row>
    <row r="95" spans="1:6" ht="14.25" thickBot="1">
      <c r="A95" s="854" t="s">
        <v>480</v>
      </c>
      <c r="B95" s="848" t="s">
        <v>342</v>
      </c>
      <c r="C95" s="1097">
        <v>9.9000000000000005E-2</v>
      </c>
      <c r="D95" s="1097">
        <v>9.4E-2</v>
      </c>
      <c r="E95" s="1097">
        <v>9.6000000000000002E-2</v>
      </c>
      <c r="F95" s="1102"/>
    </row>
    <row r="96" spans="1:6" ht="14.25" thickBot="1">
      <c r="A96" s="854" t="s">
        <v>480</v>
      </c>
      <c r="B96" s="848" t="s">
        <v>351</v>
      </c>
      <c r="C96" s="1097">
        <v>9.9000000000000005E-2</v>
      </c>
      <c r="D96" s="1097">
        <v>9.9000000000000005E-2</v>
      </c>
      <c r="E96" s="1097">
        <v>9.9000000000000005E-2</v>
      </c>
      <c r="F96" s="1102"/>
    </row>
    <row r="97" spans="1:6" ht="14.25" thickBot="1">
      <c r="A97" s="854" t="s">
        <v>480</v>
      </c>
      <c r="B97" s="848" t="s">
        <v>359</v>
      </c>
      <c r="C97" s="1097">
        <v>9.8000000000000004E-2</v>
      </c>
      <c r="D97" s="1097">
        <v>9.8000000000000004E-2</v>
      </c>
      <c r="E97" s="1097">
        <v>9.7000000000000003E-2</v>
      </c>
      <c r="F97" s="1102"/>
    </row>
    <row r="98" spans="1:6" ht="14.25" thickBot="1">
      <c r="A98" s="854" t="s">
        <v>480</v>
      </c>
      <c r="B98" s="848" t="s">
        <v>366</v>
      </c>
      <c r="C98" s="1097">
        <v>0.1</v>
      </c>
      <c r="D98" s="1097">
        <v>0.1</v>
      </c>
      <c r="E98" s="1097">
        <v>9.7000000000000003E-2</v>
      </c>
      <c r="F98" s="1102"/>
    </row>
    <row r="99" spans="1:6" ht="14.25" thickBot="1">
      <c r="A99" s="854" t="s">
        <v>480</v>
      </c>
      <c r="B99" s="848" t="s">
        <v>373</v>
      </c>
      <c r="C99" s="1097">
        <v>0.1</v>
      </c>
      <c r="D99" s="1097">
        <v>0.1</v>
      </c>
      <c r="E99" s="1103"/>
      <c r="F99" s="1102"/>
    </row>
    <row r="100" spans="1:6" ht="14.25" thickBot="1">
      <c r="A100" s="854" t="s">
        <v>480</v>
      </c>
      <c r="B100" s="848" t="s">
        <v>380</v>
      </c>
      <c r="C100" s="1097">
        <v>0.09</v>
      </c>
      <c r="D100" s="1097">
        <v>8.8999999999999996E-2</v>
      </c>
      <c r="E100" s="1103"/>
      <c r="F100" s="1102"/>
    </row>
    <row r="101" spans="1:6" ht="14.25" thickBot="1">
      <c r="A101" s="854" t="s">
        <v>480</v>
      </c>
      <c r="B101" s="848" t="s">
        <v>387</v>
      </c>
      <c r="C101" s="1097">
        <v>9.8000000000000004E-2</v>
      </c>
      <c r="D101" s="1097">
        <v>9.7000000000000003E-2</v>
      </c>
      <c r="E101" s="1103"/>
      <c r="F101" s="1102"/>
    </row>
    <row r="102" spans="1:6" ht="14.25" thickBot="1">
      <c r="A102" s="854" t="s">
        <v>480</v>
      </c>
      <c r="B102" s="848" t="s">
        <v>802</v>
      </c>
      <c r="C102" s="1103"/>
      <c r="D102" s="1103"/>
      <c r="E102" s="1103"/>
      <c r="F102" s="1098">
        <v>0.05</v>
      </c>
    </row>
    <row r="103" spans="1:6" ht="24.75" thickBot="1">
      <c r="A103" s="854" t="s">
        <v>480</v>
      </c>
      <c r="B103" s="848" t="s">
        <v>803</v>
      </c>
      <c r="C103" s="1103"/>
      <c r="D103" s="1103"/>
      <c r="E103" s="1103"/>
      <c r="F103" s="1098">
        <v>0.05</v>
      </c>
    </row>
    <row r="104" spans="1:6" ht="14.25" thickBot="1">
      <c r="A104" s="854" t="s">
        <v>480</v>
      </c>
      <c r="B104" s="848" t="s">
        <v>804</v>
      </c>
      <c r="C104" s="1103"/>
      <c r="D104" s="1103"/>
      <c r="E104" s="1103"/>
      <c r="F104" s="1098">
        <v>0.05</v>
      </c>
    </row>
    <row r="105" spans="1:6" ht="14.25" thickBot="1">
      <c r="A105" s="854" t="s">
        <v>480</v>
      </c>
      <c r="B105" s="848" t="s">
        <v>805</v>
      </c>
      <c r="C105" s="1103"/>
      <c r="D105" s="1103"/>
      <c r="E105" s="1103"/>
      <c r="F105" s="1098">
        <v>0.05</v>
      </c>
    </row>
    <row r="106" spans="1:6" ht="14.25" thickBot="1">
      <c r="A106" s="854" t="s">
        <v>480</v>
      </c>
      <c r="B106" s="848" t="s">
        <v>806</v>
      </c>
      <c r="C106" s="1103"/>
      <c r="D106" s="1103"/>
      <c r="E106" s="1103"/>
      <c r="F106" s="1098">
        <v>0.05</v>
      </c>
    </row>
    <row r="107" spans="1:6" ht="24.75" thickBot="1">
      <c r="A107" s="854" t="s">
        <v>480</v>
      </c>
      <c r="B107" s="848" t="s">
        <v>807</v>
      </c>
      <c r="C107" s="1103"/>
      <c r="D107" s="1103"/>
      <c r="E107" s="1103"/>
      <c r="F107" s="1098">
        <v>0.05</v>
      </c>
    </row>
    <row r="108" spans="1:6" ht="24.75" thickBot="1">
      <c r="A108" s="854" t="s">
        <v>480</v>
      </c>
      <c r="B108" s="848" t="s">
        <v>808</v>
      </c>
      <c r="C108" s="1103"/>
      <c r="D108" s="1103"/>
      <c r="E108" s="1103"/>
      <c r="F108" s="1098">
        <v>0.05</v>
      </c>
    </row>
    <row r="109" spans="1:6" ht="24.75" thickBot="1">
      <c r="A109" s="871" t="s">
        <v>480</v>
      </c>
      <c r="B109" s="864" t="s">
        <v>809</v>
      </c>
      <c r="C109" s="1100"/>
      <c r="D109" s="1100"/>
      <c r="E109" s="1100"/>
      <c r="F109" s="1104">
        <v>0.05</v>
      </c>
    </row>
    <row r="110" spans="1:6" ht="14.25" thickBot="1">
      <c r="A110" s="854" t="s">
        <v>70</v>
      </c>
      <c r="B110" s="855" t="s">
        <v>810</v>
      </c>
      <c r="C110" s="1095">
        <v>0.129</v>
      </c>
      <c r="D110" s="1095">
        <v>0.129</v>
      </c>
      <c r="E110" s="1095">
        <v>0.126</v>
      </c>
      <c r="F110" s="1096">
        <v>0.13</v>
      </c>
    </row>
    <row r="111" spans="1:6" ht="14.25" thickBot="1">
      <c r="A111" s="854" t="s">
        <v>70</v>
      </c>
      <c r="B111" s="848" t="s">
        <v>141</v>
      </c>
      <c r="C111" s="1097">
        <v>0.11</v>
      </c>
      <c r="D111" s="1097">
        <v>0.11</v>
      </c>
      <c r="E111" s="1097">
        <v>9.9000000000000005E-2</v>
      </c>
      <c r="F111" s="1098">
        <v>0.128</v>
      </c>
    </row>
    <row r="112" spans="1:6" ht="14.25" thickBot="1">
      <c r="A112" s="854" t="s">
        <v>70</v>
      </c>
      <c r="B112" s="848" t="s">
        <v>154</v>
      </c>
      <c r="C112" s="1097">
        <v>0.125</v>
      </c>
      <c r="D112" s="1097">
        <v>0.125</v>
      </c>
      <c r="E112" s="1097">
        <v>0.12</v>
      </c>
      <c r="F112" s="1098">
        <v>0.125</v>
      </c>
    </row>
    <row r="113" spans="1:6" ht="14.25" thickBot="1">
      <c r="A113" s="854" t="s">
        <v>70</v>
      </c>
      <c r="B113" s="848" t="s">
        <v>167</v>
      </c>
      <c r="C113" s="1097">
        <v>0.13</v>
      </c>
      <c r="D113" s="1097">
        <v>0.13</v>
      </c>
      <c r="E113" s="1097">
        <v>0.13</v>
      </c>
      <c r="F113" s="1098">
        <v>0.13</v>
      </c>
    </row>
    <row r="114" spans="1:6" ht="14.25" thickBot="1">
      <c r="A114" s="854" t="s">
        <v>70</v>
      </c>
      <c r="B114" s="848" t="s">
        <v>179</v>
      </c>
      <c r="C114" s="1097">
        <v>0.123</v>
      </c>
      <c r="D114" s="1097">
        <v>0.123</v>
      </c>
      <c r="E114" s="1097">
        <v>0.12</v>
      </c>
      <c r="F114" s="1098">
        <v>0.13</v>
      </c>
    </row>
    <row r="115" spans="1:6" ht="14.25" thickBot="1">
      <c r="A115" s="854" t="s">
        <v>70</v>
      </c>
      <c r="B115" s="848" t="s">
        <v>191</v>
      </c>
      <c r="C115" s="1097">
        <v>0.125</v>
      </c>
      <c r="D115" s="1097">
        <v>0.125</v>
      </c>
      <c r="E115" s="1097">
        <v>0.11700000000000001</v>
      </c>
      <c r="F115" s="1098">
        <v>0.13</v>
      </c>
    </row>
    <row r="116" spans="1:6" ht="14.25" thickBot="1">
      <c r="A116" s="854" t="s">
        <v>70</v>
      </c>
      <c r="B116" s="848" t="s">
        <v>203</v>
      </c>
      <c r="C116" s="1097">
        <v>0.11700000000000001</v>
      </c>
      <c r="D116" s="1097">
        <v>0.11700000000000001</v>
      </c>
      <c r="E116" s="1097">
        <v>8.7999999999999995E-2</v>
      </c>
      <c r="F116" s="1098">
        <v>0.13</v>
      </c>
    </row>
    <row r="117" spans="1:6" ht="14.25" thickBot="1">
      <c r="A117" s="854" t="s">
        <v>70</v>
      </c>
      <c r="B117" s="848" t="s">
        <v>215</v>
      </c>
      <c r="C117" s="1097">
        <v>0.13</v>
      </c>
      <c r="D117" s="1097">
        <v>0.13</v>
      </c>
      <c r="E117" s="1097">
        <v>0.129</v>
      </c>
      <c r="F117" s="1098">
        <v>0.13</v>
      </c>
    </row>
    <row r="118" spans="1:6" ht="14.25" thickBot="1">
      <c r="A118" s="854" t="s">
        <v>70</v>
      </c>
      <c r="B118" s="848" t="s">
        <v>228</v>
      </c>
      <c r="C118" s="1097">
        <v>0.123</v>
      </c>
      <c r="D118" s="1097">
        <v>0.123</v>
      </c>
      <c r="E118" s="1097">
        <v>0.11600000000000001</v>
      </c>
      <c r="F118" s="1098">
        <v>0.13</v>
      </c>
    </row>
    <row r="119" spans="1:6" ht="14.25" thickBot="1">
      <c r="A119" s="854" t="s">
        <v>70</v>
      </c>
      <c r="B119" s="848" t="s">
        <v>239</v>
      </c>
      <c r="C119" s="1097">
        <v>0.127</v>
      </c>
      <c r="D119" s="1097">
        <v>0.127</v>
      </c>
      <c r="E119" s="1097">
        <v>0.124</v>
      </c>
      <c r="F119" s="1098">
        <v>0.13</v>
      </c>
    </row>
    <row r="120" spans="1:6" ht="14.25" thickBot="1">
      <c r="A120" s="854" t="s">
        <v>70</v>
      </c>
      <c r="B120" s="848" t="s">
        <v>250</v>
      </c>
      <c r="C120" s="1097">
        <v>0.125</v>
      </c>
      <c r="D120" s="1097">
        <v>0.125</v>
      </c>
      <c r="E120" s="1097">
        <v>0.122</v>
      </c>
      <c r="F120" s="1098">
        <v>0.13</v>
      </c>
    </row>
    <row r="121" spans="1:6" ht="14.25" thickBot="1">
      <c r="A121" s="854" t="s">
        <v>70</v>
      </c>
      <c r="B121" s="848" t="s">
        <v>261</v>
      </c>
      <c r="C121" s="1097">
        <v>0.13</v>
      </c>
      <c r="D121" s="1097">
        <v>0.13</v>
      </c>
      <c r="E121" s="1097">
        <v>0.13</v>
      </c>
      <c r="F121" s="1098">
        <v>0.13</v>
      </c>
    </row>
    <row r="122" spans="1:6" ht="14.25" thickBot="1">
      <c r="A122" s="854" t="s">
        <v>70</v>
      </c>
      <c r="B122" s="848" t="s">
        <v>272</v>
      </c>
      <c r="C122" s="1097">
        <v>0.13</v>
      </c>
      <c r="D122" s="1097">
        <v>0.13</v>
      </c>
      <c r="E122" s="1097">
        <v>0.125</v>
      </c>
      <c r="F122" s="1098">
        <v>0.13</v>
      </c>
    </row>
    <row r="123" spans="1:6" ht="14.25" thickBot="1">
      <c r="A123" s="854" t="s">
        <v>70</v>
      </c>
      <c r="B123" s="848" t="s">
        <v>283</v>
      </c>
      <c r="C123" s="1097">
        <v>0.129</v>
      </c>
      <c r="D123" s="1097">
        <v>0.129</v>
      </c>
      <c r="E123" s="1097">
        <v>0.123</v>
      </c>
      <c r="F123" s="1098">
        <v>0.13</v>
      </c>
    </row>
    <row r="124" spans="1:6" ht="14.25" thickBot="1">
      <c r="A124" s="854" t="s">
        <v>70</v>
      </c>
      <c r="B124" s="848" t="s">
        <v>294</v>
      </c>
      <c r="C124" s="1097">
        <v>0.10199999999999999</v>
      </c>
      <c r="D124" s="1097">
        <v>0.10100000000000001</v>
      </c>
      <c r="E124" s="1097">
        <v>0.08</v>
      </c>
      <c r="F124" s="1102"/>
    </row>
    <row r="125" spans="1:6" ht="14.25" thickBot="1">
      <c r="A125" s="854" t="s">
        <v>70</v>
      </c>
      <c r="B125" s="848" t="s">
        <v>304</v>
      </c>
      <c r="C125" s="1097">
        <v>0.13</v>
      </c>
      <c r="D125" s="1097">
        <v>0.13</v>
      </c>
      <c r="E125" s="1097">
        <v>0.129</v>
      </c>
      <c r="F125" s="1102"/>
    </row>
    <row r="126" spans="1:6" ht="14.25" thickBot="1">
      <c r="A126" s="854" t="s">
        <v>70</v>
      </c>
      <c r="B126" s="848" t="s">
        <v>314</v>
      </c>
      <c r="C126" s="1097">
        <v>0.13</v>
      </c>
      <c r="D126" s="1097">
        <v>0.13</v>
      </c>
      <c r="E126" s="1097">
        <v>0.126</v>
      </c>
      <c r="F126" s="1102"/>
    </row>
    <row r="127" spans="1:6" ht="14.25" thickBot="1">
      <c r="A127" s="854" t="s">
        <v>70</v>
      </c>
      <c r="B127" s="848" t="s">
        <v>324</v>
      </c>
      <c r="C127" s="1097">
        <v>0.125</v>
      </c>
      <c r="D127" s="1097">
        <v>0.125</v>
      </c>
      <c r="E127" s="1097">
        <v>0.121</v>
      </c>
      <c r="F127" s="1102"/>
    </row>
    <row r="128" spans="1:6" ht="14.25" thickBot="1">
      <c r="A128" s="854" t="s">
        <v>70</v>
      </c>
      <c r="B128" s="848" t="s">
        <v>334</v>
      </c>
      <c r="C128" s="1097">
        <v>0.12</v>
      </c>
      <c r="D128" s="1097">
        <v>0.12</v>
      </c>
      <c r="E128" s="1097">
        <v>0.105</v>
      </c>
      <c r="F128" s="1102"/>
    </row>
    <row r="129" spans="1:6" ht="14.25" thickBot="1">
      <c r="A129" s="854" t="s">
        <v>70</v>
      </c>
      <c r="B129" s="848" t="s">
        <v>343</v>
      </c>
      <c r="C129" s="1097">
        <v>0.13</v>
      </c>
      <c r="D129" s="1097">
        <v>0.13</v>
      </c>
      <c r="E129" s="1097">
        <v>0.126</v>
      </c>
      <c r="F129" s="1102"/>
    </row>
    <row r="130" spans="1:6" ht="14.25" thickBot="1">
      <c r="A130" s="854" t="s">
        <v>70</v>
      </c>
      <c r="B130" s="848" t="s">
        <v>352</v>
      </c>
      <c r="C130" s="1097">
        <v>0.125</v>
      </c>
      <c r="D130" s="1097">
        <v>0.125</v>
      </c>
      <c r="E130" s="1097">
        <v>0.122</v>
      </c>
      <c r="F130" s="1102"/>
    </row>
    <row r="131" spans="1:6" ht="14.25" thickBot="1">
      <c r="A131" s="854" t="s">
        <v>70</v>
      </c>
      <c r="B131" s="848" t="s">
        <v>360</v>
      </c>
      <c r="C131" s="1097">
        <v>0.127</v>
      </c>
      <c r="D131" s="1097">
        <v>0.126</v>
      </c>
      <c r="E131" s="1097">
        <v>0.123</v>
      </c>
      <c r="F131" s="1102"/>
    </row>
    <row r="132" spans="1:6" ht="14.25" thickBot="1">
      <c r="A132" s="854" t="s">
        <v>70</v>
      </c>
      <c r="B132" s="848" t="s">
        <v>367</v>
      </c>
      <c r="C132" s="1097">
        <v>9.0999999999999998E-2</v>
      </c>
      <c r="D132" s="1097">
        <v>0.121</v>
      </c>
      <c r="E132" s="1097">
        <v>9.9000000000000005E-2</v>
      </c>
      <c r="F132" s="1102"/>
    </row>
    <row r="133" spans="1:6" ht="14.25" thickBot="1">
      <c r="A133" s="854" t="s">
        <v>70</v>
      </c>
      <c r="B133" s="848" t="s">
        <v>374</v>
      </c>
      <c r="C133" s="1097">
        <v>0.13</v>
      </c>
      <c r="D133" s="1097">
        <v>0.13</v>
      </c>
      <c r="E133" s="1097">
        <v>0.129</v>
      </c>
      <c r="F133" s="1102"/>
    </row>
    <row r="134" spans="1:6" ht="14.25" thickBot="1">
      <c r="A134" s="854" t="s">
        <v>70</v>
      </c>
      <c r="B134" s="848" t="s">
        <v>811</v>
      </c>
      <c r="C134" s="1097">
        <v>6.8000000000000005E-2</v>
      </c>
      <c r="D134" s="1097">
        <v>6.5000000000000002E-2</v>
      </c>
      <c r="E134" s="1097">
        <v>6.5000000000000002E-2</v>
      </c>
      <c r="F134" s="1098">
        <v>0.13</v>
      </c>
    </row>
    <row r="135" spans="1:6" ht="14.25" thickBot="1">
      <c r="A135" s="854" t="s">
        <v>70</v>
      </c>
      <c r="B135" s="848" t="s">
        <v>388</v>
      </c>
      <c r="C135" s="1097">
        <v>0.123</v>
      </c>
      <c r="D135" s="1097">
        <v>0.123</v>
      </c>
      <c r="E135" s="1097">
        <v>0.11</v>
      </c>
      <c r="F135" s="1102"/>
    </row>
    <row r="136" spans="1:6" ht="14.25" thickBot="1">
      <c r="A136" s="854" t="s">
        <v>70</v>
      </c>
      <c r="B136" s="848" t="s">
        <v>395</v>
      </c>
      <c r="C136" s="1097">
        <v>0.13</v>
      </c>
      <c r="D136" s="1097">
        <v>0.13</v>
      </c>
      <c r="E136" s="1097">
        <v>0.125</v>
      </c>
      <c r="F136" s="1102"/>
    </row>
    <row r="137" spans="1:6" ht="14.25" thickBot="1">
      <c r="A137" s="854" t="s">
        <v>70</v>
      </c>
      <c r="B137" s="848" t="s">
        <v>402</v>
      </c>
      <c r="C137" s="1097">
        <v>0.121</v>
      </c>
      <c r="D137" s="1097">
        <v>0.122</v>
      </c>
      <c r="E137" s="1097">
        <v>0.115</v>
      </c>
      <c r="F137" s="1102"/>
    </row>
    <row r="138" spans="1:6" ht="14.25" thickBot="1">
      <c r="A138" s="854" t="s">
        <v>70</v>
      </c>
      <c r="B138" s="848" t="s">
        <v>812</v>
      </c>
      <c r="C138" s="1097">
        <v>0.105</v>
      </c>
      <c r="D138" s="1097">
        <v>0.125</v>
      </c>
      <c r="E138" s="1097">
        <v>0.112</v>
      </c>
      <c r="F138" s="1102"/>
    </row>
    <row r="139" spans="1:6" ht="14.25" thickBot="1">
      <c r="A139" s="854" t="s">
        <v>70</v>
      </c>
      <c r="B139" s="848" t="s">
        <v>813</v>
      </c>
      <c r="C139" s="1097">
        <v>0.127</v>
      </c>
      <c r="D139" s="1097">
        <v>0.127</v>
      </c>
      <c r="E139" s="1097">
        <v>0.122</v>
      </c>
      <c r="F139" s="1098">
        <v>0.13</v>
      </c>
    </row>
    <row r="140" spans="1:6" ht="14.25" thickBot="1">
      <c r="A140" s="854" t="s">
        <v>70</v>
      </c>
      <c r="B140" s="848" t="s">
        <v>814</v>
      </c>
      <c r="C140" s="1097">
        <v>0.125</v>
      </c>
      <c r="D140" s="1097">
        <v>0.125</v>
      </c>
      <c r="E140" s="1097">
        <v>0.11899999999999999</v>
      </c>
      <c r="F140" s="1098">
        <v>0.13</v>
      </c>
    </row>
    <row r="141" spans="1:6" ht="14.25" thickBot="1">
      <c r="A141" s="854" t="s">
        <v>70</v>
      </c>
      <c r="B141" s="848" t="s">
        <v>421</v>
      </c>
      <c r="C141" s="1097">
        <v>0.125</v>
      </c>
      <c r="D141" s="1097">
        <v>0.125</v>
      </c>
      <c r="E141" s="1097">
        <v>0.11700000000000001</v>
      </c>
      <c r="F141" s="1102"/>
    </row>
    <row r="142" spans="1:6" ht="14.25" thickBot="1">
      <c r="A142" s="854" t="s">
        <v>70</v>
      </c>
      <c r="B142" s="848" t="s">
        <v>426</v>
      </c>
      <c r="C142" s="1097">
        <v>0.125</v>
      </c>
      <c r="D142" s="1097">
        <v>0.125</v>
      </c>
      <c r="E142" s="1097">
        <v>0.115</v>
      </c>
      <c r="F142" s="1102"/>
    </row>
    <row r="143" spans="1:6" ht="14.25" thickBot="1">
      <c r="A143" s="854" t="s">
        <v>70</v>
      </c>
      <c r="B143" s="848" t="s">
        <v>431</v>
      </c>
      <c r="C143" s="1097">
        <v>0.121</v>
      </c>
      <c r="D143" s="1097">
        <v>0.121</v>
      </c>
      <c r="E143" s="1097">
        <v>0.108</v>
      </c>
      <c r="F143" s="1102"/>
    </row>
    <row r="144" spans="1:6" ht="14.25" thickBot="1">
      <c r="A144" s="854" t="s">
        <v>70</v>
      </c>
      <c r="B144" s="1105" t="s">
        <v>815</v>
      </c>
      <c r="C144" s="1106">
        <v>0.126</v>
      </c>
      <c r="D144" s="1106">
        <v>0.126</v>
      </c>
      <c r="E144" s="1106">
        <v>0.121</v>
      </c>
      <c r="F144" s="1102"/>
    </row>
    <row r="145" spans="1:6" ht="14.25" thickBot="1">
      <c r="A145" s="871" t="s">
        <v>70</v>
      </c>
      <c r="B145" s="1107" t="s">
        <v>816</v>
      </c>
      <c r="C145" s="1108"/>
      <c r="D145" s="1108"/>
      <c r="E145" s="1108"/>
      <c r="F145" s="1109">
        <v>0.05</v>
      </c>
    </row>
    <row r="146" spans="1:6" ht="24.75" thickBot="1">
      <c r="A146" s="1110" t="s">
        <v>70</v>
      </c>
      <c r="B146" s="862" t="s">
        <v>817</v>
      </c>
      <c r="C146" s="1103"/>
      <c r="D146" s="1103"/>
      <c r="E146" s="1103"/>
      <c r="F146" s="1111">
        <v>0.05</v>
      </c>
    </row>
    <row r="147" spans="1:6" ht="24.75" thickBot="1">
      <c r="A147" s="854" t="s">
        <v>70</v>
      </c>
      <c r="B147" s="848" t="s">
        <v>818</v>
      </c>
      <c r="C147" s="1103"/>
      <c r="D147" s="1103"/>
      <c r="E147" s="1103"/>
      <c r="F147" s="1098">
        <v>0.05</v>
      </c>
    </row>
    <row r="148" spans="1:6" ht="24.75" thickBot="1">
      <c r="A148" s="854" t="s">
        <v>70</v>
      </c>
      <c r="B148" s="848" t="s">
        <v>819</v>
      </c>
      <c r="C148" s="1103"/>
      <c r="D148" s="1103"/>
      <c r="E148" s="1103"/>
      <c r="F148" s="1098">
        <v>0.05</v>
      </c>
    </row>
    <row r="149" spans="1:6" ht="24.75" thickBot="1">
      <c r="A149" s="854" t="s">
        <v>70</v>
      </c>
      <c r="B149" s="848" t="s">
        <v>820</v>
      </c>
      <c r="C149" s="1103"/>
      <c r="D149" s="1103"/>
      <c r="E149" s="1103"/>
      <c r="F149" s="1098">
        <v>0.05</v>
      </c>
    </row>
    <row r="150" spans="1:6" ht="24.75" thickBot="1">
      <c r="A150" s="854" t="s">
        <v>70</v>
      </c>
      <c r="B150" s="848" t="s">
        <v>821</v>
      </c>
      <c r="C150" s="1103"/>
      <c r="D150" s="1103"/>
      <c r="E150" s="1103"/>
      <c r="F150" s="1098">
        <v>0.05</v>
      </c>
    </row>
    <row r="151" spans="1:6" ht="24.75" thickBot="1">
      <c r="A151" s="854" t="s">
        <v>70</v>
      </c>
      <c r="B151" s="848" t="s">
        <v>822</v>
      </c>
      <c r="C151" s="1103"/>
      <c r="D151" s="1103"/>
      <c r="E151" s="1103"/>
      <c r="F151" s="1098">
        <v>0.05</v>
      </c>
    </row>
    <row r="152" spans="1:6" ht="24.75" thickBot="1">
      <c r="A152" s="854" t="s">
        <v>70</v>
      </c>
      <c r="B152" s="848" t="s">
        <v>464</v>
      </c>
      <c r="C152" s="1103"/>
      <c r="D152" s="1103"/>
      <c r="E152" s="1103"/>
      <c r="F152" s="1098">
        <v>0.05</v>
      </c>
    </row>
    <row r="153" spans="1:6" ht="14.25" thickBot="1">
      <c r="A153" s="854" t="s">
        <v>70</v>
      </c>
      <c r="B153" s="848" t="s">
        <v>823</v>
      </c>
      <c r="C153" s="1103"/>
      <c r="D153" s="1103"/>
      <c r="E153" s="1103"/>
      <c r="F153" s="1098">
        <v>0.05</v>
      </c>
    </row>
    <row r="154" spans="1:6" ht="14.25" thickBot="1">
      <c r="A154" s="854" t="s">
        <v>70</v>
      </c>
      <c r="B154" s="848" t="s">
        <v>824</v>
      </c>
      <c r="C154" s="1103"/>
      <c r="D154" s="1103"/>
      <c r="E154" s="1103"/>
      <c r="F154" s="1098">
        <v>0.05</v>
      </c>
    </row>
    <row r="155" spans="1:6" ht="24.75" thickBot="1">
      <c r="A155" s="854" t="s">
        <v>70</v>
      </c>
      <c r="B155" s="848" t="s">
        <v>825</v>
      </c>
      <c r="C155" s="1103"/>
      <c r="D155" s="1103"/>
      <c r="E155" s="1103"/>
      <c r="F155" s="1098">
        <v>0.05</v>
      </c>
    </row>
    <row r="156" spans="1:6" ht="24.75" thickBot="1">
      <c r="A156" s="854" t="s">
        <v>70</v>
      </c>
      <c r="B156" s="848" t="s">
        <v>826</v>
      </c>
      <c r="C156" s="1103"/>
      <c r="D156" s="1103"/>
      <c r="E156" s="1103"/>
      <c r="F156" s="1098">
        <v>0.05</v>
      </c>
    </row>
    <row r="157" spans="1:6" ht="14.25" thickBot="1">
      <c r="A157" s="871" t="s">
        <v>70</v>
      </c>
      <c r="B157" s="864" t="s">
        <v>827</v>
      </c>
      <c r="C157" s="1100"/>
      <c r="D157" s="1100"/>
      <c r="E157" s="1100"/>
      <c r="F157" s="1104">
        <v>0.05</v>
      </c>
    </row>
    <row r="158" spans="1:6" ht="14.25" thickBot="1">
      <c r="A158" s="854" t="s">
        <v>483</v>
      </c>
      <c r="B158" s="855" t="s">
        <v>828</v>
      </c>
      <c r="C158" s="1095">
        <v>0.13</v>
      </c>
      <c r="D158" s="1095">
        <v>0.13</v>
      </c>
      <c r="E158" s="1095">
        <v>0.13</v>
      </c>
      <c r="F158" s="1096">
        <v>0.13</v>
      </c>
    </row>
    <row r="159" spans="1:6" ht="14.25" thickBot="1">
      <c r="A159" s="854" t="s">
        <v>483</v>
      </c>
      <c r="B159" s="848" t="s">
        <v>142</v>
      </c>
      <c r="C159" s="1097">
        <v>0.13</v>
      </c>
      <c r="D159" s="1097">
        <v>0.13</v>
      </c>
      <c r="E159" s="1097">
        <v>0.13</v>
      </c>
      <c r="F159" s="1098">
        <v>0.13</v>
      </c>
    </row>
    <row r="160" spans="1:6" ht="14.25" thickBot="1">
      <c r="A160" s="854" t="s">
        <v>483</v>
      </c>
      <c r="B160" s="848" t="s">
        <v>155</v>
      </c>
      <c r="C160" s="1097">
        <v>0.13</v>
      </c>
      <c r="D160" s="1097">
        <v>0.13</v>
      </c>
      <c r="E160" s="1097">
        <v>0.129</v>
      </c>
      <c r="F160" s="1098">
        <v>0.13</v>
      </c>
    </row>
    <row r="161" spans="1:6" ht="14.25" thickBot="1">
      <c r="A161" s="854" t="s">
        <v>483</v>
      </c>
      <c r="B161" s="848" t="s">
        <v>168</v>
      </c>
      <c r="C161" s="1097">
        <v>0.128</v>
      </c>
      <c r="D161" s="1097">
        <v>0.128</v>
      </c>
      <c r="E161" s="1097">
        <v>0.125</v>
      </c>
      <c r="F161" s="1098">
        <v>0.13</v>
      </c>
    </row>
    <row r="162" spans="1:6" ht="14.25" thickBot="1">
      <c r="A162" s="854" t="s">
        <v>483</v>
      </c>
      <c r="B162" s="848" t="s">
        <v>180</v>
      </c>
      <c r="C162" s="1097">
        <v>0.122</v>
      </c>
      <c r="D162" s="1097">
        <v>0.122</v>
      </c>
      <c r="E162" s="1097">
        <v>0.126</v>
      </c>
      <c r="F162" s="1098">
        <v>0.122</v>
      </c>
    </row>
    <row r="163" spans="1:6" ht="14.25" thickBot="1">
      <c r="A163" s="854" t="s">
        <v>483</v>
      </c>
      <c r="B163" s="848" t="s">
        <v>192</v>
      </c>
      <c r="C163" s="1097">
        <v>0.13</v>
      </c>
      <c r="D163" s="1097">
        <v>0.13</v>
      </c>
      <c r="E163" s="1097">
        <v>0.125</v>
      </c>
      <c r="F163" s="1098">
        <v>0.13</v>
      </c>
    </row>
    <row r="164" spans="1:6" ht="14.25" thickBot="1">
      <c r="A164" s="854" t="s">
        <v>483</v>
      </c>
      <c r="B164" s="848" t="s">
        <v>204</v>
      </c>
      <c r="C164" s="1097">
        <v>0.13</v>
      </c>
      <c r="D164" s="1097">
        <v>0.13</v>
      </c>
      <c r="E164" s="1097">
        <v>0.13</v>
      </c>
      <c r="F164" s="1098">
        <v>0.13</v>
      </c>
    </row>
    <row r="165" spans="1:6" ht="14.25" thickBot="1">
      <c r="A165" s="854" t="s">
        <v>483</v>
      </c>
      <c r="B165" s="848" t="s">
        <v>216</v>
      </c>
      <c r="C165" s="1097">
        <v>0.13</v>
      </c>
      <c r="D165" s="1097">
        <v>0.13</v>
      </c>
      <c r="E165" s="1097">
        <v>0.124</v>
      </c>
      <c r="F165" s="1098">
        <v>0.13</v>
      </c>
    </row>
    <row r="166" spans="1:6" ht="14.25" thickBot="1">
      <c r="A166" s="854" t="s">
        <v>483</v>
      </c>
      <c r="B166" s="848" t="s">
        <v>229</v>
      </c>
      <c r="C166" s="1097">
        <v>0.13</v>
      </c>
      <c r="D166" s="1097">
        <v>0.13</v>
      </c>
      <c r="E166" s="1097">
        <v>0.13</v>
      </c>
      <c r="F166" s="1098">
        <v>0.13</v>
      </c>
    </row>
    <row r="167" spans="1:6" ht="14.25" thickBot="1">
      <c r="A167" s="854" t="s">
        <v>483</v>
      </c>
      <c r="B167" s="848" t="s">
        <v>240</v>
      </c>
      <c r="C167" s="1097">
        <v>0.125</v>
      </c>
      <c r="D167" s="1097">
        <v>0.125</v>
      </c>
      <c r="E167" s="1097">
        <v>0.121</v>
      </c>
      <c r="F167" s="1102"/>
    </row>
    <row r="168" spans="1:6" ht="14.25" thickBot="1">
      <c r="A168" s="854" t="s">
        <v>483</v>
      </c>
      <c r="B168" s="848" t="s">
        <v>251</v>
      </c>
      <c r="C168" s="1097">
        <v>0.13</v>
      </c>
      <c r="D168" s="1097">
        <v>0.13</v>
      </c>
      <c r="E168" s="1097">
        <v>0.126</v>
      </c>
      <c r="F168" s="1102"/>
    </row>
    <row r="169" spans="1:6" ht="14.25" thickBot="1">
      <c r="A169" s="854" t="s">
        <v>483</v>
      </c>
      <c r="B169" s="848" t="s">
        <v>262</v>
      </c>
      <c r="C169" s="1097">
        <v>0.128</v>
      </c>
      <c r="D169" s="1097">
        <v>0.129</v>
      </c>
      <c r="E169" s="1097">
        <v>0.13</v>
      </c>
      <c r="F169" s="1102"/>
    </row>
    <row r="170" spans="1:6" ht="14.25" thickBot="1">
      <c r="A170" s="854" t="s">
        <v>483</v>
      </c>
      <c r="B170" s="848" t="s">
        <v>273</v>
      </c>
      <c r="C170" s="1097">
        <v>0.14099999999999999</v>
      </c>
      <c r="D170" s="1097">
        <v>0.13</v>
      </c>
      <c r="E170" s="1097">
        <v>0.125</v>
      </c>
      <c r="F170" s="1102"/>
    </row>
    <row r="171" spans="1:6" ht="14.25" thickBot="1">
      <c r="A171" s="854" t="s">
        <v>483</v>
      </c>
      <c r="B171" s="848" t="s">
        <v>829</v>
      </c>
      <c r="C171" s="1097">
        <v>0.127</v>
      </c>
      <c r="D171" s="1097">
        <v>0.126</v>
      </c>
      <c r="E171" s="1097">
        <v>0.126</v>
      </c>
      <c r="F171" s="1098">
        <v>0.11799999999999999</v>
      </c>
    </row>
    <row r="172" spans="1:6" ht="14.25" thickBot="1">
      <c r="A172" s="854" t="s">
        <v>483</v>
      </c>
      <c r="B172" s="848" t="s">
        <v>830</v>
      </c>
      <c r="C172" s="1097">
        <v>0.13</v>
      </c>
      <c r="D172" s="1097">
        <v>0.13</v>
      </c>
      <c r="E172" s="1097">
        <v>0.13</v>
      </c>
      <c r="F172" s="1102"/>
    </row>
    <row r="173" spans="1:6" ht="14.25" thickBot="1">
      <c r="A173" s="854" t="s">
        <v>483</v>
      </c>
      <c r="B173" s="848" t="s">
        <v>305</v>
      </c>
      <c r="C173" s="1097">
        <v>0.13</v>
      </c>
      <c r="D173" s="1097">
        <v>0.13</v>
      </c>
      <c r="E173" s="1097">
        <v>0.13</v>
      </c>
      <c r="F173" s="1102"/>
    </row>
    <row r="174" spans="1:6" ht="14.25" thickBot="1">
      <c r="A174" s="854" t="s">
        <v>483</v>
      </c>
      <c r="B174" s="848" t="s">
        <v>831</v>
      </c>
      <c r="C174" s="1097">
        <v>0.13</v>
      </c>
      <c r="D174" s="1097">
        <v>0.13</v>
      </c>
      <c r="E174" s="1097">
        <v>0.13</v>
      </c>
      <c r="F174" s="1098">
        <v>0.13</v>
      </c>
    </row>
    <row r="175" spans="1:6" ht="14.25" thickBot="1">
      <c r="A175" s="854" t="s">
        <v>483</v>
      </c>
      <c r="B175" s="848" t="s">
        <v>832</v>
      </c>
      <c r="C175" s="1097">
        <v>0.13</v>
      </c>
      <c r="D175" s="1097">
        <v>0.13</v>
      </c>
      <c r="E175" s="1097">
        <v>0.13</v>
      </c>
      <c r="F175" s="1098">
        <v>0.13</v>
      </c>
    </row>
    <row r="176" spans="1:6" ht="14.25" thickBot="1">
      <c r="A176" s="854" t="s">
        <v>483</v>
      </c>
      <c r="B176" s="848" t="s">
        <v>335</v>
      </c>
      <c r="C176" s="1097">
        <v>0.13</v>
      </c>
      <c r="D176" s="1097">
        <v>0.13</v>
      </c>
      <c r="E176" s="1097">
        <v>0.13</v>
      </c>
      <c r="F176" s="1098">
        <v>0.13</v>
      </c>
    </row>
    <row r="177" spans="1:6" ht="14.25" thickBot="1">
      <c r="A177" s="854" t="s">
        <v>483</v>
      </c>
      <c r="B177" s="848" t="s">
        <v>833</v>
      </c>
      <c r="C177" s="1097">
        <v>0.13</v>
      </c>
      <c r="D177" s="1097">
        <v>0.13</v>
      </c>
      <c r="E177" s="1097">
        <v>0.13</v>
      </c>
      <c r="F177" s="1098">
        <v>0.13</v>
      </c>
    </row>
    <row r="178" spans="1:6" ht="14.25" thickBot="1">
      <c r="A178" s="854" t="s">
        <v>483</v>
      </c>
      <c r="B178" s="848" t="s">
        <v>353</v>
      </c>
      <c r="C178" s="1097">
        <v>0.13</v>
      </c>
      <c r="D178" s="1097">
        <v>0.13</v>
      </c>
      <c r="E178" s="1097">
        <v>0.13</v>
      </c>
      <c r="F178" s="1098">
        <v>0.127</v>
      </c>
    </row>
    <row r="179" spans="1:6" ht="14.25" thickBot="1">
      <c r="A179" s="854" t="s">
        <v>483</v>
      </c>
      <c r="B179" s="848" t="s">
        <v>361</v>
      </c>
      <c r="C179" s="1097">
        <v>0.13</v>
      </c>
      <c r="D179" s="1097">
        <v>0.13</v>
      </c>
      <c r="E179" s="1097">
        <v>0.13</v>
      </c>
      <c r="F179" s="1102"/>
    </row>
    <row r="180" spans="1:6" ht="14.25" thickBot="1">
      <c r="A180" s="854" t="s">
        <v>483</v>
      </c>
      <c r="B180" s="848" t="s">
        <v>834</v>
      </c>
      <c r="C180" s="1097">
        <v>0.13</v>
      </c>
      <c r="D180" s="1097">
        <v>0.13</v>
      </c>
      <c r="E180" s="1097">
        <v>0.125</v>
      </c>
      <c r="F180" s="1098">
        <v>0.13</v>
      </c>
    </row>
    <row r="181" spans="1:6" ht="14.25" thickBot="1">
      <c r="A181" s="854" t="s">
        <v>483</v>
      </c>
      <c r="B181" s="848" t="s">
        <v>375</v>
      </c>
      <c r="C181" s="1097">
        <v>0.122</v>
      </c>
      <c r="D181" s="1097">
        <v>0.123</v>
      </c>
      <c r="E181" s="1097">
        <v>0.126</v>
      </c>
      <c r="F181" s="1098">
        <v>0.121</v>
      </c>
    </row>
    <row r="182" spans="1:6" ht="14.25" thickBot="1">
      <c r="A182" s="854" t="s">
        <v>483</v>
      </c>
      <c r="B182" s="848" t="s">
        <v>382</v>
      </c>
      <c r="C182" s="1097">
        <v>0.125</v>
      </c>
      <c r="D182" s="1097">
        <v>0.125</v>
      </c>
      <c r="E182" s="1097">
        <v>0.11700000000000001</v>
      </c>
      <c r="F182" s="1098">
        <v>0.13</v>
      </c>
    </row>
    <row r="183" spans="1:6" ht="14.25" thickBot="1">
      <c r="A183" s="854" t="s">
        <v>483</v>
      </c>
      <c r="B183" s="848" t="s">
        <v>389</v>
      </c>
      <c r="C183" s="1097">
        <v>0.127</v>
      </c>
      <c r="D183" s="1097">
        <v>0.127</v>
      </c>
      <c r="E183" s="1097">
        <v>0.128</v>
      </c>
      <c r="F183" s="1102"/>
    </row>
    <row r="184" spans="1:6" ht="14.25" thickBot="1">
      <c r="A184" s="854" t="s">
        <v>483</v>
      </c>
      <c r="B184" s="848" t="s">
        <v>396</v>
      </c>
      <c r="C184" s="1097">
        <v>0.125</v>
      </c>
      <c r="D184" s="1097">
        <v>0.125</v>
      </c>
      <c r="E184" s="1097">
        <v>0.127</v>
      </c>
      <c r="F184" s="1102"/>
    </row>
    <row r="185" spans="1:6" ht="14.25" thickBot="1">
      <c r="A185" s="854" t="s">
        <v>483</v>
      </c>
      <c r="B185" s="848" t="s">
        <v>835</v>
      </c>
      <c r="C185" s="1097">
        <v>0.127</v>
      </c>
      <c r="D185" s="1097">
        <v>0.127</v>
      </c>
      <c r="E185" s="1097">
        <v>0.128</v>
      </c>
      <c r="F185" s="1098">
        <v>0.13</v>
      </c>
    </row>
    <row r="186" spans="1:6" ht="24.75" thickBot="1">
      <c r="A186" s="854" t="s">
        <v>483</v>
      </c>
      <c r="B186" s="848" t="s">
        <v>836</v>
      </c>
      <c r="C186" s="1103"/>
      <c r="D186" s="1103"/>
      <c r="E186" s="1103"/>
      <c r="F186" s="1098">
        <v>0.05</v>
      </c>
    </row>
    <row r="187" spans="1:6" ht="14.25" thickBot="1">
      <c r="A187" s="854" t="s">
        <v>483</v>
      </c>
      <c r="B187" s="848" t="s">
        <v>837</v>
      </c>
      <c r="C187" s="1103"/>
      <c r="D187" s="1103"/>
      <c r="E187" s="1103"/>
      <c r="F187" s="1098">
        <v>0.05</v>
      </c>
    </row>
    <row r="188" spans="1:6" ht="14.25" thickBot="1">
      <c r="A188" s="854" t="s">
        <v>483</v>
      </c>
      <c r="B188" s="848" t="s">
        <v>838</v>
      </c>
      <c r="C188" s="1103"/>
      <c r="D188" s="1103"/>
      <c r="E188" s="1103"/>
      <c r="F188" s="1098">
        <v>0.05</v>
      </c>
    </row>
    <row r="189" spans="1:6" ht="24.75" thickBot="1">
      <c r="A189" s="854" t="s">
        <v>483</v>
      </c>
      <c r="B189" s="848" t="s">
        <v>839</v>
      </c>
      <c r="C189" s="1103"/>
      <c r="D189" s="1103"/>
      <c r="E189" s="1103"/>
      <c r="F189" s="1098">
        <v>0.05</v>
      </c>
    </row>
    <row r="190" spans="1:6" ht="24.75" thickBot="1">
      <c r="A190" s="854" t="s">
        <v>483</v>
      </c>
      <c r="B190" s="848" t="s">
        <v>840</v>
      </c>
      <c r="C190" s="1103"/>
      <c r="D190" s="1103"/>
      <c r="E190" s="1103"/>
      <c r="F190" s="1098">
        <v>0.05</v>
      </c>
    </row>
    <row r="191" spans="1:6" ht="24.75" thickBot="1">
      <c r="A191" s="854" t="s">
        <v>483</v>
      </c>
      <c r="B191" s="848" t="s">
        <v>841</v>
      </c>
      <c r="C191" s="1103"/>
      <c r="D191" s="1103"/>
      <c r="E191" s="1103"/>
      <c r="F191" s="1098">
        <v>0.05</v>
      </c>
    </row>
    <row r="192" spans="1:6" ht="24.75" thickBot="1">
      <c r="A192" s="854" t="s">
        <v>483</v>
      </c>
      <c r="B192" s="848" t="s">
        <v>842</v>
      </c>
      <c r="C192" s="1103"/>
      <c r="D192" s="1103"/>
      <c r="E192" s="1103"/>
      <c r="F192" s="1098">
        <v>0.05</v>
      </c>
    </row>
    <row r="193" spans="1:6" ht="24.75" thickBot="1">
      <c r="A193" s="854" t="s">
        <v>483</v>
      </c>
      <c r="B193" s="848" t="s">
        <v>843</v>
      </c>
      <c r="C193" s="1103"/>
      <c r="D193" s="1103"/>
      <c r="E193" s="1103"/>
      <c r="F193" s="1098">
        <v>0.05</v>
      </c>
    </row>
    <row r="194" spans="1:6" ht="24.75" thickBot="1">
      <c r="A194" s="854" t="s">
        <v>483</v>
      </c>
      <c r="B194" s="848" t="s">
        <v>844</v>
      </c>
      <c r="C194" s="1103"/>
      <c r="D194" s="1103"/>
      <c r="E194" s="1103"/>
      <c r="F194" s="1098">
        <v>0.05</v>
      </c>
    </row>
    <row r="195" spans="1:6" ht="14.25" thickBot="1">
      <c r="A195" s="854" t="s">
        <v>483</v>
      </c>
      <c r="B195" s="848" t="s">
        <v>845</v>
      </c>
      <c r="C195" s="1103"/>
      <c r="D195" s="1103"/>
      <c r="E195" s="1103"/>
      <c r="F195" s="1098">
        <v>0.05</v>
      </c>
    </row>
    <row r="196" spans="1:6" ht="24.75" thickBot="1">
      <c r="A196" s="854" t="s">
        <v>483</v>
      </c>
      <c r="B196" s="848" t="s">
        <v>846</v>
      </c>
      <c r="C196" s="1103"/>
      <c r="D196" s="1103"/>
      <c r="E196" s="1103"/>
      <c r="F196" s="1098">
        <v>0.05</v>
      </c>
    </row>
    <row r="197" spans="1:6" ht="24.75" thickBot="1">
      <c r="A197" s="854" t="s">
        <v>483</v>
      </c>
      <c r="B197" s="848" t="s">
        <v>847</v>
      </c>
      <c r="C197" s="1103"/>
      <c r="D197" s="1103"/>
      <c r="E197" s="1103"/>
      <c r="F197" s="1098">
        <v>0.05</v>
      </c>
    </row>
    <row r="198" spans="1:6" ht="24.75" thickBot="1">
      <c r="A198" s="854" t="s">
        <v>483</v>
      </c>
      <c r="B198" s="848" t="s">
        <v>848</v>
      </c>
      <c r="C198" s="1103"/>
      <c r="D198" s="1103"/>
      <c r="E198" s="1103"/>
      <c r="F198" s="1098">
        <v>0.05</v>
      </c>
    </row>
    <row r="199" spans="1:6" ht="24.75" thickBot="1">
      <c r="A199" s="854" t="s">
        <v>483</v>
      </c>
      <c r="B199" s="848" t="s">
        <v>849</v>
      </c>
      <c r="C199" s="1103"/>
      <c r="D199" s="1103"/>
      <c r="E199" s="1103"/>
      <c r="F199" s="1098">
        <v>0.05</v>
      </c>
    </row>
    <row r="200" spans="1:6" ht="24.75" thickBot="1">
      <c r="A200" s="854" t="s">
        <v>483</v>
      </c>
      <c r="B200" s="848" t="s">
        <v>850</v>
      </c>
      <c r="C200" s="1103"/>
      <c r="D200" s="1103"/>
      <c r="E200" s="1103"/>
      <c r="F200" s="1098">
        <v>0.05</v>
      </c>
    </row>
    <row r="201" spans="1:6" ht="24.75" thickBot="1">
      <c r="A201" s="854" t="s">
        <v>483</v>
      </c>
      <c r="B201" s="848" t="s">
        <v>851</v>
      </c>
      <c r="C201" s="1103"/>
      <c r="D201" s="1103"/>
      <c r="E201" s="1103"/>
      <c r="F201" s="1098">
        <v>0.05</v>
      </c>
    </row>
    <row r="202" spans="1:6" ht="24.75" thickBot="1">
      <c r="A202" s="854" t="s">
        <v>483</v>
      </c>
      <c r="B202" s="848" t="s">
        <v>852</v>
      </c>
      <c r="C202" s="1103"/>
      <c r="D202" s="1103"/>
      <c r="E202" s="1103"/>
      <c r="F202" s="1098">
        <v>0.05</v>
      </c>
    </row>
    <row r="203" spans="1:6" ht="24.75" thickBot="1">
      <c r="A203" s="854" t="s">
        <v>483</v>
      </c>
      <c r="B203" s="848" t="s">
        <v>853</v>
      </c>
      <c r="C203" s="1103"/>
      <c r="D203" s="1103"/>
      <c r="E203" s="1103"/>
      <c r="F203" s="1098">
        <v>0.05</v>
      </c>
    </row>
    <row r="204" spans="1:6" ht="14.25" thickBot="1">
      <c r="A204" s="854" t="s">
        <v>483</v>
      </c>
      <c r="B204" s="848" t="s">
        <v>854</v>
      </c>
      <c r="C204" s="1103"/>
      <c r="D204" s="1103"/>
      <c r="E204" s="1103"/>
      <c r="F204" s="1098">
        <v>0.05</v>
      </c>
    </row>
    <row r="205" spans="1:6" ht="14.25" thickBot="1">
      <c r="A205" s="871" t="s">
        <v>483</v>
      </c>
      <c r="B205" s="864" t="s">
        <v>855</v>
      </c>
      <c r="C205" s="1100"/>
      <c r="D205" s="1100"/>
      <c r="E205" s="1100"/>
      <c r="F205" s="1104">
        <v>0.05</v>
      </c>
    </row>
    <row r="206" spans="1:6" ht="14.25" thickBot="1">
      <c r="A206" s="854" t="s">
        <v>485</v>
      </c>
      <c r="B206" s="855" t="s">
        <v>856</v>
      </c>
      <c r="C206" s="1095">
        <v>0.15</v>
      </c>
      <c r="D206" s="1095">
        <v>0.15</v>
      </c>
      <c r="E206" s="1095">
        <v>0.15</v>
      </c>
      <c r="F206" s="1096">
        <v>0.15</v>
      </c>
    </row>
    <row r="207" spans="1:6" ht="14.25" thickBot="1">
      <c r="A207" s="854" t="s">
        <v>485</v>
      </c>
      <c r="B207" s="848" t="s">
        <v>143</v>
      </c>
      <c r="C207" s="1097">
        <v>0.15</v>
      </c>
      <c r="D207" s="1097">
        <v>0.15</v>
      </c>
      <c r="E207" s="1097">
        <v>0.15</v>
      </c>
      <c r="F207" s="1098">
        <v>0.14399999999999999</v>
      </c>
    </row>
    <row r="208" spans="1:6" ht="14.25" thickBot="1">
      <c r="A208" s="854" t="s">
        <v>485</v>
      </c>
      <c r="B208" s="848" t="s">
        <v>156</v>
      </c>
      <c r="C208" s="1097">
        <v>0.15</v>
      </c>
      <c r="D208" s="1097">
        <v>0.15</v>
      </c>
      <c r="E208" s="1097">
        <v>0.15</v>
      </c>
      <c r="F208" s="1098">
        <v>0.15</v>
      </c>
    </row>
    <row r="209" spans="1:6" ht="14.25" thickBot="1">
      <c r="A209" s="854" t="s">
        <v>485</v>
      </c>
      <c r="B209" s="848" t="s">
        <v>169</v>
      </c>
      <c r="C209" s="1097">
        <v>0.13700000000000001</v>
      </c>
      <c r="D209" s="1097">
        <v>0.13700000000000001</v>
      </c>
      <c r="E209" s="1097">
        <v>0.14000000000000001</v>
      </c>
      <c r="F209" s="1098">
        <v>0.11700000000000001</v>
      </c>
    </row>
    <row r="210" spans="1:6" ht="14.25" thickBot="1">
      <c r="A210" s="854" t="s">
        <v>485</v>
      </c>
      <c r="B210" s="848" t="s">
        <v>857</v>
      </c>
      <c r="C210" s="1097">
        <v>0.15</v>
      </c>
      <c r="D210" s="1097">
        <v>0.15</v>
      </c>
      <c r="E210" s="1097">
        <v>0.15</v>
      </c>
      <c r="F210" s="1098">
        <v>0.13800000000000001</v>
      </c>
    </row>
    <row r="211" spans="1:6" ht="14.25" thickBot="1">
      <c r="A211" s="854" t="s">
        <v>485</v>
      </c>
      <c r="B211" s="848" t="s">
        <v>858</v>
      </c>
      <c r="C211" s="1097">
        <v>0.13700000000000001</v>
      </c>
      <c r="D211" s="1097">
        <v>0.13500000000000001</v>
      </c>
      <c r="E211" s="1097">
        <v>0.13600000000000001</v>
      </c>
      <c r="F211" s="1098">
        <v>0.1</v>
      </c>
    </row>
    <row r="212" spans="1:6" ht="14.25" thickBot="1">
      <c r="A212" s="854" t="s">
        <v>485</v>
      </c>
      <c r="B212" s="848" t="s">
        <v>859</v>
      </c>
      <c r="C212" s="1097">
        <v>0.15</v>
      </c>
      <c r="D212" s="1097">
        <v>0.15</v>
      </c>
      <c r="E212" s="1097">
        <v>0.14799999999999999</v>
      </c>
      <c r="F212" s="1098">
        <v>0.13600000000000001</v>
      </c>
    </row>
    <row r="213" spans="1:6" ht="14.25" thickBot="1">
      <c r="A213" s="854" t="s">
        <v>485</v>
      </c>
      <c r="B213" s="848" t="s">
        <v>217</v>
      </c>
      <c r="C213" s="1097">
        <v>0.15</v>
      </c>
      <c r="D213" s="1097">
        <v>0.15</v>
      </c>
      <c r="E213" s="1097">
        <v>0.15</v>
      </c>
      <c r="F213" s="1098">
        <v>0.13800000000000001</v>
      </c>
    </row>
    <row r="214" spans="1:6" ht="14.25" thickBot="1">
      <c r="A214" s="854" t="s">
        <v>485</v>
      </c>
      <c r="B214" s="848" t="s">
        <v>230</v>
      </c>
      <c r="C214" s="1097">
        <v>9.0999999999999998E-2</v>
      </c>
      <c r="D214" s="1097">
        <v>0.09</v>
      </c>
      <c r="E214" s="1097">
        <v>9.1999999999999998E-2</v>
      </c>
      <c r="F214" s="1102"/>
    </row>
    <row r="215" spans="1:6" ht="14.25" thickBot="1">
      <c r="A215" s="854" t="s">
        <v>485</v>
      </c>
      <c r="B215" s="848" t="s">
        <v>860</v>
      </c>
      <c r="C215" s="1097">
        <v>0.15</v>
      </c>
      <c r="D215" s="1097">
        <v>0.15</v>
      </c>
      <c r="E215" s="1097">
        <v>0.15</v>
      </c>
      <c r="F215" s="1098">
        <v>0.15</v>
      </c>
    </row>
    <row r="216" spans="1:6" ht="14.25" thickBot="1">
      <c r="A216" s="854" t="s">
        <v>485</v>
      </c>
      <c r="B216" s="848" t="s">
        <v>252</v>
      </c>
      <c r="C216" s="1097">
        <v>0.14699999999999999</v>
      </c>
      <c r="D216" s="1097">
        <v>0.14699999999999999</v>
      </c>
      <c r="E216" s="1097">
        <v>0.15</v>
      </c>
      <c r="F216" s="1098">
        <v>0.14000000000000001</v>
      </c>
    </row>
    <row r="217" spans="1:6" ht="14.25" thickBot="1">
      <c r="A217" s="854" t="s">
        <v>485</v>
      </c>
      <c r="B217" s="848" t="s">
        <v>263</v>
      </c>
      <c r="C217" s="1097">
        <v>0.15</v>
      </c>
      <c r="D217" s="1097">
        <v>0.15</v>
      </c>
      <c r="E217" s="1097">
        <v>0.15</v>
      </c>
      <c r="F217" s="1098">
        <v>0.15</v>
      </c>
    </row>
    <row r="218" spans="1:6" ht="14.25" thickBot="1">
      <c r="A218" s="854" t="s">
        <v>485</v>
      </c>
      <c r="B218" s="848" t="s">
        <v>861</v>
      </c>
      <c r="C218" s="1097">
        <v>0.15</v>
      </c>
      <c r="D218" s="1097">
        <v>0.15</v>
      </c>
      <c r="E218" s="1097">
        <v>0.15</v>
      </c>
      <c r="F218" s="1098">
        <v>0.15</v>
      </c>
    </row>
    <row r="219" spans="1:6" ht="14.25" thickBot="1">
      <c r="A219" s="854" t="s">
        <v>485</v>
      </c>
      <c r="B219" s="848" t="s">
        <v>285</v>
      </c>
      <c r="C219" s="1097">
        <v>0.15</v>
      </c>
      <c r="D219" s="1097">
        <v>0.15</v>
      </c>
      <c r="E219" s="1097">
        <v>0.15</v>
      </c>
      <c r="F219" s="1098">
        <v>0.14799999999999999</v>
      </c>
    </row>
    <row r="220" spans="1:6" ht="14.25" thickBot="1">
      <c r="A220" s="854" t="s">
        <v>485</v>
      </c>
      <c r="B220" s="848" t="s">
        <v>862</v>
      </c>
      <c r="C220" s="1097">
        <v>0.15</v>
      </c>
      <c r="D220" s="1097">
        <v>0.15</v>
      </c>
      <c r="E220" s="1097">
        <v>0.15</v>
      </c>
      <c r="F220" s="1098">
        <v>0.15</v>
      </c>
    </row>
    <row r="221" spans="1:6" ht="14.25" thickBot="1">
      <c r="A221" s="854" t="s">
        <v>485</v>
      </c>
      <c r="B221" s="848" t="s">
        <v>306</v>
      </c>
      <c r="C221" s="1097"/>
      <c r="D221" s="1103"/>
      <c r="E221" s="1103"/>
      <c r="F221" s="1098">
        <v>0.14799999999999999</v>
      </c>
    </row>
    <row r="222" spans="1:6" ht="14.25" thickBot="1">
      <c r="A222" s="854" t="s">
        <v>485</v>
      </c>
      <c r="B222" s="848" t="s">
        <v>316</v>
      </c>
      <c r="C222" s="1097"/>
      <c r="D222" s="1103"/>
      <c r="E222" s="1103"/>
      <c r="F222" s="1098">
        <v>0.1</v>
      </c>
    </row>
    <row r="223" spans="1:6" ht="14.25" thickBot="1">
      <c r="A223" s="854" t="s">
        <v>485</v>
      </c>
      <c r="B223" s="848" t="s">
        <v>326</v>
      </c>
      <c r="C223" s="1097"/>
      <c r="D223" s="1103"/>
      <c r="E223" s="1103"/>
      <c r="F223" s="1098">
        <v>0.15</v>
      </c>
    </row>
    <row r="224" spans="1:6" ht="14.25" thickBot="1">
      <c r="A224" s="854" t="s">
        <v>485</v>
      </c>
      <c r="B224" s="848" t="s">
        <v>336</v>
      </c>
      <c r="C224" s="1097"/>
      <c r="D224" s="1103"/>
      <c r="E224" s="1103"/>
      <c r="F224" s="1098">
        <v>0.15</v>
      </c>
    </row>
    <row r="225" spans="1:6" ht="14.25" thickBot="1">
      <c r="A225" s="854" t="s">
        <v>485</v>
      </c>
      <c r="B225" s="848" t="s">
        <v>863</v>
      </c>
      <c r="C225" s="1097">
        <v>0.15</v>
      </c>
      <c r="D225" s="1097">
        <v>0.15</v>
      </c>
      <c r="E225" s="1097">
        <v>0.15</v>
      </c>
      <c r="F225" s="1098">
        <v>0.15</v>
      </c>
    </row>
    <row r="226" spans="1:6" ht="14.25" thickBot="1">
      <c r="A226" s="854" t="s">
        <v>485</v>
      </c>
      <c r="B226" s="848" t="s">
        <v>354</v>
      </c>
      <c r="C226" s="1097">
        <v>0.15</v>
      </c>
      <c r="D226" s="1097">
        <v>0.15</v>
      </c>
      <c r="E226" s="1097">
        <v>0.15</v>
      </c>
      <c r="F226" s="1098">
        <v>0.14799999999999999</v>
      </c>
    </row>
    <row r="227" spans="1:6" ht="14.25" thickBot="1">
      <c r="A227" s="854" t="s">
        <v>485</v>
      </c>
      <c r="B227" s="848" t="s">
        <v>864</v>
      </c>
      <c r="C227" s="1097">
        <v>0.15</v>
      </c>
      <c r="D227" s="1097">
        <v>0.15</v>
      </c>
      <c r="E227" s="1097">
        <v>0.15</v>
      </c>
      <c r="F227" s="1098">
        <v>0.15</v>
      </c>
    </row>
    <row r="228" spans="1:6" ht="14.25" thickBot="1">
      <c r="A228" s="854" t="s">
        <v>485</v>
      </c>
      <c r="B228" s="848" t="s">
        <v>369</v>
      </c>
      <c r="C228" s="1097">
        <v>0.15</v>
      </c>
      <c r="D228" s="1097">
        <v>0.15</v>
      </c>
      <c r="E228" s="1097">
        <v>0.15</v>
      </c>
      <c r="F228" s="1098">
        <v>0.15</v>
      </c>
    </row>
    <row r="229" spans="1:6" ht="14.25" thickBot="1">
      <c r="A229" s="854" t="s">
        <v>485</v>
      </c>
      <c r="B229" s="848" t="s">
        <v>376</v>
      </c>
      <c r="C229" s="1097">
        <v>0.15</v>
      </c>
      <c r="D229" s="1097">
        <v>0.15</v>
      </c>
      <c r="E229" s="1097">
        <v>0.15</v>
      </c>
      <c r="F229" s="1102"/>
    </row>
    <row r="230" spans="1:6" ht="14.25" thickBot="1">
      <c r="A230" s="854" t="s">
        <v>485</v>
      </c>
      <c r="B230" s="848" t="s">
        <v>383</v>
      </c>
      <c r="C230" s="1097">
        <v>0.14499999999999999</v>
      </c>
      <c r="D230" s="1097">
        <v>0.14499999999999999</v>
      </c>
      <c r="E230" s="1097">
        <v>0.14399999999999999</v>
      </c>
      <c r="F230" s="1102"/>
    </row>
    <row r="231" spans="1:6" ht="14.25" thickBot="1">
      <c r="A231" s="854" t="s">
        <v>485</v>
      </c>
      <c r="B231" s="848" t="s">
        <v>865</v>
      </c>
      <c r="C231" s="1097">
        <v>0.128</v>
      </c>
      <c r="D231" s="1097">
        <v>0.125</v>
      </c>
      <c r="E231" s="1097">
        <v>0.13200000000000001</v>
      </c>
      <c r="F231" s="1102"/>
    </row>
    <row r="232" spans="1:6" ht="14.25" thickBot="1">
      <c r="A232" s="854" t="s">
        <v>485</v>
      </c>
      <c r="B232" s="848" t="s">
        <v>866</v>
      </c>
      <c r="C232" s="1097">
        <v>0.14499999999999999</v>
      </c>
      <c r="D232" s="1097">
        <v>0.14399999999999999</v>
      </c>
      <c r="E232" s="1097">
        <v>0.14599999999999999</v>
      </c>
      <c r="F232" s="1098">
        <v>0.13800000000000001</v>
      </c>
    </row>
    <row r="233" spans="1:6" ht="14.25" thickBot="1">
      <c r="A233" s="854" t="s">
        <v>485</v>
      </c>
      <c r="B233" s="848" t="s">
        <v>867</v>
      </c>
      <c r="C233" s="1097">
        <v>0.14499999999999999</v>
      </c>
      <c r="D233" s="1097">
        <v>0.14299999999999999</v>
      </c>
      <c r="E233" s="1097">
        <v>0.14199999999999999</v>
      </c>
      <c r="F233" s="1102"/>
    </row>
    <row r="234" spans="1:6" ht="14.25" thickBot="1">
      <c r="A234" s="854" t="s">
        <v>485</v>
      </c>
      <c r="B234" s="848" t="s">
        <v>868</v>
      </c>
      <c r="C234" s="1097">
        <v>0.14000000000000001</v>
      </c>
      <c r="D234" s="1097">
        <v>0.14000000000000001</v>
      </c>
      <c r="E234" s="1097">
        <v>0.14399999999999999</v>
      </c>
      <c r="F234" s="1102"/>
    </row>
    <row r="235" spans="1:6" ht="14.25" thickBot="1">
      <c r="A235" s="854" t="s">
        <v>485</v>
      </c>
      <c r="B235" s="848" t="s">
        <v>869</v>
      </c>
      <c r="C235" s="1097">
        <v>0.14099999999999999</v>
      </c>
      <c r="D235" s="1097">
        <v>0.14199999999999999</v>
      </c>
      <c r="E235" s="1097">
        <v>0.14499999999999999</v>
      </c>
      <c r="F235" s="1098">
        <v>0.15</v>
      </c>
    </row>
    <row r="236" spans="1:6" ht="14.25" thickBot="1">
      <c r="A236" s="854" t="s">
        <v>485</v>
      </c>
      <c r="B236" s="848" t="s">
        <v>418</v>
      </c>
      <c r="C236" s="1103"/>
      <c r="D236" s="1103"/>
      <c r="E236" s="1103"/>
      <c r="F236" s="1098">
        <v>0.14299999999999999</v>
      </c>
    </row>
    <row r="237" spans="1:6" ht="24.75" thickBot="1">
      <c r="A237" s="854" t="s">
        <v>485</v>
      </c>
      <c r="B237" s="848" t="s">
        <v>870</v>
      </c>
      <c r="C237" s="1103"/>
      <c r="D237" s="1103"/>
      <c r="E237" s="1103"/>
      <c r="F237" s="1098">
        <v>0.05</v>
      </c>
    </row>
    <row r="238" spans="1:6" ht="24.75" thickBot="1">
      <c r="A238" s="854" t="s">
        <v>485</v>
      </c>
      <c r="B238" s="848" t="s">
        <v>871</v>
      </c>
      <c r="C238" s="1103"/>
      <c r="D238" s="1103"/>
      <c r="E238" s="1103"/>
      <c r="F238" s="1098">
        <v>0.05</v>
      </c>
    </row>
    <row r="239" spans="1:6" ht="24.75" thickBot="1">
      <c r="A239" s="854" t="s">
        <v>485</v>
      </c>
      <c r="B239" s="848" t="s">
        <v>872</v>
      </c>
      <c r="C239" s="1103"/>
      <c r="D239" s="1103"/>
      <c r="E239" s="1103"/>
      <c r="F239" s="1098">
        <v>0.05</v>
      </c>
    </row>
    <row r="240" spans="1:6" ht="24.75" thickBot="1">
      <c r="A240" s="854" t="s">
        <v>485</v>
      </c>
      <c r="B240" s="848" t="s">
        <v>873</v>
      </c>
      <c r="C240" s="1103"/>
      <c r="D240" s="1103"/>
      <c r="E240" s="1103"/>
      <c r="F240" s="1098">
        <v>0.05</v>
      </c>
    </row>
    <row r="241" spans="1:6" ht="24.75" thickBot="1">
      <c r="A241" s="854" t="s">
        <v>485</v>
      </c>
      <c r="B241" s="848" t="s">
        <v>874</v>
      </c>
      <c r="C241" s="1103"/>
      <c r="D241" s="1103"/>
      <c r="E241" s="1103"/>
      <c r="F241" s="1098">
        <v>0.05</v>
      </c>
    </row>
    <row r="242" spans="1:6" ht="24.75" thickBot="1">
      <c r="A242" s="854" t="s">
        <v>485</v>
      </c>
      <c r="B242" s="848" t="s">
        <v>875</v>
      </c>
      <c r="C242" s="1103"/>
      <c r="D242" s="1103"/>
      <c r="E242" s="1103"/>
      <c r="F242" s="1098">
        <v>0.05</v>
      </c>
    </row>
    <row r="243" spans="1:6" ht="24.75" thickBot="1">
      <c r="A243" s="854" t="s">
        <v>485</v>
      </c>
      <c r="B243" s="848" t="s">
        <v>876</v>
      </c>
      <c r="C243" s="1103"/>
      <c r="D243" s="1103"/>
      <c r="E243" s="1103"/>
      <c r="F243" s="1098">
        <v>0.05</v>
      </c>
    </row>
    <row r="244" spans="1:6" ht="24.75" thickBot="1">
      <c r="A244" s="871" t="s">
        <v>485</v>
      </c>
      <c r="B244" s="864" t="s">
        <v>877</v>
      </c>
      <c r="C244" s="1100"/>
      <c r="D244" s="1100"/>
      <c r="E244" s="1100"/>
      <c r="F244" s="1104">
        <v>0.05</v>
      </c>
    </row>
    <row r="245" spans="1:6" ht="14.25" thickBot="1">
      <c r="A245" s="854" t="s">
        <v>487</v>
      </c>
      <c r="B245" s="855" t="s">
        <v>878</v>
      </c>
      <c r="C245" s="1095">
        <v>0.15</v>
      </c>
      <c r="D245" s="1095">
        <v>0.15</v>
      </c>
      <c r="E245" s="1095">
        <v>0.15</v>
      </c>
      <c r="F245" s="1096">
        <v>0.14299999999999999</v>
      </c>
    </row>
    <row r="246" spans="1:6" ht="14.25" thickBot="1">
      <c r="A246" s="854" t="s">
        <v>487</v>
      </c>
      <c r="B246" s="848" t="s">
        <v>144</v>
      </c>
      <c r="C246" s="1097">
        <v>0.15</v>
      </c>
      <c r="D246" s="1097">
        <v>0.15</v>
      </c>
      <c r="E246" s="1097">
        <v>0.15</v>
      </c>
      <c r="F246" s="1098">
        <v>0.114</v>
      </c>
    </row>
    <row r="247" spans="1:6" ht="14.25" thickBot="1">
      <c r="A247" s="854" t="s">
        <v>487</v>
      </c>
      <c r="B247" s="848" t="s">
        <v>879</v>
      </c>
      <c r="C247" s="1097">
        <v>0.15</v>
      </c>
      <c r="D247" s="1097">
        <v>0.15</v>
      </c>
      <c r="E247" s="1097">
        <v>0.15</v>
      </c>
      <c r="F247" s="1098">
        <v>0.15</v>
      </c>
    </row>
    <row r="248" spans="1:6" ht="14.25" thickBot="1">
      <c r="A248" s="854" t="s">
        <v>487</v>
      </c>
      <c r="B248" s="848" t="s">
        <v>880</v>
      </c>
      <c r="C248" s="1097">
        <v>0.15</v>
      </c>
      <c r="D248" s="1097">
        <v>0.15</v>
      </c>
      <c r="E248" s="1097">
        <v>0.15</v>
      </c>
      <c r="F248" s="1098">
        <v>0.14000000000000001</v>
      </c>
    </row>
    <row r="249" spans="1:6" ht="14.25" thickBot="1">
      <c r="A249" s="854" t="s">
        <v>487</v>
      </c>
      <c r="B249" s="848" t="s">
        <v>881</v>
      </c>
      <c r="C249" s="1097">
        <v>0.15</v>
      </c>
      <c r="D249" s="1097">
        <v>0.14899999999999999</v>
      </c>
      <c r="E249" s="1097">
        <v>0.15</v>
      </c>
      <c r="F249" s="1098">
        <v>0.1</v>
      </c>
    </row>
    <row r="250" spans="1:6" ht="14.25" thickBot="1">
      <c r="A250" s="854" t="s">
        <v>487</v>
      </c>
      <c r="B250" s="848" t="s">
        <v>882</v>
      </c>
      <c r="C250" s="1097">
        <v>0.15</v>
      </c>
      <c r="D250" s="1097">
        <v>0.15</v>
      </c>
      <c r="E250" s="1097">
        <v>0.15</v>
      </c>
      <c r="F250" s="1098">
        <v>0.14399999999999999</v>
      </c>
    </row>
    <row r="251" spans="1:6" ht="14.25" thickBot="1">
      <c r="A251" s="854" t="s">
        <v>487</v>
      </c>
      <c r="B251" s="848" t="s">
        <v>206</v>
      </c>
      <c r="C251" s="1097">
        <v>0.15</v>
      </c>
      <c r="D251" s="1097">
        <v>0.15</v>
      </c>
      <c r="E251" s="1097">
        <v>0.15</v>
      </c>
      <c r="F251" s="1098">
        <v>0.14299999999999999</v>
      </c>
    </row>
    <row r="252" spans="1:6" ht="14.25" thickBot="1">
      <c r="A252" s="854" t="s">
        <v>487</v>
      </c>
      <c r="B252" s="848" t="s">
        <v>218</v>
      </c>
      <c r="C252" s="1097">
        <v>0.15</v>
      </c>
      <c r="D252" s="1097">
        <v>0.15</v>
      </c>
      <c r="E252" s="1097">
        <v>0.15</v>
      </c>
      <c r="F252" s="1098">
        <v>0.1</v>
      </c>
    </row>
    <row r="253" spans="1:6" ht="14.25" thickBot="1">
      <c r="A253" s="854" t="s">
        <v>487</v>
      </c>
      <c r="B253" s="848" t="s">
        <v>231</v>
      </c>
      <c r="C253" s="1097">
        <v>0.15</v>
      </c>
      <c r="D253" s="1097">
        <v>0.15</v>
      </c>
      <c r="E253" s="1097">
        <v>0.15</v>
      </c>
      <c r="F253" s="1098">
        <v>0.1</v>
      </c>
    </row>
    <row r="254" spans="1:6" ht="14.25" thickBot="1">
      <c r="A254" s="854" t="s">
        <v>487</v>
      </c>
      <c r="B254" s="848" t="s">
        <v>242</v>
      </c>
      <c r="C254" s="1103"/>
      <c r="D254" s="1103"/>
      <c r="E254" s="1103"/>
      <c r="F254" s="1098">
        <v>0.15</v>
      </c>
    </row>
    <row r="255" spans="1:6" ht="14.25" thickBot="1">
      <c r="A255" s="854" t="s">
        <v>487</v>
      </c>
      <c r="B255" s="848" t="s">
        <v>253</v>
      </c>
      <c r="C255" s="1103"/>
      <c r="D255" s="1103"/>
      <c r="E255" s="1103"/>
      <c r="F255" s="1098">
        <v>0.14299999999999999</v>
      </c>
    </row>
    <row r="256" spans="1:6" ht="14.25" thickBot="1">
      <c r="A256" s="854" t="s">
        <v>487</v>
      </c>
      <c r="B256" s="848" t="s">
        <v>883</v>
      </c>
      <c r="C256" s="1097">
        <v>0.14599999999999999</v>
      </c>
      <c r="D256" s="1097">
        <v>0.14699999999999999</v>
      </c>
      <c r="E256" s="1097">
        <v>0.15</v>
      </c>
      <c r="F256" s="1098">
        <v>0.13200000000000001</v>
      </c>
    </row>
    <row r="257" spans="1:6" ht="14.25" thickBot="1">
      <c r="A257" s="854" t="s">
        <v>487</v>
      </c>
      <c r="B257" s="848" t="s">
        <v>275</v>
      </c>
      <c r="C257" s="1097">
        <v>0.15</v>
      </c>
      <c r="D257" s="1097">
        <v>0.15</v>
      </c>
      <c r="E257" s="1097">
        <v>0.15</v>
      </c>
      <c r="F257" s="1098">
        <v>0.13900000000000001</v>
      </c>
    </row>
    <row r="258" spans="1:6" ht="14.25" thickBot="1">
      <c r="A258" s="854" t="s">
        <v>487</v>
      </c>
      <c r="B258" s="848" t="s">
        <v>286</v>
      </c>
      <c r="C258" s="1097">
        <v>0.15</v>
      </c>
      <c r="D258" s="1097">
        <v>0.15</v>
      </c>
      <c r="E258" s="1097">
        <v>0.15</v>
      </c>
      <c r="F258" s="1098">
        <v>0.13</v>
      </c>
    </row>
    <row r="259" spans="1:6" ht="14.25" thickBot="1">
      <c r="A259" s="854" t="s">
        <v>487</v>
      </c>
      <c r="B259" s="848" t="s">
        <v>884</v>
      </c>
      <c r="C259" s="1097">
        <v>0.14799999999999999</v>
      </c>
      <c r="D259" s="1097">
        <v>0.14899999999999999</v>
      </c>
      <c r="E259" s="1097">
        <v>0.15</v>
      </c>
      <c r="F259" s="1098">
        <v>0.13700000000000001</v>
      </c>
    </row>
    <row r="260" spans="1:6" ht="14.25" thickBot="1">
      <c r="A260" s="854" t="s">
        <v>487</v>
      </c>
      <c r="B260" s="848" t="s">
        <v>307</v>
      </c>
      <c r="C260" s="1097">
        <v>0.15</v>
      </c>
      <c r="D260" s="1097">
        <v>0.15</v>
      </c>
      <c r="E260" s="1097">
        <v>0.15</v>
      </c>
      <c r="F260" s="1098">
        <v>0.14199999999999999</v>
      </c>
    </row>
    <row r="261" spans="1:6" ht="14.25" thickBot="1">
      <c r="A261" s="854" t="s">
        <v>487</v>
      </c>
      <c r="B261" s="848" t="s">
        <v>317</v>
      </c>
      <c r="C261" s="1097">
        <v>0.15</v>
      </c>
      <c r="D261" s="1097">
        <v>0.15</v>
      </c>
      <c r="E261" s="1097">
        <v>0.14899999999999999</v>
      </c>
      <c r="F261" s="1098">
        <v>0.14799999999999999</v>
      </c>
    </row>
    <row r="262" spans="1:6" ht="14.25" thickBot="1">
      <c r="A262" s="854" t="s">
        <v>487</v>
      </c>
      <c r="B262" s="848" t="s">
        <v>327</v>
      </c>
      <c r="C262" s="1097">
        <v>0.15</v>
      </c>
      <c r="D262" s="1097">
        <v>0.15</v>
      </c>
      <c r="E262" s="1097">
        <v>0.15</v>
      </c>
      <c r="F262" s="1102"/>
    </row>
    <row r="263" spans="1:6" ht="14.25" thickBot="1">
      <c r="A263" s="854" t="s">
        <v>487</v>
      </c>
      <c r="B263" s="848" t="s">
        <v>885</v>
      </c>
      <c r="C263" s="1097">
        <v>0.14899999999999999</v>
      </c>
      <c r="D263" s="1097">
        <v>0.14899999999999999</v>
      </c>
      <c r="E263" s="1097">
        <v>0.15</v>
      </c>
      <c r="F263" s="1098">
        <v>0.13</v>
      </c>
    </row>
    <row r="264" spans="1:6" ht="14.25" thickBot="1">
      <c r="A264" s="854" t="s">
        <v>487</v>
      </c>
      <c r="B264" s="848" t="s">
        <v>346</v>
      </c>
      <c r="C264" s="1097">
        <v>0.14799999999999999</v>
      </c>
      <c r="D264" s="1097">
        <v>0.14699999999999999</v>
      </c>
      <c r="E264" s="1097">
        <v>0.15</v>
      </c>
      <c r="F264" s="1098">
        <v>7.8E-2</v>
      </c>
    </row>
    <row r="265" spans="1:6" ht="14.25" thickBot="1">
      <c r="A265" s="854" t="s">
        <v>487</v>
      </c>
      <c r="B265" s="848" t="s">
        <v>355</v>
      </c>
      <c r="C265" s="1097">
        <v>0.15</v>
      </c>
      <c r="D265" s="1097">
        <v>0.15</v>
      </c>
      <c r="E265" s="1097">
        <v>0.15</v>
      </c>
      <c r="F265" s="1098">
        <v>7.3999999999999996E-2</v>
      </c>
    </row>
    <row r="266" spans="1:6" ht="14.25" thickBot="1">
      <c r="A266" s="854" t="s">
        <v>487</v>
      </c>
      <c r="B266" s="848" t="s">
        <v>363</v>
      </c>
      <c r="C266" s="1097">
        <v>0.14699999999999999</v>
      </c>
      <c r="D266" s="1097">
        <v>0.14699999999999999</v>
      </c>
      <c r="E266" s="1097">
        <v>0.15</v>
      </c>
      <c r="F266" s="1098">
        <v>0.14299999999999999</v>
      </c>
    </row>
    <row r="267" spans="1:6" ht="14.25" thickBot="1">
      <c r="A267" s="854" t="s">
        <v>487</v>
      </c>
      <c r="B267" s="848" t="s">
        <v>370</v>
      </c>
      <c r="C267" s="1097">
        <v>0.14199999999999999</v>
      </c>
      <c r="D267" s="1097">
        <v>0.14299999999999999</v>
      </c>
      <c r="E267" s="1097">
        <v>0.15</v>
      </c>
      <c r="F267" s="1102"/>
    </row>
    <row r="268" spans="1:6" ht="14.25" thickBot="1">
      <c r="A268" s="854" t="s">
        <v>487</v>
      </c>
      <c r="B268" s="848" t="s">
        <v>886</v>
      </c>
      <c r="C268" s="1097">
        <v>0.15</v>
      </c>
      <c r="D268" s="1097">
        <v>0.15</v>
      </c>
      <c r="E268" s="1097">
        <v>0.15</v>
      </c>
      <c r="F268" s="1098">
        <v>0.13</v>
      </c>
    </row>
    <row r="269" spans="1:6" ht="14.25" thickBot="1">
      <c r="A269" s="854" t="s">
        <v>487</v>
      </c>
      <c r="B269" s="848" t="s">
        <v>384</v>
      </c>
      <c r="C269" s="1097">
        <v>0.15</v>
      </c>
      <c r="D269" s="1097">
        <v>0.15</v>
      </c>
      <c r="E269" s="1097">
        <v>0.15</v>
      </c>
      <c r="F269" s="1098">
        <v>0.14299999999999999</v>
      </c>
    </row>
    <row r="270" spans="1:6" ht="14.25" thickBot="1">
      <c r="A270" s="854" t="s">
        <v>487</v>
      </c>
      <c r="B270" s="848" t="s">
        <v>391</v>
      </c>
      <c r="C270" s="1097">
        <v>0.14499999999999999</v>
      </c>
      <c r="D270" s="1097">
        <v>0.14499999999999999</v>
      </c>
      <c r="E270" s="1097">
        <v>0.15</v>
      </c>
      <c r="F270" s="1098">
        <v>0.14699999999999999</v>
      </c>
    </row>
    <row r="271" spans="1:6" ht="14.25" thickBot="1">
      <c r="A271" s="854" t="s">
        <v>487</v>
      </c>
      <c r="B271" s="848" t="s">
        <v>398</v>
      </c>
      <c r="C271" s="1097">
        <v>0.15</v>
      </c>
      <c r="D271" s="1097">
        <v>0.15</v>
      </c>
      <c r="E271" s="1097">
        <v>0.15</v>
      </c>
      <c r="F271" s="1098">
        <v>0.13800000000000001</v>
      </c>
    </row>
    <row r="272" spans="1:6" ht="14.25" thickBot="1">
      <c r="A272" s="854" t="s">
        <v>487</v>
      </c>
      <c r="B272" s="848" t="s">
        <v>405</v>
      </c>
      <c r="C272" s="1103"/>
      <c r="D272" s="1103"/>
      <c r="E272" s="1103"/>
      <c r="F272" s="1098">
        <v>0.14000000000000001</v>
      </c>
    </row>
    <row r="273" spans="1:6" ht="14.25" thickBot="1">
      <c r="A273" s="854" t="s">
        <v>487</v>
      </c>
      <c r="B273" s="848" t="s">
        <v>887</v>
      </c>
      <c r="C273" s="1097">
        <v>0.14199999999999999</v>
      </c>
      <c r="D273" s="1097">
        <v>0.14299999999999999</v>
      </c>
      <c r="E273" s="1097">
        <v>0.15</v>
      </c>
      <c r="F273" s="1098">
        <v>0.1</v>
      </c>
    </row>
    <row r="274" spans="1:6" ht="14.25" thickBot="1">
      <c r="A274" s="854" t="s">
        <v>487</v>
      </c>
      <c r="B274" s="848" t="s">
        <v>888</v>
      </c>
      <c r="C274" s="1097">
        <v>0.14799999999999999</v>
      </c>
      <c r="D274" s="1097">
        <v>0.14799999999999999</v>
      </c>
      <c r="E274" s="1097">
        <v>0.15</v>
      </c>
      <c r="F274" s="1098">
        <v>6.7000000000000004E-2</v>
      </c>
    </row>
    <row r="275" spans="1:6" ht="14.25" thickBot="1">
      <c r="A275" s="854" t="s">
        <v>487</v>
      </c>
      <c r="B275" s="848" t="s">
        <v>889</v>
      </c>
      <c r="C275" s="1097">
        <v>0.15</v>
      </c>
      <c r="D275" s="1097">
        <v>0.15</v>
      </c>
      <c r="E275" s="1097">
        <v>0.15</v>
      </c>
      <c r="F275" s="1098">
        <v>0.15</v>
      </c>
    </row>
    <row r="276" spans="1:6" ht="14.25" thickBot="1">
      <c r="A276" s="854" t="s">
        <v>487</v>
      </c>
      <c r="B276" s="848" t="s">
        <v>890</v>
      </c>
      <c r="C276" s="1097">
        <v>0.14499999999999999</v>
      </c>
      <c r="D276" s="1097">
        <v>0.14299999999999999</v>
      </c>
      <c r="E276" s="1097">
        <v>0.15</v>
      </c>
      <c r="F276" s="1098">
        <v>5.8999999999999997E-2</v>
      </c>
    </row>
    <row r="277" spans="1:6" ht="14.25" thickBot="1">
      <c r="A277" s="854" t="s">
        <v>487</v>
      </c>
      <c r="B277" s="848" t="s">
        <v>891</v>
      </c>
      <c r="C277" s="1097">
        <v>0.15</v>
      </c>
      <c r="D277" s="1097">
        <v>0.15</v>
      </c>
      <c r="E277" s="1097">
        <v>0.15</v>
      </c>
      <c r="F277" s="1098">
        <v>0.121</v>
      </c>
    </row>
    <row r="278" spans="1:6" ht="14.25" thickBot="1">
      <c r="A278" s="854" t="s">
        <v>487</v>
      </c>
      <c r="B278" s="848" t="s">
        <v>892</v>
      </c>
      <c r="C278" s="1097">
        <v>0.15</v>
      </c>
      <c r="D278" s="1097">
        <v>0.15</v>
      </c>
      <c r="E278" s="1097">
        <v>0.15</v>
      </c>
      <c r="F278" s="1098">
        <v>0.13800000000000001</v>
      </c>
    </row>
    <row r="279" spans="1:6" ht="24.75" thickBot="1">
      <c r="A279" s="854" t="s">
        <v>487</v>
      </c>
      <c r="B279" s="848" t="s">
        <v>893</v>
      </c>
      <c r="C279" s="1103"/>
      <c r="D279" s="1103"/>
      <c r="E279" s="1103"/>
      <c r="F279" s="1098">
        <v>0.05</v>
      </c>
    </row>
    <row r="280" spans="1:6" ht="24.75" thickBot="1">
      <c r="A280" s="854" t="s">
        <v>487</v>
      </c>
      <c r="B280" s="848" t="s">
        <v>894</v>
      </c>
      <c r="C280" s="1103"/>
      <c r="D280" s="1103"/>
      <c r="E280" s="1103"/>
      <c r="F280" s="1098">
        <v>0.05</v>
      </c>
    </row>
    <row r="281" spans="1:6" ht="24.75" thickBot="1">
      <c r="A281" s="854" t="s">
        <v>487</v>
      </c>
      <c r="B281" s="848" t="s">
        <v>895</v>
      </c>
      <c r="C281" s="1103"/>
      <c r="D281" s="1103"/>
      <c r="E281" s="1103"/>
      <c r="F281" s="1098">
        <v>0.05</v>
      </c>
    </row>
    <row r="282" spans="1:6" ht="24.75" thickBot="1">
      <c r="A282" s="854" t="s">
        <v>487</v>
      </c>
      <c r="B282" s="848" t="s">
        <v>896</v>
      </c>
      <c r="C282" s="1103"/>
      <c r="D282" s="1103"/>
      <c r="E282" s="1103"/>
      <c r="F282" s="1098">
        <v>0.05</v>
      </c>
    </row>
    <row r="283" spans="1:6" ht="24.75" thickBot="1">
      <c r="A283" s="854" t="s">
        <v>487</v>
      </c>
      <c r="B283" s="848" t="s">
        <v>897</v>
      </c>
      <c r="C283" s="1103"/>
      <c r="D283" s="1103"/>
      <c r="E283" s="1103"/>
      <c r="F283" s="1098">
        <v>0.05</v>
      </c>
    </row>
    <row r="284" spans="1:6" ht="24.75" thickBot="1">
      <c r="A284" s="854" t="s">
        <v>487</v>
      </c>
      <c r="B284" s="848" t="s">
        <v>898</v>
      </c>
      <c r="C284" s="1103"/>
      <c r="D284" s="1103"/>
      <c r="E284" s="1103"/>
      <c r="F284" s="1098">
        <v>0.05</v>
      </c>
    </row>
    <row r="285" spans="1:6" ht="24.75" thickBot="1">
      <c r="A285" s="854" t="s">
        <v>487</v>
      </c>
      <c r="B285" s="848" t="s">
        <v>899</v>
      </c>
      <c r="C285" s="1103"/>
      <c r="D285" s="1103"/>
      <c r="E285" s="1103"/>
      <c r="F285" s="1098">
        <v>0.05</v>
      </c>
    </row>
    <row r="286" spans="1:6" ht="24.75" thickBot="1">
      <c r="A286" s="854" t="s">
        <v>487</v>
      </c>
      <c r="B286" s="848" t="s">
        <v>900</v>
      </c>
      <c r="C286" s="1103"/>
      <c r="D286" s="1103"/>
      <c r="E286" s="1103"/>
      <c r="F286" s="1098">
        <v>0.05</v>
      </c>
    </row>
    <row r="287" spans="1:6" ht="24.75" thickBot="1">
      <c r="A287" s="854" t="s">
        <v>487</v>
      </c>
      <c r="B287" s="848" t="s">
        <v>901</v>
      </c>
      <c r="C287" s="1103"/>
      <c r="D287" s="1103"/>
      <c r="E287" s="1103"/>
      <c r="F287" s="1098">
        <v>0.05</v>
      </c>
    </row>
    <row r="288" spans="1:6" ht="24.75" thickBot="1">
      <c r="A288" s="854" t="s">
        <v>487</v>
      </c>
      <c r="B288" s="848" t="s">
        <v>902</v>
      </c>
      <c r="C288" s="1103"/>
      <c r="D288" s="1103"/>
      <c r="E288" s="1103"/>
      <c r="F288" s="1098">
        <v>0.05</v>
      </c>
    </row>
    <row r="289" spans="1:6" ht="24.75" thickBot="1">
      <c r="A289" s="871" t="s">
        <v>487</v>
      </c>
      <c r="B289" s="864" t="s">
        <v>903</v>
      </c>
      <c r="C289" s="1100"/>
      <c r="D289" s="1100"/>
      <c r="E289" s="1100"/>
      <c r="F289" s="1104">
        <v>0.05</v>
      </c>
    </row>
    <row r="290" spans="1:6" ht="14.25" thickBot="1">
      <c r="A290" s="854" t="s">
        <v>491</v>
      </c>
      <c r="B290" s="855" t="s">
        <v>904</v>
      </c>
      <c r="C290" s="1095">
        <v>0.15</v>
      </c>
      <c r="D290" s="1095">
        <v>0.15</v>
      </c>
      <c r="E290" s="1095">
        <v>0.15</v>
      </c>
      <c r="F290" s="1112"/>
    </row>
    <row r="291" spans="1:6" ht="14.25" thickBot="1">
      <c r="A291" s="854" t="s">
        <v>491</v>
      </c>
      <c r="B291" s="848" t="s">
        <v>145</v>
      </c>
      <c r="C291" s="1097">
        <v>0.15</v>
      </c>
      <c r="D291" s="1097">
        <v>0.15</v>
      </c>
      <c r="E291" s="1097">
        <v>0.15</v>
      </c>
      <c r="F291" s="1102"/>
    </row>
    <row r="292" spans="1:6" ht="14.25" thickBot="1">
      <c r="A292" s="854" t="s">
        <v>491</v>
      </c>
      <c r="B292" s="848" t="s">
        <v>905</v>
      </c>
      <c r="C292" s="1097">
        <v>0.15</v>
      </c>
      <c r="D292" s="1097">
        <v>0.15</v>
      </c>
      <c r="E292" s="1097">
        <v>0.15</v>
      </c>
      <c r="F292" s="1098">
        <v>0.14699999999999999</v>
      </c>
    </row>
    <row r="293" spans="1:6" ht="14.25" thickBot="1">
      <c r="A293" s="854" t="s">
        <v>491</v>
      </c>
      <c r="B293" s="848" t="s">
        <v>906</v>
      </c>
      <c r="C293" s="1103"/>
      <c r="D293" s="1103"/>
      <c r="E293" s="1103"/>
      <c r="F293" s="1098">
        <v>0.1</v>
      </c>
    </row>
    <row r="294" spans="1:6" ht="14.25" thickBot="1">
      <c r="A294" s="854" t="s">
        <v>491</v>
      </c>
      <c r="B294" s="848" t="s">
        <v>907</v>
      </c>
      <c r="C294" s="1097">
        <v>0.15</v>
      </c>
      <c r="D294" s="1097">
        <v>0.15</v>
      </c>
      <c r="E294" s="1097">
        <v>0.15</v>
      </c>
      <c r="F294" s="1098">
        <v>0.15</v>
      </c>
    </row>
    <row r="295" spans="1:6" ht="14.25" thickBot="1">
      <c r="A295" s="854" t="s">
        <v>491</v>
      </c>
      <c r="B295" s="848" t="s">
        <v>183</v>
      </c>
      <c r="C295" s="1097">
        <v>0.15</v>
      </c>
      <c r="D295" s="1097">
        <v>0.15</v>
      </c>
      <c r="E295" s="1097">
        <v>0.15</v>
      </c>
      <c r="F295" s="1098">
        <v>0.15</v>
      </c>
    </row>
    <row r="296" spans="1:6" ht="14.25" thickBot="1">
      <c r="A296" s="854" t="s">
        <v>491</v>
      </c>
      <c r="B296" s="848" t="s">
        <v>908</v>
      </c>
      <c r="C296" s="1097">
        <v>0.15</v>
      </c>
      <c r="D296" s="1097">
        <v>0.15</v>
      </c>
      <c r="E296" s="1097">
        <v>0.15</v>
      </c>
      <c r="F296" s="1098">
        <v>0.15</v>
      </c>
    </row>
    <row r="297" spans="1:6" ht="14.25" thickBot="1">
      <c r="A297" s="854" t="s">
        <v>491</v>
      </c>
      <c r="B297" s="848" t="s">
        <v>909</v>
      </c>
      <c r="C297" s="1097">
        <v>0.14799999999999999</v>
      </c>
      <c r="D297" s="1097">
        <v>0.14899999999999999</v>
      </c>
      <c r="E297" s="1097">
        <v>0.15</v>
      </c>
      <c r="F297" s="1098">
        <v>0.13700000000000001</v>
      </c>
    </row>
    <row r="298" spans="1:6" ht="14.25" thickBot="1">
      <c r="A298" s="854" t="s">
        <v>491</v>
      </c>
      <c r="B298" s="848" t="s">
        <v>219</v>
      </c>
      <c r="C298" s="1097">
        <v>0.13400000000000001</v>
      </c>
      <c r="D298" s="1097">
        <v>0.13400000000000001</v>
      </c>
      <c r="E298" s="1097">
        <v>0.14499999999999999</v>
      </c>
      <c r="F298" s="1098">
        <v>0.14799999999999999</v>
      </c>
    </row>
    <row r="299" spans="1:6" ht="14.25" thickBot="1">
      <c r="A299" s="854" t="s">
        <v>491</v>
      </c>
      <c r="B299" s="848" t="s">
        <v>232</v>
      </c>
      <c r="C299" s="1097">
        <v>0.15</v>
      </c>
      <c r="D299" s="1097">
        <v>0.15</v>
      </c>
      <c r="E299" s="1097">
        <v>0.15</v>
      </c>
      <c r="F299" s="1102"/>
    </row>
    <row r="300" spans="1:6" ht="14.25" thickBot="1">
      <c r="A300" s="854" t="s">
        <v>491</v>
      </c>
      <c r="B300" s="848" t="s">
        <v>910</v>
      </c>
      <c r="C300" s="1097">
        <v>0.15</v>
      </c>
      <c r="D300" s="1097">
        <v>0.15</v>
      </c>
      <c r="E300" s="1097">
        <v>0.15</v>
      </c>
      <c r="F300" s="1098">
        <v>0.15</v>
      </c>
    </row>
    <row r="301" spans="1:6" ht="14.25" thickBot="1">
      <c r="A301" s="854" t="s">
        <v>491</v>
      </c>
      <c r="B301" s="848" t="s">
        <v>254</v>
      </c>
      <c r="C301" s="1097">
        <v>0.15</v>
      </c>
      <c r="D301" s="1097">
        <v>0.15</v>
      </c>
      <c r="E301" s="1097">
        <v>0.15</v>
      </c>
      <c r="F301" s="1102"/>
    </row>
    <row r="302" spans="1:6" ht="14.25" thickBot="1">
      <c r="A302" s="854" t="s">
        <v>491</v>
      </c>
      <c r="B302" s="848" t="s">
        <v>911</v>
      </c>
      <c r="C302" s="1097">
        <v>0.15</v>
      </c>
      <c r="D302" s="1097">
        <v>0.15</v>
      </c>
      <c r="E302" s="1097">
        <v>0.15</v>
      </c>
      <c r="F302" s="1098">
        <v>0.15</v>
      </c>
    </row>
    <row r="303" spans="1:6" ht="14.25" thickBot="1">
      <c r="A303" s="854" t="s">
        <v>491</v>
      </c>
      <c r="B303" s="848" t="s">
        <v>276</v>
      </c>
      <c r="C303" s="1097">
        <v>0.15</v>
      </c>
      <c r="D303" s="1097">
        <v>0.15</v>
      </c>
      <c r="E303" s="1097">
        <v>0.15</v>
      </c>
      <c r="F303" s="1098">
        <v>0.15</v>
      </c>
    </row>
    <row r="304" spans="1:6" ht="14.25" thickBot="1">
      <c r="A304" s="854" t="s">
        <v>491</v>
      </c>
      <c r="B304" s="848" t="s">
        <v>287</v>
      </c>
      <c r="C304" s="1097">
        <v>0.15</v>
      </c>
      <c r="D304" s="1097">
        <v>0.15</v>
      </c>
      <c r="E304" s="1097">
        <v>0.15</v>
      </c>
      <c r="F304" s="1102"/>
    </row>
    <row r="305" spans="1:6" ht="14.25" thickBot="1">
      <c r="A305" s="854" t="s">
        <v>491</v>
      </c>
      <c r="B305" s="848" t="s">
        <v>912</v>
      </c>
      <c r="C305" s="1097">
        <v>0.15</v>
      </c>
      <c r="D305" s="1097">
        <v>0.15</v>
      </c>
      <c r="E305" s="1097">
        <v>0.15</v>
      </c>
      <c r="F305" s="1098">
        <v>0.14000000000000001</v>
      </c>
    </row>
    <row r="306" spans="1:6" ht="14.25" thickBot="1">
      <c r="A306" s="854" t="s">
        <v>491</v>
      </c>
      <c r="B306" s="848" t="s">
        <v>308</v>
      </c>
      <c r="C306" s="1097">
        <v>0.15</v>
      </c>
      <c r="D306" s="1097">
        <v>0.15</v>
      </c>
      <c r="E306" s="1097">
        <v>0.15</v>
      </c>
      <c r="F306" s="1102"/>
    </row>
    <row r="307" spans="1:6" ht="14.25" thickBot="1">
      <c r="A307" s="854" t="s">
        <v>491</v>
      </c>
      <c r="B307" s="848" t="s">
        <v>913</v>
      </c>
      <c r="C307" s="1097">
        <v>0.15</v>
      </c>
      <c r="D307" s="1097">
        <v>0.15</v>
      </c>
      <c r="E307" s="1097">
        <v>0.15</v>
      </c>
      <c r="F307" s="1098">
        <v>0.14299999999999999</v>
      </c>
    </row>
    <row r="308" spans="1:6" ht="14.25" thickBot="1">
      <c r="A308" s="854" t="s">
        <v>491</v>
      </c>
      <c r="B308" s="848" t="s">
        <v>328</v>
      </c>
      <c r="C308" s="1097">
        <v>0.15</v>
      </c>
      <c r="D308" s="1097">
        <v>0.15</v>
      </c>
      <c r="E308" s="1097">
        <v>0.15</v>
      </c>
      <c r="F308" s="1098">
        <v>0.15</v>
      </c>
    </row>
    <row r="309" spans="1:6" ht="14.25" thickBot="1">
      <c r="A309" s="854" t="s">
        <v>491</v>
      </c>
      <c r="B309" s="848" t="s">
        <v>338</v>
      </c>
      <c r="C309" s="1097">
        <v>0.15</v>
      </c>
      <c r="D309" s="1097">
        <v>0.15</v>
      </c>
      <c r="E309" s="1097">
        <v>0.15</v>
      </c>
      <c r="F309" s="1102"/>
    </row>
    <row r="310" spans="1:6" ht="14.25" thickBot="1">
      <c r="A310" s="854" t="s">
        <v>491</v>
      </c>
      <c r="B310" s="848" t="s">
        <v>914</v>
      </c>
      <c r="C310" s="1097">
        <v>0.15</v>
      </c>
      <c r="D310" s="1097">
        <v>0.15</v>
      </c>
      <c r="E310" s="1097">
        <v>0.15</v>
      </c>
      <c r="F310" s="1098">
        <v>0.13700000000000001</v>
      </c>
    </row>
    <row r="311" spans="1:6" ht="14.25" thickBot="1">
      <c r="A311" s="854" t="s">
        <v>491</v>
      </c>
      <c r="B311" s="848" t="s">
        <v>915</v>
      </c>
      <c r="C311" s="1097">
        <v>0.15</v>
      </c>
      <c r="D311" s="1097">
        <v>0.15</v>
      </c>
      <c r="E311" s="1097">
        <v>0.15</v>
      </c>
      <c r="F311" s="1098">
        <v>0.15</v>
      </c>
    </row>
    <row r="312" spans="1:6" ht="14.25" thickBot="1">
      <c r="A312" s="854" t="s">
        <v>491</v>
      </c>
      <c r="B312" s="848" t="s">
        <v>364</v>
      </c>
      <c r="C312" s="1097">
        <v>0.15</v>
      </c>
      <c r="D312" s="1097">
        <v>0.15</v>
      </c>
      <c r="E312" s="1097">
        <v>0.15</v>
      </c>
      <c r="F312" s="1098">
        <v>0.1</v>
      </c>
    </row>
    <row r="313" spans="1:6" ht="14.25" thickBot="1">
      <c r="A313" s="854" t="s">
        <v>491</v>
      </c>
      <c r="B313" s="848" t="s">
        <v>916</v>
      </c>
      <c r="C313" s="1097">
        <v>0.15</v>
      </c>
      <c r="D313" s="1097">
        <v>0.15</v>
      </c>
      <c r="E313" s="1097">
        <v>0.15</v>
      </c>
      <c r="F313" s="1098">
        <v>0.15</v>
      </c>
    </row>
    <row r="314" spans="1:6" ht="24.75" thickBot="1">
      <c r="A314" s="854" t="s">
        <v>491</v>
      </c>
      <c r="B314" s="848" t="s">
        <v>917</v>
      </c>
      <c r="C314" s="1103"/>
      <c r="D314" s="1103"/>
      <c r="E314" s="1103"/>
      <c r="F314" s="1098">
        <v>0.05</v>
      </c>
    </row>
    <row r="315" spans="1:6" ht="24.75" thickBot="1">
      <c r="A315" s="854" t="s">
        <v>491</v>
      </c>
      <c r="B315" s="848" t="s">
        <v>918</v>
      </c>
      <c r="C315" s="1103"/>
      <c r="D315" s="1103"/>
      <c r="E315" s="1103"/>
      <c r="F315" s="1098">
        <v>0.05</v>
      </c>
    </row>
    <row r="316" spans="1:6" ht="24.75" thickBot="1">
      <c r="A316" s="871" t="s">
        <v>491</v>
      </c>
      <c r="B316" s="864" t="s">
        <v>919</v>
      </c>
      <c r="C316" s="1100"/>
      <c r="D316" s="1100"/>
      <c r="E316" s="1100"/>
      <c r="F316" s="1104">
        <v>0.05</v>
      </c>
    </row>
    <row r="317" spans="1:6" ht="14.25" thickBot="1">
      <c r="A317" s="854" t="s">
        <v>920</v>
      </c>
      <c r="B317" s="855" t="s">
        <v>921</v>
      </c>
      <c r="C317" s="1095">
        <v>0.15</v>
      </c>
      <c r="D317" s="1095">
        <v>0.15</v>
      </c>
      <c r="E317" s="1095">
        <v>0.15</v>
      </c>
      <c r="F317" s="1096">
        <v>0.15</v>
      </c>
    </row>
    <row r="318" spans="1:6" ht="14.25" thickBot="1">
      <c r="A318" s="854" t="s">
        <v>920</v>
      </c>
      <c r="B318" s="848" t="s">
        <v>922</v>
      </c>
      <c r="C318" s="1097">
        <v>0.107</v>
      </c>
      <c r="D318" s="1097">
        <v>0.11</v>
      </c>
      <c r="E318" s="1097">
        <v>0.112</v>
      </c>
      <c r="F318" s="1102"/>
    </row>
    <row r="319" spans="1:6" ht="14.25" thickBot="1">
      <c r="A319" s="854" t="s">
        <v>920</v>
      </c>
      <c r="B319" s="848" t="s">
        <v>923</v>
      </c>
      <c r="C319" s="1097">
        <v>0.15</v>
      </c>
      <c r="D319" s="1097">
        <v>0.15</v>
      </c>
      <c r="E319" s="1097">
        <v>0.15</v>
      </c>
      <c r="F319" s="1098">
        <v>0.15</v>
      </c>
    </row>
    <row r="320" spans="1:6" ht="14.25" thickBot="1">
      <c r="A320" s="854" t="s">
        <v>920</v>
      </c>
      <c r="B320" s="848" t="s">
        <v>172</v>
      </c>
      <c r="C320" s="1097">
        <v>0.15</v>
      </c>
      <c r="D320" s="1097">
        <v>0.15</v>
      </c>
      <c r="E320" s="1097">
        <v>0.15</v>
      </c>
      <c r="F320" s="1102"/>
    </row>
    <row r="321" spans="1:6" ht="14.25" thickBot="1">
      <c r="A321" s="854" t="s">
        <v>920</v>
      </c>
      <c r="B321" s="848" t="s">
        <v>924</v>
      </c>
      <c r="C321" s="1097">
        <v>0.15</v>
      </c>
      <c r="D321" s="1097">
        <v>0.15</v>
      </c>
      <c r="E321" s="1097">
        <v>0.15</v>
      </c>
      <c r="F321" s="1102"/>
    </row>
    <row r="322" spans="1:6" ht="14.25" thickBot="1">
      <c r="A322" s="854" t="s">
        <v>920</v>
      </c>
      <c r="B322" s="848" t="s">
        <v>925</v>
      </c>
      <c r="C322" s="1097">
        <v>0.15</v>
      </c>
      <c r="D322" s="1097">
        <v>0.15</v>
      </c>
      <c r="E322" s="1097">
        <v>0.15</v>
      </c>
      <c r="F322" s="1098">
        <v>0.15</v>
      </c>
    </row>
    <row r="323" spans="1:6" ht="14.25" thickBot="1">
      <c r="A323" s="854" t="s">
        <v>920</v>
      </c>
      <c r="B323" s="848" t="s">
        <v>926</v>
      </c>
      <c r="C323" s="1097">
        <v>0.15</v>
      </c>
      <c r="D323" s="1097">
        <v>0.15</v>
      </c>
      <c r="E323" s="1097">
        <v>0.15</v>
      </c>
      <c r="F323" s="1102"/>
    </row>
    <row r="324" spans="1:6" ht="14.25" thickBot="1">
      <c r="A324" s="854" t="s">
        <v>920</v>
      </c>
      <c r="B324" s="848" t="s">
        <v>927</v>
      </c>
      <c r="C324" s="1097">
        <v>0.15</v>
      </c>
      <c r="D324" s="1097">
        <v>0.15</v>
      </c>
      <c r="E324" s="1097">
        <v>0.15</v>
      </c>
      <c r="F324" s="1102"/>
    </row>
    <row r="325" spans="1:6" ht="14.25" thickBot="1">
      <c r="A325" s="854" t="s">
        <v>920</v>
      </c>
      <c r="B325" s="848" t="s">
        <v>928</v>
      </c>
      <c r="C325" s="1097">
        <v>0.15</v>
      </c>
      <c r="D325" s="1097">
        <v>0.15</v>
      </c>
      <c r="E325" s="1097">
        <v>0.15</v>
      </c>
      <c r="F325" s="1098">
        <v>0.14699999999999999</v>
      </c>
    </row>
    <row r="326" spans="1:6" ht="14.25" thickBot="1">
      <c r="A326" s="854" t="s">
        <v>920</v>
      </c>
      <c r="B326" s="848" t="s">
        <v>244</v>
      </c>
      <c r="C326" s="1097">
        <v>0.15</v>
      </c>
      <c r="D326" s="1097">
        <v>0.15</v>
      </c>
      <c r="E326" s="1097">
        <v>0.15</v>
      </c>
      <c r="F326" s="1102"/>
    </row>
    <row r="327" spans="1:6" ht="14.25" thickBot="1">
      <c r="A327" s="854" t="s">
        <v>920</v>
      </c>
      <c r="B327" s="848" t="s">
        <v>929</v>
      </c>
      <c r="C327" s="1097">
        <v>0.15</v>
      </c>
      <c r="D327" s="1097">
        <v>0.15</v>
      </c>
      <c r="E327" s="1097">
        <v>0.15</v>
      </c>
      <c r="F327" s="1098">
        <v>0.15</v>
      </c>
    </row>
    <row r="328" spans="1:6" ht="14.25" thickBot="1">
      <c r="A328" s="854" t="s">
        <v>920</v>
      </c>
      <c r="B328" s="848" t="s">
        <v>266</v>
      </c>
      <c r="C328" s="1097">
        <v>0.15</v>
      </c>
      <c r="D328" s="1097">
        <v>0.15</v>
      </c>
      <c r="E328" s="1097">
        <v>0.15</v>
      </c>
      <c r="F328" s="1098">
        <v>0.14099999999999999</v>
      </c>
    </row>
    <row r="329" spans="1:6" ht="14.25" thickBot="1">
      <c r="A329" s="854" t="s">
        <v>920</v>
      </c>
      <c r="B329" s="848" t="s">
        <v>277</v>
      </c>
      <c r="C329" s="1097">
        <v>0.15</v>
      </c>
      <c r="D329" s="1097">
        <v>0.15</v>
      </c>
      <c r="E329" s="1097">
        <v>0.15</v>
      </c>
      <c r="F329" s="1098">
        <v>0.15</v>
      </c>
    </row>
    <row r="330" spans="1:6" ht="14.25" thickBot="1">
      <c r="A330" s="854" t="s">
        <v>920</v>
      </c>
      <c r="B330" s="848" t="s">
        <v>288</v>
      </c>
      <c r="C330" s="1097">
        <v>0.15</v>
      </c>
      <c r="D330" s="1097">
        <v>0.15</v>
      </c>
      <c r="E330" s="1097">
        <v>0.15</v>
      </c>
      <c r="F330" s="1102"/>
    </row>
    <row r="331" spans="1:6" ht="14.25" thickBot="1">
      <c r="A331" s="854" t="s">
        <v>920</v>
      </c>
      <c r="B331" s="848" t="s">
        <v>930</v>
      </c>
      <c r="C331" s="1097">
        <v>0.15</v>
      </c>
      <c r="D331" s="1097">
        <v>0.15</v>
      </c>
      <c r="E331" s="1097">
        <v>0.15</v>
      </c>
      <c r="F331" s="1098">
        <v>0.15</v>
      </c>
    </row>
    <row r="332" spans="1:6" ht="14.25" thickBot="1">
      <c r="A332" s="854" t="s">
        <v>920</v>
      </c>
      <c r="B332" s="848" t="s">
        <v>309</v>
      </c>
      <c r="C332" s="1097">
        <v>0.15</v>
      </c>
      <c r="D332" s="1097">
        <v>0.15</v>
      </c>
      <c r="E332" s="1097">
        <v>0.15</v>
      </c>
      <c r="F332" s="1098">
        <v>0.15</v>
      </c>
    </row>
    <row r="333" spans="1:6" ht="14.25" thickBot="1">
      <c r="A333" s="854" t="s">
        <v>920</v>
      </c>
      <c r="B333" s="848" t="s">
        <v>931</v>
      </c>
      <c r="C333" s="1097">
        <v>0.15</v>
      </c>
      <c r="D333" s="1097">
        <v>0.15</v>
      </c>
      <c r="E333" s="1097">
        <v>0.15</v>
      </c>
      <c r="F333" s="1098">
        <v>0.14099999999999999</v>
      </c>
    </row>
    <row r="334" spans="1:6" ht="14.25" thickBot="1">
      <c r="A334" s="854" t="s">
        <v>920</v>
      </c>
      <c r="B334" s="848" t="s">
        <v>329</v>
      </c>
      <c r="C334" s="1097">
        <v>0.15</v>
      </c>
      <c r="D334" s="1097">
        <v>0.15</v>
      </c>
      <c r="E334" s="1097">
        <v>0.15</v>
      </c>
      <c r="F334" s="1098">
        <v>0.15</v>
      </c>
    </row>
    <row r="335" spans="1:6" ht="14.25" thickBot="1">
      <c r="A335" s="854" t="s">
        <v>920</v>
      </c>
      <c r="B335" s="848" t="s">
        <v>339</v>
      </c>
      <c r="C335" s="1097">
        <v>0.15</v>
      </c>
      <c r="D335" s="1097">
        <v>0.15</v>
      </c>
      <c r="E335" s="1097">
        <v>0.15</v>
      </c>
      <c r="F335" s="1102"/>
    </row>
    <row r="336" spans="1:6" ht="14.25" thickBot="1">
      <c r="A336" s="854" t="s">
        <v>920</v>
      </c>
      <c r="B336" s="848" t="s">
        <v>932</v>
      </c>
      <c r="C336" s="1097">
        <v>0.15</v>
      </c>
      <c r="D336" s="1097">
        <v>0.15</v>
      </c>
      <c r="E336" s="1097">
        <v>0.15</v>
      </c>
      <c r="F336" s="1098">
        <v>0.11799999999999999</v>
      </c>
    </row>
    <row r="337" spans="1:6" ht="14.25" thickBot="1">
      <c r="A337" s="871" t="s">
        <v>920</v>
      </c>
      <c r="B337" s="864" t="s">
        <v>357</v>
      </c>
      <c r="C337" s="1100"/>
      <c r="D337" s="1100"/>
      <c r="E337" s="1100"/>
      <c r="F337" s="1104">
        <v>0.14299999999999999</v>
      </c>
    </row>
    <row r="338" spans="1:6" ht="14.25" thickBot="1">
      <c r="A338" s="854" t="s">
        <v>933</v>
      </c>
      <c r="B338" s="855" t="s">
        <v>934</v>
      </c>
      <c r="C338" s="1095">
        <v>0.15</v>
      </c>
      <c r="D338" s="1095">
        <v>0.15</v>
      </c>
      <c r="E338" s="1095">
        <v>0.15</v>
      </c>
      <c r="F338" s="1112"/>
    </row>
    <row r="339" spans="1:6" ht="14.25" thickBot="1">
      <c r="A339" s="854" t="s">
        <v>933</v>
      </c>
      <c r="B339" s="848" t="s">
        <v>935</v>
      </c>
      <c r="C339" s="1097">
        <v>0.15</v>
      </c>
      <c r="D339" s="1097">
        <v>0.15</v>
      </c>
      <c r="E339" s="1097">
        <v>0.15</v>
      </c>
      <c r="F339" s="1102"/>
    </row>
    <row r="340" spans="1:6" ht="14.25" thickBot="1">
      <c r="A340" s="854" t="s">
        <v>933</v>
      </c>
      <c r="B340" s="848" t="s">
        <v>936</v>
      </c>
      <c r="C340" s="1097">
        <v>0.15</v>
      </c>
      <c r="D340" s="1097">
        <v>0.15</v>
      </c>
      <c r="E340" s="1097">
        <v>0.15</v>
      </c>
      <c r="F340" s="1102"/>
    </row>
    <row r="341" spans="1:6" ht="14.25" thickBot="1">
      <c r="A341" s="854" t="s">
        <v>933</v>
      </c>
      <c r="B341" s="848" t="s">
        <v>937</v>
      </c>
      <c r="C341" s="1097">
        <v>0.15</v>
      </c>
      <c r="D341" s="1097">
        <v>0.15</v>
      </c>
      <c r="E341" s="1097">
        <v>0.15</v>
      </c>
      <c r="F341" s="1098">
        <v>0.15</v>
      </c>
    </row>
    <row r="342" spans="1:6" ht="14.25" thickBot="1">
      <c r="A342" s="854" t="s">
        <v>933</v>
      </c>
      <c r="B342" s="848" t="s">
        <v>938</v>
      </c>
      <c r="C342" s="1097">
        <v>0.15</v>
      </c>
      <c r="D342" s="1097">
        <v>0.15</v>
      </c>
      <c r="E342" s="1097">
        <v>0.15</v>
      </c>
      <c r="F342" s="1098">
        <v>0.15</v>
      </c>
    </row>
    <row r="343" spans="1:6" ht="14.25" thickBot="1">
      <c r="A343" s="854" t="s">
        <v>933</v>
      </c>
      <c r="B343" s="848" t="s">
        <v>939</v>
      </c>
      <c r="C343" s="1097">
        <v>0.15</v>
      </c>
      <c r="D343" s="1097">
        <v>0.15</v>
      </c>
      <c r="E343" s="1097">
        <v>0.15</v>
      </c>
      <c r="F343" s="1098">
        <v>0.15</v>
      </c>
    </row>
    <row r="344" spans="1:6" ht="14.2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13.5">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25">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25">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25">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25">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13.5">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25">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25">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5">
      <c r="A35" s="812" t="s">
        <v>135</v>
      </c>
      <c r="B35" s="813">
        <f>1+F37</f>
        <v>1.0127999999999999</v>
      </c>
      <c r="C35" s="1277"/>
      <c r="D35" s="815"/>
      <c r="E35" s="815"/>
      <c r="F35" s="816"/>
      <c r="G35" s="1275"/>
      <c r="H35" s="1271"/>
      <c r="I35" s="811"/>
      <c r="J35" s="811"/>
      <c r="K35" s="811"/>
      <c r="L35" s="811"/>
      <c r="M35" s="811"/>
    </row>
    <row r="36" spans="1:13" ht="13.5">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25">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25">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20" t="s">
        <v>105</v>
      </c>
      <c r="B1" s="3120"/>
      <c r="C1" s="3120"/>
      <c r="D1" s="3120"/>
      <c r="E1" s="3120"/>
      <c r="F1" s="312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21" t="s">
        <v>118</v>
      </c>
      <c r="B2" s="3121"/>
      <c r="C2" s="3121"/>
      <c r="D2" s="3121"/>
      <c r="E2" s="3121"/>
      <c r="F2" s="312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2811</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4" t="s">
        <v>132</v>
      </c>
      <c r="B18" s="905" t="s">
        <v>517</v>
      </c>
      <c r="C18" s="906" t="s">
        <v>518</v>
      </c>
      <c r="D18" s="907"/>
      <c r="E18" s="905">
        <v>1</v>
      </c>
      <c r="F18" s="908" t="s">
        <v>519</v>
      </c>
      <c r="G18" s="909"/>
      <c r="H18" s="901"/>
      <c r="I18" s="901"/>
    </row>
    <row r="19" spans="1:9" s="910" customFormat="1" ht="19.5" customHeight="1">
      <c r="A19" s="3124"/>
      <c r="B19" s="3124" t="s">
        <v>520</v>
      </c>
      <c r="C19" s="906" t="s">
        <v>521</v>
      </c>
      <c r="D19" s="907"/>
      <c r="E19" s="905">
        <v>0.9</v>
      </c>
      <c r="F19" s="908" t="s">
        <v>522</v>
      </c>
      <c r="G19" s="909"/>
      <c r="H19" s="901"/>
      <c r="I19" s="901"/>
    </row>
    <row r="20" spans="1:9" s="910" customFormat="1" ht="19.5" customHeight="1">
      <c r="A20" s="3124"/>
      <c r="B20" s="3124"/>
      <c r="C20" s="906" t="s">
        <v>523</v>
      </c>
      <c r="D20" s="907"/>
      <c r="E20" s="905">
        <v>1.1000000000000001</v>
      </c>
      <c r="F20" s="908" t="s">
        <v>524</v>
      </c>
      <c r="G20" s="909"/>
      <c r="H20" s="901"/>
      <c r="I20" s="901"/>
    </row>
    <row r="21" spans="1:9" s="910" customFormat="1" ht="19.5" customHeight="1">
      <c r="A21" s="3124"/>
      <c r="B21" s="3124"/>
      <c r="C21" s="906" t="s">
        <v>525</v>
      </c>
      <c r="D21" s="907"/>
      <c r="E21" s="905">
        <v>0.8</v>
      </c>
      <c r="F21" s="908" t="s">
        <v>526</v>
      </c>
      <c r="G21" s="909"/>
      <c r="H21" s="901"/>
      <c r="I21" s="901"/>
    </row>
    <row r="22" spans="1:9" s="910" customFormat="1" ht="19.5" customHeight="1">
      <c r="A22" s="3124"/>
      <c r="B22" s="3124"/>
      <c r="C22" s="906" t="s">
        <v>527</v>
      </c>
      <c r="D22" s="907"/>
      <c r="E22" s="905">
        <v>0.5</v>
      </c>
      <c r="F22" s="908"/>
      <c r="G22" s="909"/>
      <c r="H22" s="901"/>
      <c r="I22" s="901"/>
    </row>
    <row r="23" spans="1:9" s="910" customFormat="1" ht="19.5" customHeight="1">
      <c r="A23" s="3124" t="s">
        <v>133</v>
      </c>
      <c r="B23" s="905" t="s">
        <v>517</v>
      </c>
      <c r="C23" s="906" t="s">
        <v>528</v>
      </c>
      <c r="D23" s="907"/>
      <c r="E23" s="905">
        <v>1</v>
      </c>
      <c r="F23" s="908" t="s">
        <v>529</v>
      </c>
      <c r="G23" s="909"/>
      <c r="H23" s="901"/>
      <c r="I23" s="901"/>
    </row>
    <row r="24" spans="1:9" s="910" customFormat="1" ht="19.5" customHeight="1">
      <c r="A24" s="3124"/>
      <c r="B24" s="3124" t="s">
        <v>520</v>
      </c>
      <c r="C24" s="906" t="s">
        <v>530</v>
      </c>
      <c r="D24" s="907"/>
      <c r="E24" s="905">
        <v>0.5</v>
      </c>
      <c r="F24" s="908"/>
      <c r="G24" s="909"/>
      <c r="H24" s="901"/>
      <c r="I24" s="901"/>
    </row>
    <row r="25" spans="1:9" s="910" customFormat="1" ht="19.5" customHeight="1">
      <c r="A25" s="3124"/>
      <c r="B25" s="3124"/>
      <c r="C25" s="906" t="s">
        <v>531</v>
      </c>
      <c r="D25" s="907"/>
      <c r="E25" s="905">
        <v>1.1000000000000001</v>
      </c>
      <c r="F25" s="908"/>
      <c r="G25" s="909"/>
      <c r="H25" s="901"/>
      <c r="I25" s="901"/>
    </row>
    <row r="26" spans="1:9" s="910" customFormat="1" ht="19.5" customHeight="1">
      <c r="A26" s="3124"/>
      <c r="B26" s="3124"/>
      <c r="C26" s="906" t="s">
        <v>532</v>
      </c>
      <c r="D26" s="907"/>
      <c r="E26" s="905">
        <v>1.1000000000000001</v>
      </c>
      <c r="F26" s="908"/>
      <c r="G26" s="909"/>
      <c r="H26" s="901"/>
      <c r="I26" s="901"/>
    </row>
    <row r="27" spans="1:9" s="910" customFormat="1" ht="19.5" customHeight="1">
      <c r="A27" s="3124"/>
      <c r="B27" s="3124"/>
      <c r="C27" s="906" t="s">
        <v>533</v>
      </c>
      <c r="D27" s="907"/>
      <c r="E27" s="905">
        <v>0.9</v>
      </c>
      <c r="F27" s="908" t="s">
        <v>534</v>
      </c>
      <c r="G27" s="909"/>
      <c r="H27" s="901"/>
      <c r="I27" s="901"/>
    </row>
    <row r="28" spans="1:9" s="910" customFormat="1" ht="19.5" customHeight="1">
      <c r="A28" s="3124"/>
      <c r="B28" s="3124"/>
      <c r="C28" s="906" t="s">
        <v>535</v>
      </c>
      <c r="D28" s="907"/>
      <c r="E28" s="905">
        <v>0.9</v>
      </c>
      <c r="F28" s="908" t="s">
        <v>536</v>
      </c>
      <c r="G28" s="909"/>
      <c r="H28" s="901"/>
      <c r="I28" s="901"/>
    </row>
    <row r="29" spans="1:9" s="910" customFormat="1" ht="19.5" customHeight="1">
      <c r="A29" s="3124"/>
      <c r="B29" s="3124"/>
      <c r="C29" s="906" t="s">
        <v>537</v>
      </c>
      <c r="D29" s="907"/>
      <c r="E29" s="905">
        <v>0.9</v>
      </c>
      <c r="F29" s="908" t="s">
        <v>538</v>
      </c>
      <c r="G29" s="909"/>
      <c r="H29" s="901"/>
      <c r="I29" s="901"/>
    </row>
    <row r="30" spans="1:9" s="910" customFormat="1" ht="19.5" customHeight="1">
      <c r="A30" s="3124"/>
      <c r="B30" s="3124"/>
      <c r="C30" s="906" t="s">
        <v>539</v>
      </c>
      <c r="D30" s="907"/>
      <c r="E30" s="905">
        <v>0.9</v>
      </c>
      <c r="F30" s="908" t="s">
        <v>540</v>
      </c>
      <c r="G30" s="909"/>
      <c r="H30" s="901"/>
      <c r="I30" s="901"/>
    </row>
    <row r="31" spans="1:9" s="910" customFormat="1" ht="19.5" customHeight="1">
      <c r="A31" s="3124"/>
      <c r="B31" s="3124"/>
      <c r="C31" s="906" t="s">
        <v>541</v>
      </c>
      <c r="D31" s="907"/>
      <c r="E31" s="905">
        <v>0.8</v>
      </c>
      <c r="F31" s="908" t="s">
        <v>542</v>
      </c>
      <c r="G31" s="909"/>
      <c r="H31" s="901"/>
      <c r="I31" s="901"/>
    </row>
    <row r="32" spans="1:9" s="910" customFormat="1" ht="19.5" customHeight="1">
      <c r="A32" s="3124"/>
      <c r="B32" s="3124"/>
      <c r="C32" s="906" t="s">
        <v>543</v>
      </c>
      <c r="D32" s="907"/>
      <c r="E32" s="905">
        <v>0.8</v>
      </c>
      <c r="F32" s="908" t="s">
        <v>544</v>
      </c>
      <c r="G32" s="909"/>
      <c r="H32" s="901"/>
      <c r="I32" s="901"/>
    </row>
    <row r="33" spans="1:9" s="910" customFormat="1" ht="19.5" customHeight="1">
      <c r="A33" s="3124" t="s">
        <v>134</v>
      </c>
      <c r="B33" s="905" t="s">
        <v>517</v>
      </c>
      <c r="C33" s="906" t="s">
        <v>545</v>
      </c>
      <c r="D33" s="907"/>
      <c r="E33" s="905">
        <v>1</v>
      </c>
      <c r="F33" s="908" t="s">
        <v>546</v>
      </c>
      <c r="G33" s="909"/>
      <c r="H33" s="901"/>
      <c r="I33" s="901"/>
    </row>
    <row r="34" spans="1:9" s="910" customFormat="1" ht="19.5" customHeight="1">
      <c r="A34" s="3124"/>
      <c r="B34" s="905" t="s">
        <v>520</v>
      </c>
      <c r="C34" s="906" t="s">
        <v>547</v>
      </c>
      <c r="D34" s="907"/>
      <c r="E34" s="905">
        <v>1.5</v>
      </c>
      <c r="F34" s="908" t="s">
        <v>548</v>
      </c>
      <c r="G34" s="909"/>
      <c r="H34" s="901"/>
      <c r="I34" s="901"/>
    </row>
    <row r="35" spans="1:9" s="910" customFormat="1" ht="19.5" customHeight="1">
      <c r="A35" s="3124" t="s">
        <v>135</v>
      </c>
      <c r="B35" s="905" t="s">
        <v>517</v>
      </c>
      <c r="C35" s="906" t="s">
        <v>549</v>
      </c>
      <c r="D35" s="907"/>
      <c r="E35" s="905">
        <v>1</v>
      </c>
      <c r="F35" s="908" t="s">
        <v>550</v>
      </c>
      <c r="G35" s="909"/>
      <c r="H35" s="901"/>
      <c r="I35" s="901"/>
    </row>
    <row r="36" spans="1:9" s="910" customFormat="1" ht="19.5" customHeight="1">
      <c r="A36" s="3124"/>
      <c r="B36" s="3124" t="s">
        <v>520</v>
      </c>
      <c r="C36" s="906" t="s">
        <v>551</v>
      </c>
      <c r="D36" s="907"/>
      <c r="E36" s="905">
        <v>1</v>
      </c>
      <c r="F36" s="908" t="s">
        <v>552</v>
      </c>
      <c r="G36" s="909"/>
      <c r="H36" s="901"/>
      <c r="I36" s="901"/>
    </row>
    <row r="37" spans="1:9" s="910" customFormat="1" ht="19.5" customHeight="1">
      <c r="A37" s="3124"/>
      <c r="B37" s="3124"/>
      <c r="C37" s="906" t="s">
        <v>553</v>
      </c>
      <c r="D37" s="907"/>
      <c r="E37" s="905">
        <v>1.5</v>
      </c>
      <c r="F37" s="908" t="s">
        <v>554</v>
      </c>
      <c r="G37" s="909"/>
      <c r="H37" s="901"/>
      <c r="I37" s="901"/>
    </row>
    <row r="38" spans="1:9" s="910" customFormat="1" ht="19.5" customHeight="1">
      <c r="A38" s="3124"/>
      <c r="B38" s="3124"/>
      <c r="C38" s="906" t="s">
        <v>555</v>
      </c>
      <c r="D38" s="907"/>
      <c r="E38" s="905">
        <v>1</v>
      </c>
      <c r="F38" s="908" t="s">
        <v>556</v>
      </c>
      <c r="G38" s="909"/>
      <c r="H38" s="901"/>
      <c r="I38" s="901"/>
    </row>
    <row r="39" spans="1:9" s="910" customFormat="1" ht="19.5" customHeight="1">
      <c r="A39" s="3124"/>
      <c r="B39" s="312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24" t="s">
        <v>571</v>
      </c>
      <c r="C61" s="819" t="s">
        <v>572</v>
      </c>
      <c r="D61" s="819" t="s">
        <v>573</v>
      </c>
      <c r="E61" s="918">
        <v>0.5</v>
      </c>
      <c r="F61" s="905">
        <v>80</v>
      </c>
    </row>
    <row r="62" spans="1:8" s="901" customFormat="1" ht="24">
      <c r="A62" s="905">
        <v>2</v>
      </c>
      <c r="B62" s="3124"/>
      <c r="C62" s="819" t="s">
        <v>574</v>
      </c>
      <c r="D62" s="819" t="s">
        <v>575</v>
      </c>
      <c r="E62" s="918">
        <v>0.5</v>
      </c>
      <c r="F62" s="905">
        <v>80</v>
      </c>
    </row>
    <row r="63" spans="1:8" s="901" customFormat="1" ht="36">
      <c r="A63" s="905">
        <v>3</v>
      </c>
      <c r="B63" s="3124"/>
      <c r="C63" s="819" t="s">
        <v>576</v>
      </c>
      <c r="D63" s="819" t="s">
        <v>577</v>
      </c>
      <c r="E63" s="918">
        <v>0.5</v>
      </c>
      <c r="F63" s="905">
        <v>80</v>
      </c>
    </row>
    <row r="64" spans="1:8" s="901" customFormat="1" ht="36">
      <c r="A64" s="905">
        <v>4</v>
      </c>
      <c r="B64" s="3124"/>
      <c r="C64" s="819" t="s">
        <v>578</v>
      </c>
      <c r="D64" s="819" t="s">
        <v>579</v>
      </c>
      <c r="E64" s="918">
        <v>0.4</v>
      </c>
      <c r="F64" s="905">
        <v>60</v>
      </c>
    </row>
    <row r="65" spans="1:6" s="901" customFormat="1" ht="36">
      <c r="A65" s="905">
        <v>5</v>
      </c>
      <c r="B65" s="3124"/>
      <c r="C65" s="819" t="s">
        <v>580</v>
      </c>
      <c r="D65" s="819" t="s">
        <v>581</v>
      </c>
      <c r="E65" s="918">
        <v>0.2</v>
      </c>
      <c r="F65" s="905">
        <v>30</v>
      </c>
    </row>
    <row r="66" spans="1:6" s="901" customFormat="1" ht="36">
      <c r="A66" s="905">
        <v>6</v>
      </c>
      <c r="B66" s="3124"/>
      <c r="C66" s="819" t="s">
        <v>582</v>
      </c>
      <c r="D66" s="819" t="s">
        <v>583</v>
      </c>
      <c r="E66" s="918">
        <v>0.3</v>
      </c>
      <c r="F66" s="905">
        <v>50</v>
      </c>
    </row>
    <row r="67" spans="1:6" s="901" customFormat="1" ht="36">
      <c r="A67" s="905">
        <v>7</v>
      </c>
      <c r="B67" s="3124"/>
      <c r="C67" s="819" t="s">
        <v>584</v>
      </c>
      <c r="D67" s="819" t="s">
        <v>585</v>
      </c>
      <c r="E67" s="918">
        <v>0.2</v>
      </c>
      <c r="F67" s="905">
        <v>30</v>
      </c>
    </row>
    <row r="68" spans="1:6" s="901" customFormat="1" ht="36">
      <c r="A68" s="905">
        <v>8</v>
      </c>
      <c r="B68" s="3124"/>
      <c r="C68" s="819" t="s">
        <v>586</v>
      </c>
      <c r="D68" s="819" t="s">
        <v>587</v>
      </c>
      <c r="E68" s="918">
        <v>0.2</v>
      </c>
      <c r="F68" s="905">
        <v>30</v>
      </c>
    </row>
    <row r="69" spans="1:6" s="901" customFormat="1" ht="36">
      <c r="A69" s="905">
        <v>9</v>
      </c>
      <c r="B69" s="3124"/>
      <c r="C69" s="819" t="s">
        <v>588</v>
      </c>
      <c r="D69" s="819" t="s">
        <v>589</v>
      </c>
      <c r="E69" s="918">
        <v>0.2</v>
      </c>
      <c r="F69" s="905">
        <v>30</v>
      </c>
    </row>
    <row r="70" spans="1:6" s="901" customFormat="1" ht="48">
      <c r="A70" s="905">
        <v>10</v>
      </c>
      <c r="B70" s="3124"/>
      <c r="C70" s="819" t="s">
        <v>590</v>
      </c>
      <c r="D70" s="819" t="s">
        <v>591</v>
      </c>
      <c r="E70" s="918">
        <v>0.2</v>
      </c>
      <c r="F70" s="905">
        <v>30</v>
      </c>
    </row>
    <row r="71" spans="1:6" s="901" customFormat="1" ht="48">
      <c r="A71" s="905">
        <v>11</v>
      </c>
      <c r="B71" s="3124"/>
      <c r="C71" s="819" t="s">
        <v>592</v>
      </c>
      <c r="D71" s="819" t="s">
        <v>593</v>
      </c>
      <c r="E71" s="918">
        <v>0.2</v>
      </c>
      <c r="F71" s="905">
        <v>30</v>
      </c>
    </row>
    <row r="72" spans="1:6" s="901" customFormat="1" ht="36">
      <c r="A72" s="905">
        <v>12</v>
      </c>
      <c r="B72" s="3124"/>
      <c r="C72" s="819" t="s">
        <v>594</v>
      </c>
      <c r="D72" s="819" t="s">
        <v>595</v>
      </c>
      <c r="E72" s="918">
        <v>0.5</v>
      </c>
      <c r="F72" s="905">
        <v>80</v>
      </c>
    </row>
    <row r="73" spans="1:6" s="901" customFormat="1" ht="24">
      <c r="A73" s="905">
        <v>13</v>
      </c>
      <c r="B73" s="3124"/>
      <c r="C73" s="819" t="s">
        <v>596</v>
      </c>
      <c r="D73" s="819" t="s">
        <v>597</v>
      </c>
      <c r="E73" s="918">
        <v>0.4</v>
      </c>
      <c r="F73" s="905">
        <v>60</v>
      </c>
    </row>
    <row r="74" spans="1:6" s="901" customFormat="1" ht="24">
      <c r="A74" s="905">
        <v>14</v>
      </c>
      <c r="B74" s="3124"/>
      <c r="C74" s="819" t="s">
        <v>598</v>
      </c>
      <c r="D74" s="819" t="s">
        <v>599</v>
      </c>
      <c r="E74" s="918">
        <v>0.2</v>
      </c>
      <c r="F74" s="905">
        <v>30</v>
      </c>
    </row>
    <row r="75" spans="1:6" s="901" customFormat="1" ht="24">
      <c r="A75" s="905">
        <v>15</v>
      </c>
      <c r="B75" s="3124"/>
      <c r="C75" s="819" t="s">
        <v>600</v>
      </c>
      <c r="D75" s="819" t="s">
        <v>601</v>
      </c>
      <c r="E75" s="918">
        <v>0.2</v>
      </c>
      <c r="F75" s="905">
        <v>30</v>
      </c>
    </row>
    <row r="76" spans="1:6" s="901" customFormat="1" ht="24">
      <c r="A76" s="905">
        <v>16</v>
      </c>
      <c r="B76" s="3124" t="s">
        <v>602</v>
      </c>
      <c r="C76" s="819" t="s">
        <v>603</v>
      </c>
      <c r="D76" s="819" t="s">
        <v>604</v>
      </c>
      <c r="E76" s="918">
        <v>0.5</v>
      </c>
      <c r="F76" s="905">
        <v>80</v>
      </c>
    </row>
    <row r="77" spans="1:6" s="901" customFormat="1" ht="24">
      <c r="A77" s="905">
        <v>17</v>
      </c>
      <c r="B77" s="3124"/>
      <c r="C77" s="819" t="s">
        <v>605</v>
      </c>
      <c r="D77" s="819" t="s">
        <v>606</v>
      </c>
      <c r="E77" s="918">
        <v>0.5</v>
      </c>
      <c r="F77" s="905">
        <v>80</v>
      </c>
    </row>
    <row r="78" spans="1:6" s="901" customFormat="1" ht="24">
      <c r="A78" s="905">
        <v>18</v>
      </c>
      <c r="B78" s="3124"/>
      <c r="C78" s="819" t="s">
        <v>607</v>
      </c>
      <c r="D78" s="819" t="s">
        <v>608</v>
      </c>
      <c r="E78" s="918">
        <v>0.2</v>
      </c>
      <c r="F78" s="905">
        <v>30</v>
      </c>
    </row>
    <row r="79" spans="1:6" s="901" customFormat="1" ht="24">
      <c r="A79" s="905">
        <v>19</v>
      </c>
      <c r="B79" s="3124"/>
      <c r="C79" s="819" t="s">
        <v>609</v>
      </c>
      <c r="D79" s="819" t="s">
        <v>610</v>
      </c>
      <c r="E79" s="918">
        <v>0.5</v>
      </c>
      <c r="F79" s="905">
        <v>80</v>
      </c>
    </row>
    <row r="80" spans="1:6" s="901" customFormat="1" ht="36">
      <c r="A80" s="905">
        <v>20</v>
      </c>
      <c r="B80" s="3124"/>
      <c r="C80" s="819" t="s">
        <v>611</v>
      </c>
      <c r="D80" s="819" t="s">
        <v>612</v>
      </c>
      <c r="E80" s="918">
        <v>0.2</v>
      </c>
      <c r="F80" s="905">
        <v>30</v>
      </c>
    </row>
    <row r="81" spans="1:6" s="901" customFormat="1" ht="36">
      <c r="A81" s="905">
        <v>21</v>
      </c>
      <c r="B81" s="3124"/>
      <c r="C81" s="819" t="s">
        <v>613</v>
      </c>
      <c r="D81" s="819" t="s">
        <v>614</v>
      </c>
      <c r="E81" s="918">
        <v>0.2</v>
      </c>
      <c r="F81" s="905">
        <v>30</v>
      </c>
    </row>
    <row r="82" spans="1:6" s="901" customFormat="1" ht="48">
      <c r="A82" s="905">
        <v>22</v>
      </c>
      <c r="B82" s="3124"/>
      <c r="C82" s="819" t="s">
        <v>615</v>
      </c>
      <c r="D82" s="819" t="s">
        <v>616</v>
      </c>
      <c r="E82" s="918">
        <v>0.2</v>
      </c>
      <c r="F82" s="905">
        <v>30</v>
      </c>
    </row>
    <row r="83" spans="1:6" s="901" customFormat="1" ht="48">
      <c r="A83" s="905">
        <v>23</v>
      </c>
      <c r="B83" s="3124"/>
      <c r="C83" s="819" t="s">
        <v>617</v>
      </c>
      <c r="D83" s="819" t="s">
        <v>618</v>
      </c>
      <c r="E83" s="918">
        <v>0.2</v>
      </c>
      <c r="F83" s="905">
        <v>30</v>
      </c>
    </row>
    <row r="84" spans="1:6" s="901" customFormat="1" ht="36">
      <c r="A84" s="905">
        <v>24</v>
      </c>
      <c r="B84" s="3124"/>
      <c r="C84" s="819" t="s">
        <v>619</v>
      </c>
      <c r="D84" s="819" t="s">
        <v>620</v>
      </c>
      <c r="E84" s="918">
        <v>0.2</v>
      </c>
      <c r="F84" s="905">
        <v>30</v>
      </c>
    </row>
    <row r="85" spans="1:6" s="901" customFormat="1" ht="36">
      <c r="A85" s="905">
        <v>25</v>
      </c>
      <c r="B85" s="3124"/>
      <c r="C85" s="819" t="s">
        <v>621</v>
      </c>
      <c r="D85" s="819" t="s">
        <v>622</v>
      </c>
      <c r="E85" s="918">
        <v>0.5</v>
      </c>
      <c r="F85" s="905">
        <v>80</v>
      </c>
    </row>
    <row r="86" spans="1:6" s="901" customFormat="1" ht="36">
      <c r="A86" s="905">
        <v>26</v>
      </c>
      <c r="B86" s="3124"/>
      <c r="C86" s="819" t="s">
        <v>623</v>
      </c>
      <c r="D86" s="819" t="s">
        <v>624</v>
      </c>
      <c r="E86" s="918">
        <v>0.2</v>
      </c>
      <c r="F86" s="905">
        <v>30</v>
      </c>
    </row>
    <row r="87" spans="1:6" s="901" customFormat="1" ht="36">
      <c r="A87" s="905">
        <v>27</v>
      </c>
      <c r="B87" s="3124"/>
      <c r="C87" s="819" t="s">
        <v>625</v>
      </c>
      <c r="D87" s="819" t="s">
        <v>626</v>
      </c>
      <c r="E87" s="918">
        <v>0.2</v>
      </c>
      <c r="F87" s="905">
        <v>30</v>
      </c>
    </row>
    <row r="88" spans="1:6" s="901" customFormat="1" ht="36">
      <c r="A88" s="905">
        <v>28</v>
      </c>
      <c r="B88" s="3124"/>
      <c r="C88" s="819" t="s">
        <v>627</v>
      </c>
      <c r="D88" s="819" t="s">
        <v>628</v>
      </c>
      <c r="E88" s="918">
        <v>0.2</v>
      </c>
      <c r="F88" s="905">
        <v>30</v>
      </c>
    </row>
    <row r="89" spans="1:6" s="901" customFormat="1" ht="24">
      <c r="A89" s="905">
        <v>29</v>
      </c>
      <c r="B89" s="3124"/>
      <c r="C89" s="819" t="s">
        <v>629</v>
      </c>
      <c r="D89" s="819" t="s">
        <v>630</v>
      </c>
      <c r="E89" s="918">
        <v>0.2</v>
      </c>
      <c r="F89" s="905">
        <v>30</v>
      </c>
    </row>
    <row r="90" spans="1:6" s="901" customFormat="1" ht="24">
      <c r="A90" s="905">
        <v>30</v>
      </c>
      <c r="B90" s="3124"/>
      <c r="C90" s="819" t="s">
        <v>631</v>
      </c>
      <c r="D90" s="819" t="s">
        <v>632</v>
      </c>
      <c r="E90" s="918">
        <v>0.2</v>
      </c>
      <c r="F90" s="905">
        <v>30</v>
      </c>
    </row>
    <row r="91" spans="1:6" s="901" customFormat="1" ht="36">
      <c r="A91" s="905">
        <v>31</v>
      </c>
      <c r="B91" s="3124"/>
      <c r="C91" s="819" t="s">
        <v>633</v>
      </c>
      <c r="D91" s="819" t="s">
        <v>634</v>
      </c>
      <c r="E91" s="918">
        <v>0.2</v>
      </c>
      <c r="F91" s="905">
        <v>30</v>
      </c>
    </row>
    <row r="92" spans="1:6" s="901" customFormat="1" ht="24">
      <c r="A92" s="905">
        <v>32</v>
      </c>
      <c r="B92" s="3124" t="s">
        <v>635</v>
      </c>
      <c r="C92" s="905" t="s">
        <v>636</v>
      </c>
      <c r="D92" s="819" t="s">
        <v>637</v>
      </c>
      <c r="E92" s="918">
        <v>0.2</v>
      </c>
      <c r="F92" s="905">
        <v>30</v>
      </c>
    </row>
    <row r="93" spans="1:6" s="901" customFormat="1" ht="36">
      <c r="A93" s="905">
        <v>33</v>
      </c>
      <c r="B93" s="3124"/>
      <c r="C93" s="905" t="s">
        <v>638</v>
      </c>
      <c r="D93" s="819" t="s">
        <v>639</v>
      </c>
      <c r="E93" s="918">
        <v>0.2</v>
      </c>
      <c r="F93" s="905">
        <v>30</v>
      </c>
    </row>
    <row r="94" spans="1:6" s="901" customFormat="1" ht="48">
      <c r="A94" s="905">
        <v>34</v>
      </c>
      <c r="B94" s="3124"/>
      <c r="C94" s="905" t="s">
        <v>640</v>
      </c>
      <c r="D94" s="819" t="s">
        <v>641</v>
      </c>
      <c r="E94" s="918">
        <v>0.2</v>
      </c>
      <c r="F94" s="905">
        <v>30</v>
      </c>
    </row>
    <row r="95" spans="1:6" s="901" customFormat="1" ht="36">
      <c r="A95" s="905">
        <v>35</v>
      </c>
      <c r="B95" s="3124"/>
      <c r="C95" s="905" t="s">
        <v>642</v>
      </c>
      <c r="D95" s="819" t="s">
        <v>643</v>
      </c>
      <c r="E95" s="918">
        <v>0.2</v>
      </c>
      <c r="F95" s="905">
        <v>30</v>
      </c>
    </row>
    <row r="96" spans="1:6" s="901" customFormat="1" ht="48">
      <c r="A96" s="905">
        <v>36</v>
      </c>
      <c r="B96" s="3124"/>
      <c r="C96" s="819" t="s">
        <v>644</v>
      </c>
      <c r="D96" s="819" t="s">
        <v>645</v>
      </c>
      <c r="E96" s="918">
        <v>0.2</v>
      </c>
      <c r="F96" s="905">
        <v>30</v>
      </c>
    </row>
    <row r="97" spans="1:6" s="901" customFormat="1" ht="36">
      <c r="A97" s="905">
        <v>37</v>
      </c>
      <c r="B97" s="3124"/>
      <c r="C97" s="905" t="s">
        <v>646</v>
      </c>
      <c r="D97" s="819" t="s">
        <v>647</v>
      </c>
      <c r="E97" s="918">
        <v>0.2</v>
      </c>
      <c r="F97" s="905">
        <v>30</v>
      </c>
    </row>
    <row r="98" spans="1:6" s="901" customFormat="1" ht="36">
      <c r="A98" s="905">
        <v>38</v>
      </c>
      <c r="B98" s="3124"/>
      <c r="C98" s="905" t="s">
        <v>648</v>
      </c>
      <c r="D98" s="819" t="s">
        <v>649</v>
      </c>
      <c r="E98" s="918">
        <v>0.2</v>
      </c>
      <c r="F98" s="905">
        <v>30</v>
      </c>
    </row>
    <row r="99" spans="1:6" s="901" customFormat="1" ht="36">
      <c r="A99" s="905">
        <v>39</v>
      </c>
      <c r="B99" s="3124" t="s">
        <v>650</v>
      </c>
      <c r="C99" s="905" t="s">
        <v>651</v>
      </c>
      <c r="D99" s="819" t="s">
        <v>652</v>
      </c>
      <c r="E99" s="918">
        <v>0.3</v>
      </c>
      <c r="F99" s="905">
        <v>50</v>
      </c>
    </row>
    <row r="100" spans="1:6" s="901" customFormat="1" ht="24">
      <c r="A100" s="905">
        <v>40</v>
      </c>
      <c r="B100" s="3124"/>
      <c r="C100" s="905" t="s">
        <v>653</v>
      </c>
      <c r="D100" s="819" t="s">
        <v>654</v>
      </c>
      <c r="E100" s="918">
        <v>0.2</v>
      </c>
      <c r="F100" s="905">
        <v>30</v>
      </c>
    </row>
    <row r="101" spans="1:6" s="901" customFormat="1" ht="36">
      <c r="A101" s="905">
        <v>41</v>
      </c>
      <c r="B101" s="312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4" t="s">
        <v>665</v>
      </c>
      <c r="C105" s="905" t="s">
        <v>666</v>
      </c>
      <c r="D105" s="819" t="s">
        <v>667</v>
      </c>
      <c r="E105" s="918">
        <v>0.2</v>
      </c>
      <c r="F105" s="905">
        <v>30</v>
      </c>
    </row>
    <row r="106" spans="1:6" s="901" customFormat="1" ht="36">
      <c r="A106" s="905">
        <v>46</v>
      </c>
      <c r="B106" s="3124"/>
      <c r="C106" s="905" t="s">
        <v>668</v>
      </c>
      <c r="D106" s="819" t="s">
        <v>669</v>
      </c>
      <c r="E106" s="918">
        <v>0.2</v>
      </c>
      <c r="F106" s="905">
        <v>30</v>
      </c>
    </row>
    <row r="107" spans="1:6" s="901" customFormat="1" ht="36">
      <c r="A107" s="905">
        <v>47</v>
      </c>
      <c r="B107" s="3124" t="s">
        <v>670</v>
      </c>
      <c r="C107" s="905" t="s">
        <v>671</v>
      </c>
      <c r="D107" s="819" t="s">
        <v>672</v>
      </c>
      <c r="E107" s="918">
        <v>0.3</v>
      </c>
      <c r="F107" s="905">
        <v>50</v>
      </c>
    </row>
    <row r="108" spans="1:6" s="901" customFormat="1" ht="36">
      <c r="A108" s="905">
        <v>48</v>
      </c>
      <c r="B108" s="312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4" t="s">
        <v>681</v>
      </c>
      <c r="C111" s="905" t="s">
        <v>682</v>
      </c>
      <c r="D111" s="819" t="s">
        <v>683</v>
      </c>
      <c r="E111" s="918">
        <v>0.2</v>
      </c>
      <c r="F111" s="905">
        <v>30</v>
      </c>
    </row>
    <row r="112" spans="1:6" s="901" customFormat="1" ht="24">
      <c r="A112" s="905">
        <v>52</v>
      </c>
      <c r="B112" s="3124"/>
      <c r="C112" s="905" t="s">
        <v>684</v>
      </c>
      <c r="D112" s="819" t="s">
        <v>685</v>
      </c>
      <c r="E112" s="918">
        <v>0.2</v>
      </c>
      <c r="F112" s="905">
        <v>30</v>
      </c>
    </row>
    <row r="113" spans="1:6" s="901" customFormat="1" ht="24">
      <c r="A113" s="905">
        <v>53</v>
      </c>
      <c r="B113" s="312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4" t="s">
        <v>694</v>
      </c>
      <c r="C116" s="905" t="s">
        <v>695</v>
      </c>
      <c r="D116" s="819" t="s">
        <v>696</v>
      </c>
      <c r="E116" s="918">
        <v>0.2</v>
      </c>
      <c r="F116" s="905">
        <v>30</v>
      </c>
    </row>
    <row r="117" spans="1:6" ht="36">
      <c r="A117" s="905">
        <v>57</v>
      </c>
      <c r="B117" s="312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0" t="s">
        <v>1027</v>
      </c>
      <c r="C1" s="3130"/>
      <c r="D1" s="3130"/>
      <c r="E1" s="3130"/>
      <c r="F1" s="3130"/>
      <c r="G1" s="3129" t="s">
        <v>1028</v>
      </c>
      <c r="H1" s="3129"/>
      <c r="I1" s="3129"/>
      <c r="J1" s="3129"/>
      <c r="K1" s="3129"/>
      <c r="L1" s="3129"/>
      <c r="N1" s="3129" t="s">
        <v>1029</v>
      </c>
      <c r="O1" s="3129"/>
      <c r="P1" s="3129"/>
      <c r="Q1" s="3129"/>
      <c r="R1" s="1542"/>
      <c r="S1" s="3129" t="s">
        <v>1030</v>
      </c>
      <c r="T1" s="3129"/>
      <c r="U1" s="3129"/>
      <c r="V1" s="3129"/>
      <c r="X1" s="3128" t="s">
        <v>1031</v>
      </c>
      <c r="Y1" s="3129"/>
      <c r="Z1" s="3129"/>
      <c r="AA1" s="3129"/>
      <c r="AB1" s="3129"/>
      <c r="AD1" s="3128" t="s">
        <v>1032</v>
      </c>
      <c r="AE1" s="3129"/>
      <c r="AF1" s="3129"/>
      <c r="AG1" s="3129"/>
      <c r="AH1" s="3129"/>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25">
      <c r="A3" s="2711" t="s">
        <v>2797</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25">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2827</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5" customHeight="1">
      <c r="A6" s="1557" t="s">
        <v>2826</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5" customHeight="1" thickBot="1">
      <c r="A7" s="1557" t="s">
        <v>2822</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7" t="s">
        <v>2816</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7" t="s">
        <v>2817</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26">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26"/>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26"/>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3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26"/>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26"/>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26"/>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26"/>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27"/>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25">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26"/>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26"/>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27"/>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25">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26"/>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26"/>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27"/>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3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25">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26"/>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26"/>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27"/>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25">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26">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26">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27">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25">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26">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26">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27">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25">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26">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26">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27">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25">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26">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26">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27">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25">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26">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26">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27">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25">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26">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26">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27">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25">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26">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26">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27">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25">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26">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26">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27">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25">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26">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26">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27">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25">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26">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26">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27">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22"/>
      <c r="B3" s="1922"/>
      <c r="C3" s="1922"/>
      <c r="D3" s="1922"/>
      <c r="E3" s="1922"/>
    </row>
    <row r="4" spans="1:5" ht="19.5" thickBot="1">
      <c r="A4" s="2779" t="str">
        <f>IF(项目基本情况!D5="房地产市场价值","估价结果一览表（市场价值不需本页表格)","估价结果一览表")</f>
        <v>估价结果一览表</v>
      </c>
      <c r="B4" s="2779"/>
      <c r="C4" s="2779"/>
      <c r="D4" s="2779"/>
      <c r="E4" s="2779"/>
    </row>
    <row r="5" spans="1:5" ht="14.25" customHeight="1" thickTop="1">
      <c r="A5" s="1919"/>
      <c r="B5" s="1923" t="s">
        <v>742</v>
      </c>
      <c r="C5" s="2780" t="s">
        <v>779</v>
      </c>
      <c r="D5" s="2781"/>
      <c r="E5" s="1919"/>
    </row>
    <row r="6" spans="1:5" ht="28.5">
      <c r="A6" s="1919"/>
      <c r="B6" s="1924" t="str">
        <f>项目基本情况!I1</f>
        <v>北京市北京市昌平区小汤山镇橘郡花园水印长滩9-13号房地产</v>
      </c>
      <c r="C6" s="2782">
        <f>项目基本情况!C12</f>
        <v>353.61</v>
      </c>
      <c r="D6" s="2782"/>
      <c r="E6" s="1919"/>
    </row>
    <row r="7" spans="1:5" ht="14.25">
      <c r="A7" s="1919"/>
      <c r="B7" s="2776" t="s">
        <v>780</v>
      </c>
      <c r="C7" s="1925" t="str">
        <f>IF('数据-取费表'!B3="万元","总价（万元）","总价（元）")</f>
        <v>总价（元）</v>
      </c>
      <c r="D7" s="1926">
        <f ca="1">IF('数据-取费表'!E3="否",结果表!I102,'结果表 (1修多)'!I103)</f>
        <v>16392299</v>
      </c>
      <c r="E7" s="1919"/>
    </row>
    <row r="8" spans="1:5" ht="28.5">
      <c r="A8" s="1919"/>
      <c r="B8" s="2776"/>
      <c r="C8" s="1927" t="s">
        <v>1169</v>
      </c>
      <c r="D8" s="1928" t="str">
        <f ca="1">IF('数据-取费表'!B3="万元",NUMBERSTRING(INT(D7*10000),2)&amp;"元整",NUMBERSTRING(INT(D7),2)&amp;"元整")</f>
        <v>壹仟陆佰叁拾玖万贰仟贰佰玖拾玖元整</v>
      </c>
      <c r="E8" s="1919"/>
    </row>
    <row r="9" spans="1:5" ht="14.25">
      <c r="A9" s="1919"/>
      <c r="B9" s="2776"/>
      <c r="C9" s="1929" t="s">
        <v>1266</v>
      </c>
      <c r="D9" s="1926">
        <f ca="1">IF('数据-取费表'!E3="否",结果表!I103,'结果表 (1修多)'!I104)</f>
        <v>46357</v>
      </c>
      <c r="E9" s="1919"/>
    </row>
    <row r="10" spans="1:5" ht="14.25">
      <c r="A10" s="1919"/>
      <c r="B10" s="2783"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83"/>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83" t="str">
        <f>IF('数据-取费表'!E3="否",结果表!F110,'结果表 (1修多)'!F111)</f>
        <v>——</v>
      </c>
      <c r="C15" s="1920" t="str">
        <f>C7</f>
        <v>总价（元）</v>
      </c>
      <c r="D15" s="1926" t="str">
        <f>IF('数据-取费表'!E3="否",结果表!I110,'结果表 (1修多)'!I111)</f>
        <v>——</v>
      </c>
      <c r="E15" s="1919"/>
    </row>
    <row r="16" spans="1:5" ht="14.25">
      <c r="A16" s="1919"/>
      <c r="B16" s="2783"/>
      <c r="C16" s="1927" t="s">
        <v>1169</v>
      </c>
      <c r="D16" s="1926" t="e">
        <f>IF('数据-取费表'!B3="万元",NUMBERSTRING(INT(D15*10000),2)&amp;"元整",NUMBERSTRING(INT(D15),2)&amp;"元整")</f>
        <v>#VALUE!</v>
      </c>
      <c r="E16" s="1919"/>
    </row>
    <row r="17" spans="1:5" ht="14.25">
      <c r="A17" s="1919"/>
      <c r="B17" s="2783"/>
      <c r="C17" s="1929" t="s">
        <v>1266</v>
      </c>
      <c r="D17" s="1926" t="e">
        <f ca="1">IF('数据-取费表'!E3="否",结果表!I111,'结果表 (1修多)'!I112)</f>
        <v>#VALUE!</v>
      </c>
      <c r="E17" s="1919"/>
    </row>
    <row r="18" spans="1:5" ht="14.25">
      <c r="A18" s="1919"/>
      <c r="B18" s="2783" t="str">
        <f>IF('数据-取费表'!E3="否",结果表!F112,'结果表 (1修多)'!F113)</f>
        <v>3.抵押担保权已注销时的房地产抵押价值</v>
      </c>
      <c r="C18" s="1920" t="str">
        <f>C7</f>
        <v>总价（元）</v>
      </c>
      <c r="D18" s="1926">
        <f ca="1">IF('数据-取费表'!E3="否",结果表!I112,'结果表 (1修多)'!I113)</f>
        <v>16392299</v>
      </c>
      <c r="E18" s="1919"/>
    </row>
    <row r="19" spans="1:5" ht="28.5">
      <c r="A19" s="1919"/>
      <c r="B19" s="2783"/>
      <c r="C19" s="1927" t="s">
        <v>1169</v>
      </c>
      <c r="D19" s="1926" t="str">
        <f ca="1">IF('数据-取费表'!B3="万元",NUMBERSTRING(INT(D18*10000),2)&amp;"元整",NUMBERSTRING(INT(D18),2)&amp;"元整")</f>
        <v>壹仟陆佰叁拾玖万贰仟贰佰玖拾玖元整</v>
      </c>
      <c r="E19" s="1919"/>
    </row>
    <row r="20" spans="1:5" ht="14.25">
      <c r="A20" s="1919"/>
      <c r="B20" s="2783"/>
      <c r="C20" s="1929" t="s">
        <v>1266</v>
      </c>
      <c r="D20" s="1926">
        <f ca="1">IF('数据-取费表'!E3="否",结果表!I113,'结果表 (1修多)'!I114)</f>
        <v>46357</v>
      </c>
      <c r="E20" s="1919"/>
    </row>
    <row r="21" spans="1:5" ht="14.25">
      <c r="A21" s="1919"/>
      <c r="B21" s="2776" t="str">
        <f>IF('数据-取费表'!E3="否",结果表!F114,'结果表 (1修多)'!F115)</f>
        <v>——</v>
      </c>
      <c r="C21" s="1925" t="str">
        <f>C7</f>
        <v>总价（元）</v>
      </c>
      <c r="D21" s="1926" t="str">
        <f>IF('数据-取费表'!E3="否",结果表!I114,'结果表 (1修多)'!I115)</f>
        <v>——</v>
      </c>
      <c r="E21" s="1919"/>
    </row>
    <row r="22" spans="1:5" ht="14.25">
      <c r="A22" s="1919"/>
      <c r="B22" s="2776"/>
      <c r="C22" s="1927" t="s">
        <v>1169</v>
      </c>
      <c r="D22" s="1928" t="e">
        <f>IF('数据-取费表'!B3="万元",NUMBERSTRING(INT(D21*10000),2)&amp;"元整",NUMBERSTRING(INT(D21),2)&amp;"元整")</f>
        <v>#VALUE!</v>
      </c>
      <c r="E22" s="1919"/>
    </row>
    <row r="23" spans="1:5" ht="15" thickBot="1">
      <c r="A23" s="1919"/>
      <c r="B23" s="2777"/>
      <c r="C23" s="1934" t="s">
        <v>1266</v>
      </c>
      <c r="D23" s="1935" t="e">
        <f ca="1">IF('数据-取费表'!E3="否",结果表!I115,'结果表 (1修多)'!I116)</f>
        <v>#VALUE!</v>
      </c>
      <c r="E23" s="1919"/>
    </row>
    <row r="24" spans="1:5" ht="14.25" thickTop="1">
      <c r="A24" s="1919"/>
      <c r="B24" s="1919"/>
      <c r="C24" s="1919"/>
      <c r="D24" s="1919"/>
      <c r="E24" s="1919"/>
    </row>
    <row r="25" spans="1:5" ht="18.75" customHeight="1" thickBot="1">
      <c r="A25" s="1919"/>
      <c r="B25" s="2791" t="s">
        <v>1267</v>
      </c>
      <c r="C25" s="2791"/>
      <c r="D25" s="2791"/>
      <c r="E25" s="1919"/>
    </row>
    <row r="26" spans="1:5" ht="18.75" customHeight="1" thickTop="1">
      <c r="A26" s="1919"/>
      <c r="B26" s="2794" t="s">
        <v>1168</v>
      </c>
      <c r="C26" s="2795"/>
      <c r="D26" s="2792" t="s">
        <v>1167</v>
      </c>
      <c r="E26" s="1919"/>
    </row>
    <row r="27" spans="1:5" ht="18.75" customHeight="1">
      <c r="A27" s="1919"/>
      <c r="B27" s="2796"/>
      <c r="C27" s="2797"/>
      <c r="D27" s="2793"/>
      <c r="E27" s="1919"/>
    </row>
    <row r="28" spans="1:5" ht="14.25">
      <c r="A28" s="1919"/>
      <c r="B28" s="2784" t="s">
        <v>780</v>
      </c>
      <c r="C28" s="1936" t="s">
        <v>1170</v>
      </c>
      <c r="D28" s="1937">
        <f ca="1">IF('数据-取费表'!E3="否",结果表!I102,'结果表 (1修多)'!I103)</f>
        <v>16392299</v>
      </c>
      <c r="E28" s="1919"/>
    </row>
    <row r="29" spans="1:5" ht="28.5">
      <c r="A29" s="1919"/>
      <c r="B29" s="2785"/>
      <c r="C29" s="1938" t="s">
        <v>1169</v>
      </c>
      <c r="D29" s="1939" t="str">
        <f ca="1">IF('数据-取费表'!B3="万元",NUMBERSTRING(INT(D28*10000),2)&amp;"元整",NUMBERSTRING(INT(D28),2)&amp;"元整")</f>
        <v>壹仟陆佰叁拾玖万贰仟贰佰玖拾玖元整</v>
      </c>
      <c r="E29" s="1919"/>
    </row>
    <row r="30" spans="1:5" ht="14.25">
      <c r="A30" s="1919"/>
      <c r="B30" s="2786"/>
      <c r="C30" s="1929" t="s">
        <v>1172</v>
      </c>
      <c r="D30" s="1940">
        <f ca="1">IF('数据-取费表'!E3="否",结果表!I103,'结果表 (1修多)'!I104)</f>
        <v>46357</v>
      </c>
      <c r="E30" s="1919"/>
    </row>
    <row r="31" spans="1:5" ht="14.25">
      <c r="A31" s="1919"/>
      <c r="B31" s="2789" t="str">
        <f>B10</f>
        <v>2.估价师所知悉的法定优先受偿款</v>
      </c>
      <c r="C31" s="1941" t="s">
        <v>1171</v>
      </c>
      <c r="D31" s="1942">
        <f>IF('数据-取费表'!E3="否",结果表!I105,'结果表 (1修多)'!I106)</f>
        <v>0</v>
      </c>
      <c r="E31" s="1919"/>
    </row>
    <row r="32" spans="1:5" ht="14.25">
      <c r="A32" s="1919"/>
      <c r="B32" s="2798"/>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87" t="str">
        <f>B15</f>
        <v>——</v>
      </c>
      <c r="C36" s="1941" t="str">
        <f>C28</f>
        <v>总价</v>
      </c>
      <c r="D36" s="1942" t="str">
        <f>IF('数据-取费表'!E3="否",结果表!I110,'结果表 (1修多)'!I111)</f>
        <v>——</v>
      </c>
      <c r="E36" s="1919"/>
    </row>
    <row r="37" spans="1:5" ht="14.25">
      <c r="A37" s="1919"/>
      <c r="B37" s="2787"/>
      <c r="C37" s="1938" t="s">
        <v>1169</v>
      </c>
      <c r="D37" s="1943" t="e">
        <f>IF('数据-取费表'!B3="万元",NUMBERSTRING(INT(D36*10000),2)&amp;"元整",NUMBERSTRING(INT(D36),2)&amp;"元整")</f>
        <v>#VALUE!</v>
      </c>
      <c r="E37" s="1919"/>
    </row>
    <row r="38" spans="1:5" ht="14.25">
      <c r="A38" s="1919"/>
      <c r="B38" s="2787"/>
      <c r="C38" s="1929" t="s">
        <v>1173</v>
      </c>
      <c r="D38" s="1940" t="e">
        <f ca="1">IF('数据-取费表'!E3="否",结果表!D113,'结果表 (1修多)'!D116)</f>
        <v>#VALUE!</v>
      </c>
      <c r="E38" s="1919"/>
    </row>
    <row r="39" spans="1:5" ht="14.25">
      <c r="A39" s="1919"/>
      <c r="B39" s="2788" t="str">
        <f>B18</f>
        <v>3.抵押担保权已注销时的房地产抵押价值</v>
      </c>
      <c r="C39" s="1941" t="str">
        <f>C28</f>
        <v>总价</v>
      </c>
      <c r="D39" s="1942">
        <f ca="1">IF('数据-取费表'!E3="否",结果表!I112,'结果表 (1修多)'!I113)</f>
        <v>16392299</v>
      </c>
      <c r="E39" s="1919"/>
    </row>
    <row r="40" spans="1:5" ht="28.5">
      <c r="A40" s="1919"/>
      <c r="B40" s="2788"/>
      <c r="C40" s="1938" t="s">
        <v>1169</v>
      </c>
      <c r="D40" s="1943" t="str">
        <f ca="1">IF('数据-取费表'!B3="万元",NUMBERSTRING(INT(D39*10000),2)&amp;"元整",NUMBERSTRING(INT(D39),2)&amp;"元整")</f>
        <v>壹仟陆佰叁拾玖万贰仟贰佰玖拾玖元整</v>
      </c>
      <c r="E40" s="1919"/>
    </row>
    <row r="41" spans="1:5" ht="14.25">
      <c r="A41" s="1919"/>
      <c r="B41" s="2788"/>
      <c r="C41" s="1929" t="s">
        <v>1173</v>
      </c>
      <c r="D41" s="1940">
        <f ca="1">IF('数据-取费表'!E3="否",结果表!D115,'结果表 (1修多)'!D118)</f>
        <v>46357</v>
      </c>
      <c r="E41" s="1919"/>
    </row>
    <row r="42" spans="1:5" ht="14.25">
      <c r="A42" s="1919"/>
      <c r="B42" s="2787" t="str">
        <f>B21</f>
        <v>——</v>
      </c>
      <c r="C42" s="1941" t="str">
        <f>C28</f>
        <v>总价</v>
      </c>
      <c r="D42" s="1942" t="str">
        <f>IF('数据-取费表'!E3="否",结果表!I114,'结果表 (1修多)'!I115)</f>
        <v>——</v>
      </c>
      <c r="E42" s="1919"/>
    </row>
    <row r="43" spans="1:5" ht="14.25">
      <c r="A43" s="1919"/>
      <c r="B43" s="2789"/>
      <c r="C43" s="1938" t="s">
        <v>1169</v>
      </c>
      <c r="D43" s="1944" t="e">
        <f>IF('数据-取费表'!B3="万元",NUMBERSTRING(INT(D42*10000),2)&amp;"元整",NUMBERSTRING(INT(D42),2)&amp;"元整")</f>
        <v>#VALUE!</v>
      </c>
      <c r="E43" s="1919"/>
    </row>
    <row r="44" spans="1:5" ht="15" thickBot="1">
      <c r="A44" s="1919"/>
      <c r="B44" s="2790"/>
      <c r="C44" s="1934" t="s">
        <v>1173</v>
      </c>
      <c r="D44" s="1945" t="e">
        <f ca="1">IF('数据-取费表'!E3="否",结果表!D117,'结果表 (1修多)'!D120)</f>
        <v>#VALUE!</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1268</v>
      </c>
      <c r="B2" s="2806" t="s">
        <v>1269</v>
      </c>
      <c r="C2" s="2806" t="s">
        <v>1270</v>
      </c>
      <c r="D2" s="2806" t="str">
        <f>IF('数据-取费表'!E3="否",结果表!D119,'结果表 (1修多)'!D122)</f>
        <v>出让国有建设用地使用权价值</v>
      </c>
      <c r="E2" s="2806"/>
      <c r="F2" s="2806" t="s">
        <v>1271</v>
      </c>
      <c r="G2" s="2806"/>
      <c r="H2" s="2806" t="s">
        <v>1272</v>
      </c>
      <c r="I2" s="2806"/>
    </row>
    <row r="3" spans="1:9" ht="15">
      <c r="A3" s="2801"/>
      <c r="B3" s="2801"/>
      <c r="C3" s="2801"/>
      <c r="D3" s="1043" t="s">
        <v>1273</v>
      </c>
      <c r="E3" s="1043" t="s">
        <v>1274</v>
      </c>
      <c r="F3" s="1043" t="s">
        <v>1273</v>
      </c>
      <c r="G3" s="1043" t="s">
        <v>1275</v>
      </c>
      <c r="H3" s="1043" t="s">
        <v>1273</v>
      </c>
      <c r="I3" s="1043" t="s">
        <v>1275</v>
      </c>
    </row>
    <row r="4" spans="1:9" ht="46.5" customHeight="1">
      <c r="A4" s="1043" t="str">
        <f>项目基本情况!I1</f>
        <v>北京市北京市昌平区小汤山镇橘郡花园水印长滩9-13号房地产</v>
      </c>
      <c r="B4" s="1043">
        <f>结果表!B121</f>
        <v>353.61</v>
      </c>
      <c r="C4" s="1043">
        <f>结果表!C121</f>
        <v>0</v>
      </c>
      <c r="D4" s="1043">
        <f ca="1">IF('数据-取费表'!E3="否",结果表!D121,'结果表 (1修多)'!D124)</f>
        <v>12245161</v>
      </c>
      <c r="E4" s="1043">
        <f ca="1">IF('数据-取费表'!E3="否",结果表!E121,'结果表 (1修多)'!E124)</f>
        <v>34629</v>
      </c>
      <c r="F4" s="1043">
        <f ca="1">IF('数据-取费表'!E3="否",结果表!F121,'结果表 (1修多)'!F124)</f>
        <v>4147138</v>
      </c>
      <c r="G4" s="1043">
        <f ca="1">IF('数据-取费表'!E3="否",结果表!G121,'结果表 (1修多)'!G124)</f>
        <v>11728</v>
      </c>
      <c r="H4" s="1043">
        <f ca="1">IF('数据-取费表'!E3="否",结果表!H121,'结果表 (1修多)'!H124)</f>
        <v>16392299</v>
      </c>
      <c r="I4" s="1043">
        <f ca="1">IF('数据-取费表'!E3="否",结果表!I121,'结果表 (1修多)'!I124)</f>
        <v>46357</v>
      </c>
    </row>
    <row r="5" spans="1:9" ht="15">
      <c r="A5" s="2801" t="s">
        <v>1276</v>
      </c>
      <c r="B5" s="2801"/>
      <c r="C5" s="2801"/>
      <c r="D5" s="2799" t="str">
        <f ca="1">IF('数据-取费表'!E3="否",结果表!D122,'结果表 (1修多)'!D125)</f>
        <v>壹仟贰佰贰拾肆万伍仟壹佰陆拾壹元整</v>
      </c>
      <c r="E5" s="2799"/>
      <c r="F5" s="2799" t="str">
        <f ca="1">IF('数据-取费表'!E3="否",结果表!F122,'结果表 (1修多)'!F125)</f>
        <v>肆佰壹拾肆万柒仟壹佰叁拾捌元整</v>
      </c>
      <c r="G5" s="2799"/>
      <c r="H5" s="2799" t="str">
        <f ca="1">IF('数据-取费表'!E3="否",结果表!H122,'结果表 (1修多)'!H125)</f>
        <v>壹仟陆佰叁拾玖万贰仟贰佰玖拾玖元整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801" t="s">
        <v>1276</v>
      </c>
      <c r="B7" s="2801"/>
      <c r="C7" s="2801"/>
      <c r="D7" s="2802">
        <f>IF('数据-取费表'!E3="否",结果表!D124,'结果表 (1修多)'!D127)</f>
        <v>0</v>
      </c>
      <c r="E7" s="2803"/>
      <c r="F7" s="2803"/>
      <c r="G7" s="2803"/>
      <c r="H7" s="2803"/>
      <c r="I7" s="2804"/>
    </row>
    <row r="8" spans="1:9" ht="15.75">
      <c r="A8" s="2800" t="str">
        <f>IF('数据-取费表'!E3="否",结果表!A125,'结果表 (1修多)'!A128)</f>
        <v/>
      </c>
      <c r="B8" s="2800"/>
      <c r="C8" s="2800"/>
      <c r="D8" s="2800" t="str">
        <f>IF('数据-取费表'!E3="否",结果表!D125,'结果表 (1修多)'!D128)</f>
        <v>——</v>
      </c>
      <c r="E8" s="2800"/>
      <c r="F8" s="2800"/>
      <c r="G8" s="2800"/>
      <c r="H8" s="2800"/>
      <c r="I8" s="2800"/>
    </row>
    <row r="9" spans="1:9" ht="15">
      <c r="A9" s="2801" t="s">
        <v>1276</v>
      </c>
      <c r="B9" s="2801"/>
      <c r="C9" s="2801"/>
      <c r="D9" s="2799" t="e">
        <f ca="1">IF('数据-取费表'!E3="否",结果表!D126,'结果表 (1修多)'!D129)</f>
        <v>#VALUE!</v>
      </c>
      <c r="E9" s="2799"/>
      <c r="F9" s="2799"/>
      <c r="G9" s="2799"/>
      <c r="H9" s="2799"/>
      <c r="I9" s="2799"/>
    </row>
    <row r="10" spans="1:9" ht="15.75">
      <c r="A10" s="2800" t="str">
        <f>IF('数据-取费表'!E3="否",结果表!A127,'结果表 (1修多)'!A130)</f>
        <v>抵押担保权已注销时的房地产抵押价值</v>
      </c>
      <c r="B10" s="2800"/>
      <c r="C10" s="2800"/>
      <c r="D10" s="2800">
        <f ca="1">IF('数据-取费表'!E3="否",结果表!D127,'结果表 (1修多)'!D129)</f>
        <v>16392299</v>
      </c>
      <c r="E10" s="2800"/>
      <c r="F10" s="2800"/>
      <c r="G10" s="2800"/>
      <c r="H10" s="2800"/>
      <c r="I10" s="2800"/>
    </row>
    <row r="11" spans="1:9" ht="15">
      <c r="A11" s="2801" t="s">
        <v>1276</v>
      </c>
      <c r="B11" s="2801"/>
      <c r="C11" s="2801"/>
      <c r="D11" s="2799">
        <f ca="1">IF('数据-取费表'!E3="否",结果表!D128,'结果表 (1修多)'!D131)</f>
        <v>46357</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75" thickBot="1">
      <c r="A13" s="2807" t="s">
        <v>1276</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3"/>
      <c r="B15" s="713"/>
      <c r="C15" s="713"/>
      <c r="D15" s="713"/>
      <c r="E15" s="713"/>
      <c r="F15" s="713"/>
      <c r="G15" s="713"/>
      <c r="H15" s="713"/>
      <c r="I15" s="713"/>
    </row>
    <row r="16" spans="1:9" ht="18.75">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4" t="s">
        <v>1290</v>
      </c>
      <c r="B1" s="2814"/>
      <c r="C1" s="2814"/>
      <c r="D1" s="2814"/>
    </row>
    <row r="2" spans="1:4" ht="18">
      <c r="A2" s="2813" t="s">
        <v>1278</v>
      </c>
      <c r="B2" s="2813"/>
      <c r="C2" s="2813"/>
      <c r="D2" s="2813"/>
    </row>
    <row r="3" spans="1:4" ht="18.75">
      <c r="A3" s="1948" t="s">
        <v>1279</v>
      </c>
      <c r="B3" s="1948" t="s">
        <v>1280</v>
      </c>
      <c r="C3" s="1948" t="s">
        <v>1281</v>
      </c>
      <c r="D3" s="1948" t="s">
        <v>1282</v>
      </c>
    </row>
    <row r="4" spans="1:4" ht="56.25" customHeight="1">
      <c r="A4" s="1949" t="str">
        <f>项目基本情况!B3</f>
        <v>郑燚</v>
      </c>
      <c r="B4" s="1950">
        <f ca="1">项目基本情况!C3</f>
        <v>1120070131</v>
      </c>
      <c r="C4" s="1951"/>
      <c r="D4" s="1952" t="s">
        <v>1291</v>
      </c>
    </row>
    <row r="5" spans="1:4" ht="56.25" customHeight="1">
      <c r="A5" s="1949" t="str">
        <f>项目基本情况!D3</f>
        <v>崔锴</v>
      </c>
      <c r="B5" s="1950">
        <f ca="1">项目基本情况!E3</f>
        <v>1120100036</v>
      </c>
      <c r="C5" s="1953"/>
      <c r="D5" s="1952" t="s">
        <v>1291</v>
      </c>
    </row>
    <row r="6" spans="1:4" ht="12" customHeight="1">
      <c r="A6" s="1949"/>
      <c r="B6" s="1950"/>
      <c r="C6" s="1954"/>
      <c r="D6" s="1952"/>
    </row>
    <row r="7" spans="1:4" ht="18">
      <c r="A7" s="2813" t="s">
        <v>1283</v>
      </c>
      <c r="B7" s="2813"/>
      <c r="C7" s="2813"/>
      <c r="D7" s="2813"/>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0" t="s">
        <v>1292</v>
      </c>
      <c r="B12" s="2812"/>
      <c r="C12" s="2812"/>
      <c r="D12" s="2812"/>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2"/>
      <c r="C13" s="2812"/>
      <c r="D13" s="2812"/>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2"/>
      <c r="C14" s="2812"/>
      <c r="D14" s="2812"/>
    </row>
    <row r="15" spans="1:4" ht="15.75" customHeight="1">
      <c r="A15" s="2810" t="str">
        <f>IF(项目基本情况!D4="抵押","4.本次评估估价师所知悉的法定优先受偿款情况说明如下：","——")</f>
        <v>4.本次评估估价师所知悉的法定优先受偿款情况说明如下：</v>
      </c>
      <c r="B15" s="2812"/>
      <c r="C15" s="2812"/>
      <c r="D15" s="2812"/>
    </row>
    <row r="16" spans="1:4" ht="75" customHeight="1">
      <c r="A16" s="2810"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0"/>
      <c r="C16" s="2810"/>
      <c r="D16" s="2810"/>
    </row>
    <row r="17" spans="1:4" ht="63.75" customHeight="1">
      <c r="A17" s="2811" t="s">
        <v>1293</v>
      </c>
      <c r="B17" s="2811"/>
      <c r="C17" s="2811"/>
      <c r="D17" s="2811"/>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1" t="s">
        <v>1286</v>
      </c>
      <c r="B20" s="2811"/>
      <c r="C20" s="2811"/>
      <c r="D20" s="2811"/>
    </row>
    <row r="21" spans="1:4">
      <c r="A21" s="1957"/>
      <c r="B21" s="1284"/>
      <c r="C21" s="1284"/>
      <c r="D21" s="1284"/>
    </row>
    <row r="22" spans="1:4">
      <c r="A22" s="1957"/>
      <c r="B22" s="1284"/>
      <c r="C22" s="1284"/>
      <c r="D22" s="1284"/>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1360</v>
      </c>
    </row>
    <row r="3" spans="1:7" ht="14.25">
      <c r="A3" s="1964" t="s">
        <v>1361</v>
      </c>
      <c r="B3" s="713" t="s">
        <v>1362</v>
      </c>
      <c r="G3" s="1965"/>
    </row>
    <row r="4" spans="1:7">
      <c r="G4" s="1965"/>
    </row>
    <row r="5" spans="1:7" ht="14.25">
      <c r="A5" s="1967" t="s">
        <v>1363</v>
      </c>
      <c r="B5" s="713" t="s">
        <v>1364</v>
      </c>
      <c r="G5" s="1965"/>
    </row>
    <row r="6" spans="1:7">
      <c r="G6" s="1965"/>
    </row>
    <row r="7" spans="1:7" ht="14.25">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25">
      <c r="A15" s="2820" t="s">
        <v>1372</v>
      </c>
      <c r="B15" s="2815" t="s">
        <v>1373</v>
      </c>
      <c r="C15" s="2816"/>
    </row>
    <row r="16" spans="1:7" ht="14.25">
      <c r="A16" s="2821"/>
      <c r="B16" s="2815" t="s">
        <v>1374</v>
      </c>
      <c r="C16" s="2816"/>
    </row>
    <row r="17" spans="1:3" ht="14.25">
      <c r="A17" s="2821"/>
      <c r="B17" s="2815" t="s">
        <v>1375</v>
      </c>
      <c r="C17" s="2816"/>
    </row>
    <row r="18" spans="1:3" ht="14.25">
      <c r="A18" s="2822"/>
      <c r="B18" s="2817" t="s">
        <v>1376</v>
      </c>
      <c r="C18" s="2816"/>
    </row>
    <row r="19" spans="1:3" ht="14.25">
      <c r="A19" s="1972" t="s">
        <v>1377</v>
      </c>
      <c r="B19" s="1973"/>
      <c r="C19" s="1974"/>
    </row>
    <row r="20" spans="1:3" ht="14.25">
      <c r="A20" s="2818" t="s">
        <v>1378</v>
      </c>
      <c r="B20" s="2817" t="s">
        <v>1379</v>
      </c>
      <c r="C20" s="2816"/>
    </row>
    <row r="21" spans="1:3" ht="14.25">
      <c r="A21" s="2818"/>
      <c r="B21" s="2817" t="s">
        <v>1380</v>
      </c>
      <c r="C21" s="2816"/>
    </row>
    <row r="22" spans="1:3" ht="14.25">
      <c r="A22" s="2818"/>
      <c r="B22" s="2817" t="s">
        <v>1381</v>
      </c>
      <c r="C22" s="2816"/>
    </row>
    <row r="23" spans="1:3" ht="14.25">
      <c r="A23" s="2818"/>
      <c r="B23" s="2819" t="s">
        <v>1382</v>
      </c>
      <c r="C23" s="1975" t="s">
        <v>1383</v>
      </c>
    </row>
    <row r="24" spans="1:3" ht="14.25">
      <c r="A24" s="2818"/>
      <c r="B24" s="2819"/>
      <c r="C24" s="1975" t="s">
        <v>1384</v>
      </c>
    </row>
    <row r="25" spans="1:3" ht="14.25">
      <c r="A25" s="2818"/>
      <c r="B25" s="2819"/>
      <c r="C25" s="1975" t="s">
        <v>1385</v>
      </c>
    </row>
    <row r="26" spans="1:3" ht="14.25">
      <c r="A26" s="2818"/>
      <c r="B26" s="2819"/>
      <c r="C26" s="1975" t="s">
        <v>1386</v>
      </c>
    </row>
    <row r="27" spans="1:3" ht="14.25">
      <c r="A27" s="2818"/>
      <c r="B27" s="2819"/>
      <c r="C27" s="1975" t="s">
        <v>1387</v>
      </c>
    </row>
    <row r="28" spans="1:3" ht="14.25">
      <c r="A28" s="2818"/>
      <c r="B28" s="2819"/>
      <c r="C28" s="1975" t="s">
        <v>1388</v>
      </c>
    </row>
    <row r="29" spans="1:3" ht="14.25">
      <c r="A29" s="2818"/>
      <c r="B29" s="2819"/>
      <c r="C29" s="1975" t="s">
        <v>1389</v>
      </c>
    </row>
    <row r="30" spans="1:3" ht="14.25">
      <c r="A30" s="2818"/>
      <c r="B30" s="2819"/>
      <c r="C30" s="1975" t="s">
        <v>1390</v>
      </c>
    </row>
    <row r="31" spans="1:3" ht="14.25">
      <c r="A31" s="2818"/>
      <c r="B31" s="2819"/>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43889</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3">
        <v>44864</v>
      </c>
      <c r="D14" s="1806" t="str">
        <f t="shared" ca="1" si="0"/>
        <v>苏海（注册号：1120040230）</v>
      </c>
      <c r="E14" s="2714" t="s">
        <v>2806</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2823</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2825</v>
      </c>
      <c r="B23" s="1025">
        <v>1119980106</v>
      </c>
      <c r="C23" s="2713">
        <v>43916</v>
      </c>
      <c r="D23" s="1806" t="str">
        <f t="shared" si="0"/>
        <v>刘俊财（注册号：1119980106）</v>
      </c>
      <c r="E23" s="1804" t="s">
        <v>2825</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3" t="s">
        <v>764</v>
      </c>
      <c r="B25" s="2823"/>
      <c r="C25" s="2823"/>
      <c r="D25" s="2823"/>
      <c r="E25" s="2823"/>
      <c r="F25" s="2823"/>
      <c r="G25" s="2823"/>
      <c r="H25" s="2823"/>
    </row>
    <row r="26" spans="1:8" s="1028" customFormat="1" ht="24" customHeight="1">
      <c r="A26" s="2824" t="s">
        <v>765</v>
      </c>
      <c r="B26" s="2824"/>
      <c r="C26" s="2824"/>
      <c r="D26" s="1056"/>
      <c r="E26" s="1056"/>
      <c r="F26" s="2824" t="s">
        <v>766</v>
      </c>
      <c r="G26" s="2824"/>
      <c r="H26" s="2824"/>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2824</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c r="A52" s="1984" t="s">
        <v>1522</v>
      </c>
      <c r="B52" s="1984" t="s">
        <v>1523</v>
      </c>
      <c r="C52" s="9" t="s">
        <v>1524</v>
      </c>
      <c r="D52" s="9" t="s">
        <v>1525</v>
      </c>
    </row>
    <row r="53" spans="1:4" ht="14.25" customHeight="1">
      <c r="A53" s="282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row>
    <row r="54" spans="1:4">
      <c r="A54" s="2825"/>
      <c r="B54" s="9" t="s">
        <v>1528</v>
      </c>
      <c r="C54" s="9" t="s">
        <v>1529</v>
      </c>
    </row>
    <row r="55" spans="1:4">
      <c r="A55" s="2825"/>
      <c r="B55" s="9" t="s">
        <v>1530</v>
      </c>
      <c r="C55" s="9" t="s">
        <v>1531</v>
      </c>
    </row>
    <row r="56" spans="1:4">
      <c r="A56" s="2825"/>
      <c r="B56" s="9" t="s">
        <v>1532</v>
      </c>
      <c r="C56" s="9" t="s">
        <v>1533</v>
      </c>
    </row>
    <row r="57" spans="1:4">
      <c r="A57" s="2825"/>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2020-02-28T06:52:41Z</dcterms:modified>
</cp:coreProperties>
</file>