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收益法商" sheetId="15" r:id="rId28"/>
    <sheet name="结果表办" sheetId="81" r:id="rId29"/>
    <sheet name="比较法-办公" sheetId="34" r:id="rId30"/>
    <sheet name="比较法-工业" sheetId="37" state="hidden" r:id="rId31"/>
    <sheet name="收益法办" sheetId="79" r:id="rId32"/>
    <sheet name="典型户型修正" sheetId="31" r:id="rId33"/>
    <sheet name="结果表车" sheetId="82" r:id="rId34"/>
    <sheet name="比较法-车位" sheetId="35"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state="hidden" r:id="rId48"/>
    <sheet name="收益法车" sheetId="80" r:id="rId49"/>
    <sheet name="Sheet2" sheetId="78" r:id="rId50"/>
  </sheet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31">收益法办!$A$1:$AK$69</definedName>
    <definedName name="_xlnm.Print_Area" localSheetId="48">收益法车!$A$1:$AK$69</definedName>
    <definedName name="_xlnm.Print_Area" localSheetId="27">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AF22" i="78" l="1"/>
  <c r="AE22" i="78"/>
  <c r="Y7" i="1"/>
  <c r="Y8" i="1"/>
  <c r="I37" i="35"/>
  <c r="G37" i="35"/>
  <c r="B26" i="31"/>
  <c r="B25" i="31"/>
  <c r="B24" i="31"/>
  <c r="AH6" i="1"/>
  <c r="Y6" i="1"/>
  <c r="B21" i="1"/>
  <c r="L8" i="1"/>
  <c r="L7" i="1"/>
  <c r="G21" i="6" l="1"/>
  <c r="G20" i="6"/>
  <c r="F19" i="6"/>
  <c r="I7" i="34"/>
  <c r="G7" i="34"/>
  <c r="G48" i="34"/>
  <c r="I48" i="34" s="1"/>
  <c r="A120" i="82" l="1"/>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D59" i="82"/>
  <c r="F56" i="82"/>
  <c r="O55" i="82"/>
  <c r="N55" i="82"/>
  <c r="M55" i="82"/>
  <c r="K55" i="82"/>
  <c r="J55" i="82"/>
  <c r="I55" i="82"/>
  <c r="F55" i="82"/>
  <c r="O53" i="82" s="1"/>
  <c r="O54" i="82"/>
  <c r="N54" i="82"/>
  <c r="F54" i="82"/>
  <c r="N53" i="82"/>
  <c r="F53" i="82"/>
  <c r="F52" i="82"/>
  <c r="K49" i="82"/>
  <c r="F48" i="82"/>
  <c r="O52" i="82" s="1"/>
  <c r="E48" i="82"/>
  <c r="N52" i="82" s="1"/>
  <c r="D48" i="82"/>
  <c r="M52" i="82" s="1"/>
  <c r="F33" i="82"/>
  <c r="D27" i="82"/>
  <c r="C25" i="82"/>
  <c r="C24" i="82"/>
  <c r="D17" i="82"/>
  <c r="C17" i="82"/>
  <c r="C18" i="82" s="1"/>
  <c r="D18" i="82" s="1"/>
  <c r="L4" i="82"/>
  <c r="K4" i="82"/>
  <c r="H1" i="82"/>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6" i="81"/>
  <c r="D68" i="81"/>
  <c r="F59" i="81"/>
  <c r="E59" i="81"/>
  <c r="D59" i="81"/>
  <c r="F56" i="81"/>
  <c r="O55" i="81"/>
  <c r="N55" i="81"/>
  <c r="M55" i="81"/>
  <c r="K55" i="81"/>
  <c r="J55" i="81"/>
  <c r="I55" i="81"/>
  <c r="F55" i="81"/>
  <c r="O53" i="81" s="1"/>
  <c r="O54" i="81"/>
  <c r="N54" i="81"/>
  <c r="F54" i="81"/>
  <c r="N53" i="81"/>
  <c r="F53" i="81"/>
  <c r="F52" i="81"/>
  <c r="K49" i="81"/>
  <c r="F48" i="81"/>
  <c r="O52" i="81" s="1"/>
  <c r="E48" i="81"/>
  <c r="N52" i="81" s="1"/>
  <c r="D48" i="81"/>
  <c r="M52" i="81" s="1"/>
  <c r="F33" i="81"/>
  <c r="D27" i="81"/>
  <c r="C25" i="81"/>
  <c r="C24" i="81"/>
  <c r="D17" i="81"/>
  <c r="C17" i="81"/>
  <c r="C18" i="81" s="1"/>
  <c r="D18" i="81" s="1"/>
  <c r="L4" i="81"/>
  <c r="K4" i="81"/>
  <c r="H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5" i="79"/>
  <c r="K120" i="82" l="1"/>
  <c r="D121" i="82"/>
  <c r="C92" i="82"/>
  <c r="C94" i="82"/>
  <c r="H109" i="82"/>
  <c r="H112" i="82"/>
  <c r="K120" i="81"/>
  <c r="D121" i="81"/>
  <c r="C92" i="81"/>
  <c r="C94" i="81"/>
  <c r="H109" i="81"/>
  <c r="H112" i="81"/>
  <c r="D24" i="80"/>
  <c r="P61" i="80"/>
  <c r="D22" i="80"/>
  <c r="J51" i="80"/>
  <c r="D24" i="79"/>
  <c r="P61" i="79"/>
  <c r="D22" i="79"/>
  <c r="J51" i="79"/>
  <c r="L14" i="1"/>
  <c r="E71" i="39"/>
  <c r="F71" i="39" s="1"/>
  <c r="G71" i="39" s="1"/>
  <c r="H71" i="39" s="1"/>
  <c r="I71" i="39" s="1"/>
  <c r="J71" i="39" s="1"/>
  <c r="K71" i="39" s="1"/>
  <c r="L71" i="39" s="1"/>
  <c r="M71" i="39" s="1"/>
  <c r="N71" i="39" s="1"/>
  <c r="O71" i="39" s="1"/>
  <c r="D71" i="39"/>
  <c r="E118" i="39"/>
  <c r="D118" i="39"/>
  <c r="F21" i="6"/>
  <c r="F20" i="6"/>
  <c r="AT4" i="78"/>
  <c r="AT3" i="78"/>
  <c r="AT2" i="78"/>
  <c r="AT5" i="78"/>
  <c r="D124" i="82" l="1"/>
  <c r="D125" i="82" s="1"/>
  <c r="H110" i="82"/>
  <c r="D124" i="81"/>
  <c r="D125" i="81" s="1"/>
  <c r="H110" i="81"/>
  <c r="Q9" i="77" l="1"/>
  <c r="B35" i="1" l="1"/>
  <c r="N14" i="1"/>
  <c r="N8" i="1"/>
  <c r="N7" i="1"/>
  <c r="Q11" i="77"/>
  <c r="Q6" i="77"/>
  <c r="Q2" i="77"/>
  <c r="I38" i="39"/>
  <c r="G38" i="39"/>
  <c r="E38" i="39"/>
  <c r="C38" i="39"/>
  <c r="I7" i="6"/>
  <c r="C11" i="39" s="1"/>
  <c r="D13" i="77"/>
  <c r="I13" i="77" s="1"/>
  <c r="E19" i="77"/>
  <c r="E15" i="77"/>
  <c r="I46" i="39"/>
  <c r="G46" i="39"/>
  <c r="E46" i="39"/>
  <c r="I7" i="39"/>
  <c r="G7" i="39"/>
  <c r="E7" i="39"/>
  <c r="I5" i="39"/>
  <c r="G5" i="39"/>
  <c r="E5" i="39"/>
  <c r="I14" i="77"/>
  <c r="I12" i="77"/>
  <c r="I11" i="77"/>
  <c r="I9" i="77"/>
  <c r="I8" i="77"/>
  <c r="I7" i="77"/>
  <c r="I6" i="77"/>
  <c r="I4" i="77"/>
  <c r="I3" i="77"/>
  <c r="I5" i="77"/>
  <c r="I10" i="77"/>
  <c r="I2" i="77"/>
  <c r="F17" i="80" l="1"/>
  <c r="F17" i="79"/>
  <c r="F23" i="77"/>
  <c r="F45" i="77"/>
  <c r="C11"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K56" i="9" s="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E6" i="70" s="1"/>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R500" i="31"/>
  <c r="S500" i="31" s="1"/>
  <c r="R501" i="31"/>
  <c r="R502" i="31"/>
  <c r="S502" i="31" s="1"/>
  <c r="R503" i="31"/>
  <c r="R504" i="31"/>
  <c r="S504" i="31" s="1"/>
  <c r="R505" i="31"/>
  <c r="R506" i="3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s="1"/>
  <c r="F33" i="9"/>
  <c r="B37" i="48"/>
  <c r="B2" i="72" s="1"/>
  <c r="B13" i="53"/>
  <c r="B29" i="72" s="1"/>
  <c r="R35" i="4"/>
  <c r="Q35" i="4"/>
  <c r="P35" i="4"/>
  <c r="O35" i="4"/>
  <c r="N35" i="4"/>
  <c r="M35" i="4"/>
  <c r="L35" i="4"/>
  <c r="K34" i="4"/>
  <c r="T34" i="4"/>
  <c r="G13" i="1"/>
  <c r="G11" i="1"/>
  <c r="I15" i="4"/>
  <c r="H15" i="4"/>
  <c r="G15" i="4"/>
  <c r="F8" i="1" s="1"/>
  <c r="G8" i="1" s="1"/>
  <c r="E15" i="4"/>
  <c r="D15" i="4"/>
  <c r="F7" i="1" s="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2" i="6"/>
  <c r="E23" i="6"/>
  <c r="E24" i="6"/>
  <c r="E25" i="6"/>
  <c r="E26" i="6"/>
  <c r="BB13" i="3"/>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4" i="31"/>
  <c r="S388" i="31"/>
  <c r="S372" i="31"/>
  <c r="S356" i="31"/>
  <c r="S340" i="31"/>
  <c r="S324" i="31"/>
  <c r="S316" i="31"/>
  <c r="S308" i="31"/>
  <c r="S300" i="31"/>
  <c r="S292" i="31"/>
  <c r="S284" i="31"/>
  <c r="S276" i="31"/>
  <c r="S268" i="31"/>
  <c r="S260"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4" i="31"/>
  <c r="S443" i="31"/>
  <c r="S442" i="31"/>
  <c r="S441" i="31"/>
  <c r="S440" i="31"/>
  <c r="S439" i="31"/>
  <c r="S438" i="31"/>
  <c r="S437" i="31"/>
  <c r="S436" i="31"/>
  <c r="S435" i="31"/>
  <c r="S434" i="31"/>
  <c r="S433" i="31"/>
  <c r="S432" i="31"/>
  <c r="S431" i="31"/>
  <c r="S430" i="31"/>
  <c r="S121" i="31"/>
  <c r="S117" i="31"/>
  <c r="S113" i="31"/>
  <c r="S506" i="31"/>
  <c r="S498" i="31"/>
  <c r="S466" i="31"/>
  <c r="S464" i="31"/>
  <c r="S462" i="31"/>
  <c r="S460" i="31"/>
  <c r="S458" i="31"/>
  <c r="S456" i="31"/>
  <c r="S454" i="31"/>
  <c r="S452" i="31"/>
  <c r="S450" i="31"/>
  <c r="S51" i="31"/>
  <c r="S47" i="31"/>
  <c r="S43" i="31"/>
  <c r="S39" i="31"/>
  <c r="S35" i="31"/>
  <c r="S77" i="31"/>
  <c r="S73" i="31"/>
  <c r="S69" i="31"/>
  <c r="S66" i="31"/>
  <c r="S64" i="31"/>
  <c r="S62" i="31"/>
  <c r="S60" i="31"/>
  <c r="S58" i="31"/>
  <c r="S56" i="31"/>
  <c r="S97" i="31"/>
  <c r="S93" i="31"/>
  <c r="S89" i="31"/>
  <c r="S85" i="31"/>
  <c r="S81" i="31"/>
  <c r="S31" i="31"/>
  <c r="S99" i="31"/>
  <c r="S103" i="31"/>
  <c r="S107" i="31"/>
  <c r="S111" i="31"/>
  <c r="S446" i="31"/>
  <c r="S448" i="31"/>
  <c r="S507" i="31"/>
  <c r="S511"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9" i="31"/>
  <c r="S523"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F11" i="39"/>
  <c r="AA11" i="39"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09" i="3"/>
  <c r="AZ317" i="3"/>
  <c r="AZ325" i="3"/>
  <c r="AZ333" i="3"/>
  <c r="AZ341" i="3"/>
  <c r="AZ549" i="3"/>
  <c r="AZ506" i="3"/>
  <c r="AZ496" i="3"/>
  <c r="G548" i="3"/>
  <c r="G538" i="3"/>
  <c r="G520" i="3"/>
  <c r="G502" i="3"/>
  <c r="BS5" i="3"/>
  <c r="AZ343" i="3"/>
  <c r="BI5" i="3"/>
  <c r="BE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BA13" i="3"/>
  <c r="BL17" i="3"/>
  <c r="BL13" i="3"/>
  <c r="J56" i="9"/>
  <c r="J57" i="9"/>
  <c r="J59" i="9" s="1"/>
  <c r="J61" i="9" s="1"/>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C7" i="21"/>
  <c r="C7" i="40"/>
  <c r="C63" i="40" s="1"/>
  <c r="D63" i="40" s="1"/>
  <c r="E63" i="40" s="1"/>
  <c r="F63" i="40" s="1"/>
  <c r="M47" i="9"/>
  <c r="G19" i="43"/>
  <c r="M20" i="43" s="1"/>
  <c r="C19" i="43" s="1"/>
  <c r="T35" i="4"/>
  <c r="A19" i="51"/>
  <c r="B14" i="72" s="1"/>
  <c r="C46" i="36"/>
  <c r="D46" i="36" s="1"/>
  <c r="E46" i="36" s="1"/>
  <c r="C59" i="34"/>
  <c r="D59" i="34" s="1"/>
  <c r="C52" i="37"/>
  <c r="D52" i="37" s="1"/>
  <c r="E52" i="37" s="1"/>
  <c r="F52" i="37" s="1"/>
  <c r="G52" i="37" s="1"/>
  <c r="H52" i="37" s="1"/>
  <c r="I52" i="37" s="1"/>
  <c r="A4" i="51"/>
  <c r="B6" i="72" s="1"/>
  <c r="C48" i="35"/>
  <c r="D48" i="35" s="1"/>
  <c r="C58" i="21"/>
  <c r="D58" i="21" s="1"/>
  <c r="E58" i="21" s="1"/>
  <c r="F58" i="21" s="1"/>
  <c r="G58" i="21" s="1"/>
  <c r="H58" i="21" s="1"/>
  <c r="I58" i="21" s="1"/>
  <c r="J58" i="21" s="1"/>
  <c r="K58" i="21" s="1"/>
  <c r="H62" i="43"/>
  <c r="H66" i="43"/>
  <c r="H61" i="43"/>
  <c r="H65" i="43"/>
  <c r="H60" i="43"/>
  <c r="H64" i="43"/>
  <c r="H59" i="43"/>
  <c r="H63" i="43"/>
  <c r="H67" i="43"/>
  <c r="H55" i="43"/>
  <c r="H51" i="43"/>
  <c r="H56" i="43"/>
  <c r="H76" i="43"/>
  <c r="H72" i="43"/>
  <c r="H77" i="43"/>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7" i="70"/>
  <c r="AA39" i="40"/>
  <c r="S39" i="40"/>
  <c r="S12" i="33"/>
  <c r="AA12" i="33"/>
  <c r="C16" i="4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5" i="43"/>
  <c r="T11" i="43" s="1"/>
  <c r="V11" i="43" s="1"/>
  <c r="E59" i="34"/>
  <c r="F59" i="34" s="1"/>
  <c r="G59" i="34" s="1"/>
  <c r="H59" i="34" s="1"/>
  <c r="I59" i="34" s="1"/>
  <c r="J59" i="34" s="1"/>
  <c r="K59" i="34" s="1"/>
  <c r="L59" i="34" s="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F1" i="15"/>
  <c r="Q52" i="15"/>
  <c r="F1" i="67"/>
  <c r="Q52" i="67"/>
  <c r="AC11" i="37"/>
  <c r="W11" i="37"/>
  <c r="E65" i="40"/>
  <c r="AE7"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D59" i="9"/>
  <c r="M55" i="9"/>
  <c r="B38" i="72"/>
  <c r="D20" i="53"/>
  <c r="B40" i="72"/>
  <c r="AD3" i="71"/>
  <c r="P21" i="43"/>
  <c r="P23" i="43"/>
  <c r="B71" i="39" s="1"/>
  <c r="P24" i="43"/>
  <c r="B66" i="40" s="1"/>
  <c r="P25" i="43"/>
  <c r="F31" i="67"/>
  <c r="F31" i="15"/>
  <c r="AO10" i="1"/>
  <c r="E10" i="76"/>
  <c r="F38" i="15"/>
  <c r="E2" i="68"/>
  <c r="D2" i="36"/>
  <c r="F40" i="15"/>
  <c r="F26" i="67"/>
  <c r="M28" i="67"/>
  <c r="F3" i="73"/>
  <c r="D2" i="34"/>
  <c r="L47" i="67"/>
  <c r="M22" i="67"/>
  <c r="F41" i="15"/>
  <c r="F16" i="67"/>
  <c r="E9" i="76"/>
  <c r="D2" i="37"/>
  <c r="M23" i="15"/>
  <c r="M6" i="67"/>
  <c r="AO7" i="1"/>
  <c r="F13" i="67"/>
  <c r="B8" i="76"/>
  <c r="F36" i="15"/>
  <c r="F41" i="67"/>
  <c r="M6" i="15"/>
  <c r="AO11" i="1"/>
  <c r="F6" i="67"/>
  <c r="F38" i="67"/>
  <c r="AO13" i="1"/>
  <c r="L48" i="15"/>
  <c r="F37" i="67"/>
  <c r="AO12" i="1"/>
  <c r="F8" i="67"/>
  <c r="M26" i="67"/>
  <c r="M24" i="67"/>
  <c r="F16" i="15"/>
  <c r="M28" i="15"/>
  <c r="J15" i="15"/>
  <c r="M24" i="15"/>
  <c r="B12" i="76"/>
  <c r="F9" i="15"/>
  <c r="E11" i="76"/>
  <c r="E2" i="69"/>
  <c r="F6" i="73"/>
  <c r="F6" i="15"/>
  <c r="AO9" i="1"/>
  <c r="F9" i="67"/>
  <c r="L48" i="67"/>
  <c r="B13" i="76"/>
  <c r="F13" i="15"/>
  <c r="C76" i="67"/>
  <c r="M9" i="15"/>
  <c r="F36" i="67"/>
  <c r="D5" i="73"/>
  <c r="E12" i="76"/>
  <c r="D4" i="73"/>
  <c r="M26" i="15"/>
  <c r="J15" i="67"/>
  <c r="D2" i="33"/>
  <c r="M27" i="15"/>
  <c r="M23" i="67"/>
  <c r="F20" i="31"/>
  <c r="D2" i="35"/>
  <c r="C76" i="15"/>
  <c r="M8" i="67"/>
  <c r="D2" i="21"/>
  <c r="E8" i="76"/>
  <c r="F8" i="15"/>
  <c r="D7" i="73"/>
  <c r="F42" i="67"/>
  <c r="F40" i="67"/>
  <c r="F37" i="15"/>
  <c r="M27" i="67"/>
  <c r="D3" i="73"/>
  <c r="F4" i="73"/>
  <c r="D6" i="73"/>
  <c r="E7" i="76"/>
  <c r="M9" i="67"/>
  <c r="B7" i="76"/>
  <c r="B11" i="76"/>
  <c r="F26" i="15"/>
  <c r="B9" i="76"/>
  <c r="F5" i="73"/>
  <c r="F7" i="73"/>
  <c r="M8" i="15"/>
  <c r="B10" i="76"/>
  <c r="F42" i="15"/>
  <c r="L47" i="15"/>
  <c r="M22" i="15"/>
  <c r="E13" i="76"/>
  <c r="F26" i="35" l="1"/>
  <c r="J26" i="35"/>
  <c r="H26" i="35"/>
  <c r="H87" i="35"/>
  <c r="I87" i="35" s="1"/>
  <c r="J87" i="35" s="1"/>
  <c r="K87" i="35" s="1"/>
  <c r="L87" i="35" s="1"/>
  <c r="M87" i="35" s="1"/>
  <c r="J29" i="35"/>
  <c r="H29" i="35"/>
  <c r="F29" i="35"/>
  <c r="S29" i="35" s="1"/>
  <c r="AC8" i="35"/>
  <c r="G1" i="80"/>
  <c r="G1" i="79"/>
  <c r="BN5" i="3"/>
  <c r="BO5" i="3"/>
  <c r="G14" i="3"/>
  <c r="BA17" i="3"/>
  <c r="BA16" i="3"/>
  <c r="M9" i="1"/>
  <c r="AC38" i="39"/>
  <c r="AC11" i="34"/>
  <c r="AA11" i="34"/>
  <c r="C51" i="10"/>
  <c r="A13" i="51" s="1"/>
  <c r="B11" i="72" s="1"/>
  <c r="A2" i="82"/>
  <c r="A2" i="81"/>
  <c r="A118" i="82"/>
  <c r="A118" i="81"/>
  <c r="M56" i="9"/>
  <c r="N56" i="82"/>
  <c r="K56" i="82"/>
  <c r="N56" i="81"/>
  <c r="K56" i="81"/>
  <c r="M56" i="82"/>
  <c r="J56" i="82"/>
  <c r="J57" i="82" s="1"/>
  <c r="J59" i="82" s="1"/>
  <c r="J61" i="82" s="1"/>
  <c r="M56" i="81"/>
  <c r="J56" i="81"/>
  <c r="J57" i="81" s="1"/>
  <c r="J59" i="81" s="1"/>
  <c r="J61" i="81" s="1"/>
  <c r="D58" i="33"/>
  <c r="E58" i="33" s="1"/>
  <c r="F58" i="33" s="1"/>
  <c r="G58" i="33" s="1"/>
  <c r="H58" i="33" s="1"/>
  <c r="I58" i="33" s="1"/>
  <c r="J58" i="33" s="1"/>
  <c r="K58" i="33" s="1"/>
  <c r="L58" i="33" s="1"/>
  <c r="M58" i="33" s="1"/>
  <c r="N58" i="33" s="1"/>
  <c r="O58" i="33" s="1"/>
  <c r="J7" i="33"/>
  <c r="H7" i="33"/>
  <c r="C28" i="80"/>
  <c r="C28" i="79"/>
  <c r="C77" i="81"/>
  <c r="C77" i="82"/>
  <c r="C74" i="82" s="1"/>
  <c r="C74" i="81"/>
  <c r="C24" i="12"/>
  <c r="C77" i="9"/>
  <c r="M47" i="82"/>
  <c r="M47" i="81"/>
  <c r="C70" i="39"/>
  <c r="D68" i="39"/>
  <c r="G63" i="40"/>
  <c r="F65" i="40"/>
  <c r="P22" i="43"/>
  <c r="F7" i="33"/>
  <c r="D65" i="40"/>
  <c r="C65" i="40"/>
  <c r="O19" i="43"/>
  <c r="T16" i="43"/>
  <c r="V16" i="43" s="1"/>
  <c r="C74" i="9"/>
  <c r="C18" i="9"/>
  <c r="D18" i="9" s="1"/>
  <c r="G18" i="3"/>
  <c r="G20" i="3"/>
  <c r="BL23" i="3"/>
  <c r="G24" i="3"/>
  <c r="E5" i="49"/>
  <c r="C40" i="68"/>
  <c r="C40" i="69"/>
  <c r="B10" i="49"/>
  <c r="A4" i="52"/>
  <c r="B41" i="72" s="1"/>
  <c r="C94" i="9"/>
  <c r="C92" i="9"/>
  <c r="F32" i="15"/>
  <c r="F60" i="15" s="1"/>
  <c r="F31" i="12"/>
  <c r="F32" i="67"/>
  <c r="F60" i="67" s="1"/>
  <c r="F30" i="11"/>
  <c r="C48" i="11" s="1"/>
  <c r="D68" i="9"/>
  <c r="M18" i="15"/>
  <c r="F30" i="69"/>
  <c r="F28" i="67"/>
  <c r="C28" i="67" s="1"/>
  <c r="F30" i="68"/>
  <c r="C30" i="68" s="1"/>
  <c r="C30" i="11"/>
  <c r="F54" i="9"/>
  <c r="C48" i="68"/>
  <c r="F28" i="15"/>
  <c r="C28" i="15" s="1"/>
  <c r="M18" i="67"/>
  <c r="F52" i="9"/>
  <c r="J11" i="39"/>
  <c r="F81" i="39"/>
  <c r="G81" i="39" s="1"/>
  <c r="H81" i="39" s="1"/>
  <c r="I81" i="39" s="1"/>
  <c r="J81" i="39" s="1"/>
  <c r="K81" i="39" s="1"/>
  <c r="L81" i="39" s="1"/>
  <c r="M81" i="39" s="1"/>
  <c r="G22" i="3"/>
  <c r="G23" i="3"/>
  <c r="G17" i="3"/>
  <c r="G15" i="3"/>
  <c r="BC5" i="3"/>
  <c r="AC5" i="3"/>
  <c r="BL18" i="3"/>
  <c r="G19" i="3"/>
  <c r="BL20" i="3"/>
  <c r="G21" i="3"/>
  <c r="BL22" i="3"/>
  <c r="BR5" i="3"/>
  <c r="BQ5" i="3"/>
  <c r="F28" i="6" s="1"/>
  <c r="AQ12" i="1"/>
  <c r="BL14" i="3"/>
  <c r="BL15" i="3"/>
  <c r="BL16" i="3"/>
  <c r="BL19" i="3"/>
  <c r="BL21" i="3"/>
  <c r="AZ13" i="3"/>
  <c r="E21" i="6"/>
  <c r="AZ17" i="3"/>
  <c r="BA26" i="3"/>
  <c r="AZ26" i="3" s="1"/>
  <c r="BA27" i="3"/>
  <c r="AZ27" i="3" s="1"/>
  <c r="AZ16" i="3"/>
  <c r="BD5" i="3"/>
  <c r="BP5" i="3"/>
  <c r="BT5" i="3"/>
  <c r="T13" i="1"/>
  <c r="T11" i="1"/>
  <c r="AR10" i="1"/>
  <c r="F29" i="6"/>
  <c r="BL25" i="3"/>
  <c r="K6" i="1"/>
  <c r="I4" i="6"/>
  <c r="E20" i="6"/>
  <c r="BA22" i="3"/>
  <c r="AZ22" i="3" s="1"/>
  <c r="B9" i="49"/>
  <c r="C4" i="4" s="1"/>
  <c r="B4" i="62" s="1"/>
  <c r="B71" i="72" s="1"/>
  <c r="BB5" i="3"/>
  <c r="S11" i="39"/>
  <c r="E4" i="49"/>
  <c r="E8" i="49"/>
  <c r="E7" i="49"/>
  <c r="B4" i="49"/>
  <c r="E10" i="49"/>
  <c r="E16" i="49"/>
  <c r="E6" i="49"/>
  <c r="B16" i="49"/>
  <c r="G29" i="6"/>
  <c r="BJ5" i="3"/>
  <c r="BF5" i="3"/>
  <c r="G28" i="6"/>
  <c r="G30" i="6" s="1"/>
  <c r="G31" i="6" s="1"/>
  <c r="BL5" i="3"/>
  <c r="E11" i="49"/>
  <c r="B8" i="49"/>
  <c r="B6" i="49"/>
  <c r="E9" i="49"/>
  <c r="E21" i="49"/>
  <c r="B11" i="49"/>
  <c r="E4" i="4" s="1"/>
  <c r="B5" i="62" s="1"/>
  <c r="B73" i="72" s="1"/>
  <c r="B13" i="49"/>
  <c r="B5" i="49"/>
  <c r="E22" i="49"/>
  <c r="B14" i="49"/>
  <c r="B7" i="49"/>
  <c r="B22" i="49"/>
  <c r="T10" i="43"/>
  <c r="V10" i="43" s="1"/>
  <c r="T9" i="43"/>
  <c r="V9" i="43" s="1"/>
  <c r="T15" i="43"/>
  <c r="V15" i="43" s="1"/>
  <c r="T14" i="43"/>
  <c r="V14" i="43" s="1"/>
  <c r="T13" i="43"/>
  <c r="V13" i="43" s="1"/>
  <c r="T8" i="43"/>
  <c r="V8" i="43" s="1"/>
  <c r="T12" i="43"/>
  <c r="V12" i="43" s="1"/>
  <c r="AZ14" i="3"/>
  <c r="AZ15" i="3"/>
  <c r="BA25" i="3"/>
  <c r="AZ25" i="3" s="1"/>
  <c r="E2" i="70"/>
  <c r="G26" i="3"/>
  <c r="G5" i="3" s="1"/>
  <c r="B3" i="3" s="1"/>
  <c r="E530" i="3" s="1"/>
  <c r="BA18" i="3"/>
  <c r="AZ18" i="3" s="1"/>
  <c r="BA19" i="3"/>
  <c r="AZ19" i="3" s="1"/>
  <c r="BA20" i="3"/>
  <c r="AZ20" i="3" s="1"/>
  <c r="BA21" i="3"/>
  <c r="AZ21" i="3" s="1"/>
  <c r="BA23" i="3"/>
  <c r="AZ23" i="3" s="1"/>
  <c r="BA24" i="3"/>
  <c r="AZ24" i="3" s="1"/>
  <c r="T9" i="1"/>
  <c r="AR11" i="1"/>
  <c r="AQ13" i="1"/>
  <c r="T10" i="1"/>
  <c r="T12" i="1"/>
  <c r="E13" i="6"/>
  <c r="O11" i="1"/>
  <c r="P11" i="1" s="1"/>
  <c r="O12" i="1"/>
  <c r="P12" i="1" s="1"/>
  <c r="O9" i="1"/>
  <c r="P9" i="1" s="1"/>
  <c r="AQ9" i="1"/>
  <c r="D12" i="52"/>
  <c r="D127" i="9"/>
  <c r="D13" i="52" s="1"/>
  <c r="L58" i="21"/>
  <c r="M58" i="21" s="1"/>
  <c r="N58" i="21" s="1"/>
  <c r="O58" i="21" s="1"/>
  <c r="F7" i="21"/>
  <c r="M59" i="34"/>
  <c r="N59" i="34" s="1"/>
  <c r="O59" i="34" s="1"/>
  <c r="F7" i="34"/>
  <c r="H7" i="34"/>
  <c r="J52" i="37"/>
  <c r="K52" i="37" s="1"/>
  <c r="L52" i="37" s="1"/>
  <c r="M52" i="37" s="1"/>
  <c r="N52" i="37" s="1"/>
  <c r="O52" i="37" s="1"/>
  <c r="W7" i="33"/>
  <c r="AC7" i="33"/>
  <c r="V48" i="33" s="1"/>
  <c r="I48" i="33" s="1"/>
  <c r="E48" i="35"/>
  <c r="J7" i="34"/>
  <c r="C39" i="43"/>
  <c r="C38" i="43"/>
  <c r="C37" i="43"/>
  <c r="C36" i="43"/>
  <c r="C35" i="43"/>
  <c r="C34" i="43"/>
  <c r="C33" i="43"/>
  <c r="H7" i="37"/>
  <c r="F46" i="36"/>
  <c r="B7" i="70"/>
  <c r="F69" i="67"/>
  <c r="F69" i="15"/>
  <c r="F68" i="67"/>
  <c r="F66" i="67"/>
  <c r="N59" i="67"/>
  <c r="M59" i="67"/>
  <c r="L58" i="67"/>
  <c r="L59" i="67"/>
  <c r="F68" i="15"/>
  <c r="L58" i="15"/>
  <c r="L59" i="15"/>
  <c r="M59" i="15"/>
  <c r="N59" i="15"/>
  <c r="F65" i="15"/>
  <c r="Q71" i="67"/>
  <c r="C27" i="15"/>
  <c r="F51" i="15"/>
  <c r="F64" i="15"/>
  <c r="I54" i="67"/>
  <c r="J57" i="67"/>
  <c r="J55" i="67" s="1"/>
  <c r="J58" i="67" s="1"/>
  <c r="Q50" i="67" s="1"/>
  <c r="L56" i="67"/>
  <c r="C27" i="67"/>
  <c r="F70" i="67"/>
  <c r="F64" i="67"/>
  <c r="F65" i="67"/>
  <c r="I54" i="15"/>
  <c r="L56" i="15"/>
  <c r="J57" i="15"/>
  <c r="J55" i="15" s="1"/>
  <c r="J58" i="15" s="1"/>
  <c r="Q50" i="15" s="1"/>
  <c r="Q71" i="15"/>
  <c r="F66" i="15"/>
  <c r="F51" i="67"/>
  <c r="B10" i="70"/>
  <c r="B11" i="70"/>
  <c r="I1" i="73"/>
  <c r="B39" i="1" s="1"/>
  <c r="B12" i="70"/>
  <c r="B13" i="70"/>
  <c r="B9" i="70"/>
  <c r="E20" i="43"/>
  <c r="K1" i="73"/>
  <c r="M17" i="67"/>
  <c r="F59" i="67"/>
  <c r="M17" i="15"/>
  <c r="F59" i="15"/>
  <c r="F7" i="80"/>
  <c r="F43" i="80"/>
  <c r="J15" i="80"/>
  <c r="F36" i="80"/>
  <c r="M24" i="80"/>
  <c r="F13" i="80"/>
  <c r="F9" i="80"/>
  <c r="L47" i="80"/>
  <c r="M23" i="80"/>
  <c r="F8" i="80"/>
  <c r="M8" i="80"/>
  <c r="F37" i="80"/>
  <c r="F42" i="80"/>
  <c r="L48" i="79"/>
  <c r="F43" i="79"/>
  <c r="F13" i="79"/>
  <c r="F37" i="79"/>
  <c r="J15" i="79"/>
  <c r="F38" i="79"/>
  <c r="M28" i="79"/>
  <c r="M6" i="79"/>
  <c r="F8" i="79"/>
  <c r="M9" i="79"/>
  <c r="M26" i="79"/>
  <c r="M22" i="79"/>
  <c r="C76" i="79"/>
  <c r="F16" i="79"/>
  <c r="C14" i="80"/>
  <c r="L48" i="80"/>
  <c r="M9" i="80"/>
  <c r="F16" i="80"/>
  <c r="F6" i="80"/>
  <c r="M28" i="80"/>
  <c r="F38" i="80"/>
  <c r="F40" i="80"/>
  <c r="M22" i="80"/>
  <c r="F7" i="79"/>
  <c r="F26" i="79"/>
  <c r="M23" i="79"/>
  <c r="L47" i="79"/>
  <c r="M24" i="79"/>
  <c r="F36" i="79"/>
  <c r="F6" i="79"/>
  <c r="C14" i="79"/>
  <c r="M29" i="80"/>
  <c r="M26" i="80"/>
  <c r="M27" i="80"/>
  <c r="M6" i="80"/>
  <c r="F26" i="80"/>
  <c r="C76" i="80"/>
  <c r="M29" i="79"/>
  <c r="F40" i="79"/>
  <c r="F9" i="79"/>
  <c r="M27" i="79"/>
  <c r="M8" i="79"/>
  <c r="F42" i="79"/>
  <c r="G1" i="73"/>
  <c r="W26" i="35" l="1"/>
  <c r="AC26" i="35"/>
  <c r="U26" i="35"/>
  <c r="AB26" i="35"/>
  <c r="S26" i="35"/>
  <c r="AA26" i="35"/>
  <c r="J53" i="80"/>
  <c r="AA29" i="35"/>
  <c r="AB29" i="35"/>
  <c r="U29" i="35"/>
  <c r="W29" i="35"/>
  <c r="AC29" i="35"/>
  <c r="J53" i="79"/>
  <c r="C6" i="79"/>
  <c r="Q71" i="79"/>
  <c r="F64" i="79"/>
  <c r="F51" i="79"/>
  <c r="N59" i="79"/>
  <c r="M59" i="79"/>
  <c r="L59" i="79"/>
  <c r="L58" i="79"/>
  <c r="Q60" i="79" s="1"/>
  <c r="F66" i="79"/>
  <c r="F68" i="79"/>
  <c r="F65" i="79"/>
  <c r="C27" i="79"/>
  <c r="F71" i="79"/>
  <c r="F50" i="79"/>
  <c r="C49" i="79" s="1"/>
  <c r="M7" i="79"/>
  <c r="J6" i="79" s="1"/>
  <c r="J57" i="79"/>
  <c r="J55" i="79" s="1"/>
  <c r="J58" i="79" s="1"/>
  <c r="Q50" i="79" s="1"/>
  <c r="I54" i="79"/>
  <c r="L56" i="79"/>
  <c r="Q71" i="80"/>
  <c r="F65" i="80"/>
  <c r="C27" i="80"/>
  <c r="F68" i="80"/>
  <c r="F51" i="80"/>
  <c r="F66" i="80"/>
  <c r="N59" i="80"/>
  <c r="M59" i="80"/>
  <c r="L59" i="80"/>
  <c r="L58" i="80"/>
  <c r="Q73" i="80" s="1"/>
  <c r="C6" i="80"/>
  <c r="F64" i="80"/>
  <c r="F71" i="80"/>
  <c r="F50" i="80"/>
  <c r="M7" i="80"/>
  <c r="J6" i="80" s="1"/>
  <c r="L56" i="80"/>
  <c r="J57" i="80"/>
  <c r="J55" i="80" s="1"/>
  <c r="J58" i="80" s="1"/>
  <c r="Q50" i="80" s="1"/>
  <c r="I54" i="80"/>
  <c r="C18" i="80"/>
  <c r="C15" i="80"/>
  <c r="C18" i="79"/>
  <c r="C15" i="79"/>
  <c r="F7" i="37"/>
  <c r="J7" i="21"/>
  <c r="J7" i="37"/>
  <c r="H7" i="21"/>
  <c r="AB7" i="33"/>
  <c r="T48" i="33" s="1"/>
  <c r="G48" i="33" s="1"/>
  <c r="G52" i="33" s="1"/>
  <c r="H52" i="33" s="1"/>
  <c r="U7" i="33"/>
  <c r="F11" i="80"/>
  <c r="M11" i="80"/>
  <c r="F11" i="79"/>
  <c r="M11" i="79"/>
  <c r="S7" i="33"/>
  <c r="AA7" i="33"/>
  <c r="R48" i="33" s="1"/>
  <c r="D70" i="39"/>
  <c r="E68" i="39"/>
  <c r="H63" i="40"/>
  <c r="G65" i="40"/>
  <c r="E15" i="6"/>
  <c r="E60" i="40" s="1"/>
  <c r="K7" i="1"/>
  <c r="AP7" i="1" s="1"/>
  <c r="D7" i="12"/>
  <c r="D8" i="12" s="1"/>
  <c r="C48" i="69"/>
  <c r="C30" i="69"/>
  <c r="W11" i="39"/>
  <c r="AC11" i="39"/>
  <c r="E28" i="6"/>
  <c r="F30" i="6"/>
  <c r="E14" i="6"/>
  <c r="E64" i="39" s="1"/>
  <c r="E29" i="6"/>
  <c r="K15" i="1" s="1"/>
  <c r="E12" i="6"/>
  <c r="E57" i="40" s="1"/>
  <c r="M7" i="1"/>
  <c r="O7" i="1" s="1"/>
  <c r="P7" i="1" s="1"/>
  <c r="E62" i="39"/>
  <c r="K8" i="1"/>
  <c r="E7" i="12"/>
  <c r="E8" i="12" s="1"/>
  <c r="E10" i="6"/>
  <c r="K4" i="4"/>
  <c r="B46" i="48" s="1"/>
  <c r="B4" i="72" s="1"/>
  <c r="BA5" i="3"/>
  <c r="E11" i="6"/>
  <c r="E32" i="6"/>
  <c r="E238" i="3"/>
  <c r="G3" i="43"/>
  <c r="M6" i="1"/>
  <c r="AP6" i="1"/>
  <c r="E8" i="6"/>
  <c r="E5" i="6"/>
  <c r="E6" i="6" s="1"/>
  <c r="AZ5" i="3"/>
  <c r="E3" i="6" s="1"/>
  <c r="E30" i="6"/>
  <c r="K14" i="1"/>
  <c r="E550" i="3"/>
  <c r="E294" i="3"/>
  <c r="E559" i="3"/>
  <c r="E407" i="3"/>
  <c r="E352" i="3"/>
  <c r="E230" i="3"/>
  <c r="E320" i="3"/>
  <c r="V6" i="3"/>
  <c r="E128" i="3"/>
  <c r="E545" i="3"/>
  <c r="E395" i="3"/>
  <c r="AN6" i="3"/>
  <c r="E477" i="3"/>
  <c r="E215" i="3"/>
  <c r="E335" i="3"/>
  <c r="E387" i="3"/>
  <c r="AB6" i="3"/>
  <c r="E551" i="3"/>
  <c r="E358" i="3"/>
  <c r="E205" i="3"/>
  <c r="E510" i="3"/>
  <c r="E329" i="3"/>
  <c r="E260" i="3"/>
  <c r="E415" i="3"/>
  <c r="E585" i="3"/>
  <c r="E134" i="3"/>
  <c r="AJ6" i="3"/>
  <c r="E568" i="3"/>
  <c r="E141" i="3"/>
  <c r="E114" i="3"/>
  <c r="AG6" i="3"/>
  <c r="E105" i="3"/>
  <c r="E180" i="3"/>
  <c r="E303" i="3"/>
  <c r="E247" i="3"/>
  <c r="AS6" i="3"/>
  <c r="E478" i="3"/>
  <c r="E306" i="3"/>
  <c r="M6" i="3"/>
  <c r="E570" i="3"/>
  <c r="E514" i="3"/>
  <c r="E311" i="3"/>
  <c r="E165" i="3"/>
  <c r="E227" i="3"/>
  <c r="E461" i="3"/>
  <c r="E567" i="3"/>
  <c r="E539" i="3"/>
  <c r="E535" i="3"/>
  <c r="E445" i="3"/>
  <c r="E172" i="3"/>
  <c r="E563" i="3"/>
  <c r="E278" i="3"/>
  <c r="E69" i="3"/>
  <c r="E515" i="3"/>
  <c r="U6" i="3"/>
  <c r="E379" i="3"/>
  <c r="E116" i="3"/>
  <c r="E85" i="3"/>
  <c r="E91" i="3"/>
  <c r="E189" i="3"/>
  <c r="E402" i="3"/>
  <c r="E353" i="3"/>
  <c r="E579" i="3"/>
  <c r="E268" i="3"/>
  <c r="E136" i="3"/>
  <c r="E426" i="3"/>
  <c r="E505" i="3"/>
  <c r="E414" i="3"/>
  <c r="E560" i="3"/>
  <c r="E181" i="3"/>
  <c r="E35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213" i="3"/>
  <c r="E183" i="3"/>
  <c r="E565" i="3"/>
  <c r="E528" i="3"/>
  <c r="E304" i="3"/>
  <c r="E261" i="3"/>
  <c r="E237" i="3"/>
  <c r="E552" i="3"/>
  <c r="R6" i="3"/>
  <c r="Z6" i="3"/>
  <c r="E576" i="3"/>
  <c r="E327" i="3"/>
  <c r="E173" i="3"/>
  <c r="E197" i="3"/>
  <c r="E223" i="3"/>
  <c r="E140" i="3"/>
  <c r="E221" i="3"/>
  <c r="E254" i="3"/>
  <c r="E130" i="3"/>
  <c r="E301" i="3"/>
  <c r="E350" i="3"/>
  <c r="E586" i="3"/>
  <c r="E495" i="3"/>
  <c r="E201" i="3"/>
  <c r="E431" i="3"/>
  <c r="E509" i="3"/>
  <c r="E322" i="3"/>
  <c r="E366" i="3"/>
  <c r="E269" i="3"/>
  <c r="E453" i="3"/>
  <c r="E410" i="3"/>
  <c r="E53" i="3"/>
  <c r="E547" i="3"/>
  <c r="E367" i="3"/>
  <c r="E432" i="3"/>
  <c r="E548" i="3"/>
  <c r="E411" i="3"/>
  <c r="K6" i="3"/>
  <c r="E212" i="3"/>
  <c r="E191" i="3"/>
  <c r="E511" i="3"/>
  <c r="E305" i="3"/>
  <c r="E542" i="3"/>
  <c r="E499" i="3"/>
  <c r="AD6" i="3"/>
  <c r="E575" i="3"/>
  <c r="E312" i="3"/>
  <c r="E286" i="3"/>
  <c r="E133" i="3"/>
  <c r="E193" i="3"/>
  <c r="E177" i="3"/>
  <c r="E224" i="3"/>
  <c r="E277" i="3"/>
  <c r="E45" i="3"/>
  <c r="E120" i="3"/>
  <c r="E117" i="3"/>
  <c r="E161" i="3"/>
  <c r="E290" i="3"/>
  <c r="E135" i="3"/>
  <c r="E61" i="3"/>
  <c r="E185" i="3"/>
  <c r="E169" i="3"/>
  <c r="E245" i="3"/>
  <c r="E263" i="3"/>
  <c r="E382" i="3"/>
  <c r="E423" i="3"/>
  <c r="E578" i="3"/>
  <c r="AI6" i="3"/>
  <c r="E518" i="3"/>
  <c r="E385" i="3"/>
  <c r="E151" i="3"/>
  <c r="E229" i="3"/>
  <c r="E396" i="3"/>
  <c r="E569" i="3"/>
  <c r="E516" i="3"/>
  <c r="E239" i="3"/>
  <c r="N6" i="3"/>
  <c r="E282" i="3"/>
  <c r="E553" i="3"/>
  <c r="E125" i="3"/>
  <c r="E89" i="3"/>
  <c r="E236" i="3"/>
  <c r="E244" i="3"/>
  <c r="E536" i="3"/>
  <c r="E143" i="3"/>
  <c r="E388" i="3"/>
  <c r="E501" i="3"/>
  <c r="E531" i="3"/>
  <c r="E581" i="3"/>
  <c r="E557" i="3"/>
  <c r="E558" i="3"/>
  <c r="E345" i="3"/>
  <c r="E443" i="3"/>
  <c r="E400" i="3"/>
  <c r="P6" i="3"/>
  <c r="E485" i="3"/>
  <c r="E448" i="3"/>
  <c r="AO6" i="3"/>
  <c r="Q6" i="3"/>
  <c r="E330" i="3"/>
  <c r="E167" i="3"/>
  <c r="E149" i="3"/>
  <c r="E188" i="3"/>
  <c r="E262" i="3"/>
  <c r="AK6" i="3"/>
  <c r="E97" i="3"/>
  <c r="O6" i="3"/>
  <c r="E252" i="3"/>
  <c r="E204" i="3"/>
  <c r="E164" i="3"/>
  <c r="E369" i="3"/>
  <c r="E525" i="3"/>
  <c r="E534" i="3"/>
  <c r="T6"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55" i="3"/>
  <c r="E40" i="3"/>
  <c r="E72" i="3"/>
  <c r="E104" i="3"/>
  <c r="E106" i="3"/>
  <c r="E54" i="3"/>
  <c r="E41" i="3"/>
  <c r="E73" i="3"/>
  <c r="E108" i="3"/>
  <c r="E111" i="3"/>
  <c r="E115" i="3"/>
  <c r="E146" i="3"/>
  <c r="E178" i="3"/>
  <c r="E168" i="3"/>
  <c r="E198" i="3"/>
  <c r="E203" i="3"/>
  <c r="E119" i="3"/>
  <c r="E150" i="3"/>
  <c r="E139" i="3"/>
  <c r="E171" i="3"/>
  <c r="E202" i="3"/>
  <c r="E208" i="3"/>
  <c r="E225" i="3"/>
  <c r="E256" i="3"/>
  <c r="E242" i="3"/>
  <c r="E279" i="3"/>
  <c r="E281" i="3"/>
  <c r="E214" i="3"/>
  <c r="E207" i="3"/>
  <c r="E271" i="3"/>
  <c r="E145" i="3"/>
  <c r="E107" i="3"/>
  <c r="E393" i="3"/>
  <c r="E493" i="3"/>
  <c r="E564" i="3"/>
  <c r="E543" i="3"/>
  <c r="E405" i="3"/>
  <c r="E427" i="3"/>
  <c r="E456" i="3"/>
  <c r="E486" i="3"/>
  <c r="E469" i="3"/>
  <c r="E507" i="3"/>
  <c r="E512" i="3"/>
  <c r="E422" i="3"/>
  <c r="E408" i="3"/>
  <c r="E440" i="3"/>
  <c r="E451" i="3"/>
  <c r="E490" i="3"/>
  <c r="E360" i="3"/>
  <c r="E376" i="3"/>
  <c r="AH6" i="3"/>
  <c r="J6" i="3"/>
  <c r="E498" i="3"/>
  <c r="E403" i="3"/>
  <c r="E444" i="3"/>
  <c r="E476" i="3"/>
  <c r="E489" i="3"/>
  <c r="E546" i="3"/>
  <c r="E404" i="3"/>
  <c r="E447" i="3"/>
  <c r="E28" i="3"/>
  <c r="E71" i="3"/>
  <c r="E88" i="3"/>
  <c r="E27" i="3"/>
  <c r="E70" i="3"/>
  <c r="E92" i="3"/>
  <c r="E121" i="3"/>
  <c r="E162" i="3"/>
  <c r="E182" i="3"/>
  <c r="E126" i="3"/>
  <c r="E166" i="3"/>
  <c r="E186" i="3"/>
  <c r="E211" i="3"/>
  <c r="E272" i="3"/>
  <c r="E295"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526" i="3"/>
  <c r="E217" i="3"/>
  <c r="E122" i="3"/>
  <c r="E148" i="3"/>
  <c r="E156" i="3"/>
  <c r="E196" i="3"/>
  <c r="E368" i="3"/>
  <c r="E549" i="3"/>
  <c r="I6" i="3"/>
  <c r="E397" i="3"/>
  <c r="E337" i="3"/>
  <c r="E555" i="3"/>
  <c r="E328" i="3"/>
  <c r="E153" i="3"/>
  <c r="E319" i="3"/>
  <c r="E413" i="3"/>
  <c r="E517" i="3"/>
  <c r="E582" i="3"/>
  <c r="E554" i="3"/>
  <c r="E500" i="3"/>
  <c r="AP6" i="3"/>
  <c r="E566" i="3"/>
  <c r="I3" i="6"/>
  <c r="E374" i="3"/>
  <c r="E255" i="3"/>
  <c r="E459" i="3"/>
  <c r="E449" i="3"/>
  <c r="E416" i="3"/>
  <c r="E430" i="3"/>
  <c r="E398" i="3"/>
  <c r="E541" i="3"/>
  <c r="E487" i="3"/>
  <c r="E466" i="3"/>
  <c r="E464" i="3"/>
  <c r="E442" i="3"/>
  <c r="E421" i="3"/>
  <c r="E502" i="3"/>
  <c r="E573" i="3"/>
  <c r="E532" i="3"/>
  <c r="E519" i="3"/>
  <c r="E313" i="3"/>
  <c r="E199" i="3"/>
  <c r="E253" i="3"/>
  <c r="E77" i="3"/>
  <c r="E157" i="3"/>
  <c r="E228" i="3"/>
  <c r="E99" i="3"/>
  <c r="E159" i="3"/>
  <c r="E296" i="3"/>
  <c r="E434" i="3"/>
  <c r="E16" i="3"/>
  <c r="E314" i="3"/>
  <c r="E285" i="3"/>
  <c r="E574" i="3"/>
  <c r="E508" i="3"/>
  <c r="E343" i="3"/>
  <c r="E175" i="3"/>
  <c r="E25" i="3"/>
  <c r="D3" i="21"/>
  <c r="D19" i="11"/>
  <c r="C19" i="11" s="1"/>
  <c r="D37" i="11"/>
  <c r="D14" i="12"/>
  <c r="M18" i="9"/>
  <c r="B118" i="9" s="1"/>
  <c r="B1" i="74" s="1"/>
  <c r="D3" i="34"/>
  <c r="D3" i="33"/>
  <c r="C17" i="4"/>
  <c r="B4" i="52" s="1"/>
  <c r="B43" i="72" s="1"/>
  <c r="L18" i="9"/>
  <c r="D3" i="37"/>
  <c r="E65" i="39"/>
  <c r="E58" i="40"/>
  <c r="E63" i="39"/>
  <c r="G46" i="36"/>
  <c r="AB7" i="37"/>
  <c r="T42" i="37" s="1"/>
  <c r="G42" i="37" s="1"/>
  <c r="U7" i="37"/>
  <c r="AC7" i="21"/>
  <c r="V48" i="21" s="1"/>
  <c r="I48" i="21" s="1"/>
  <c r="W7" i="21"/>
  <c r="G33" i="43"/>
  <c r="I33" i="43" s="1"/>
  <c r="E33" i="43"/>
  <c r="G34" i="43"/>
  <c r="I34" i="43" s="1"/>
  <c r="E34" i="43"/>
  <c r="E36" i="43"/>
  <c r="G36" i="43"/>
  <c r="I36" i="43" s="1"/>
  <c r="G38" i="43"/>
  <c r="I38" i="43" s="1"/>
  <c r="E38" i="43"/>
  <c r="AC7" i="34"/>
  <c r="V49" i="34" s="1"/>
  <c r="I49" i="34" s="1"/>
  <c r="W7" i="34"/>
  <c r="F48" i="35"/>
  <c r="I52" i="33"/>
  <c r="J52" i="33" s="1"/>
  <c r="AC7" i="37"/>
  <c r="V42" i="37" s="1"/>
  <c r="I42" i="37" s="1"/>
  <c r="W7" i="37"/>
  <c r="U7" i="34"/>
  <c r="AB7" i="34"/>
  <c r="T49" i="34" s="1"/>
  <c r="G49" i="34" s="1"/>
  <c r="AB7" i="21"/>
  <c r="T48" i="21" s="1"/>
  <c r="G48" i="21" s="1"/>
  <c r="U7" i="21"/>
  <c r="S7" i="37"/>
  <c r="AA7" i="37"/>
  <c r="R42" i="37" s="1"/>
  <c r="G35" i="43"/>
  <c r="I35" i="43" s="1"/>
  <c r="E35" i="43"/>
  <c r="E37" i="43"/>
  <c r="G37" i="43"/>
  <c r="I37" i="43" s="1"/>
  <c r="G39" i="43"/>
  <c r="I39" i="43" s="1"/>
  <c r="E39" i="43"/>
  <c r="S7" i="34"/>
  <c r="AA7" i="34"/>
  <c r="R49" i="34" s="1"/>
  <c r="S7" i="21"/>
  <c r="AA7" i="21"/>
  <c r="R48" i="21" s="1"/>
  <c r="G53" i="33"/>
  <c r="H53" i="33" s="1"/>
  <c r="B40" i="1"/>
  <c r="O17" i="43"/>
  <c r="P17" i="43"/>
  <c r="N17" i="43"/>
  <c r="M17" i="43"/>
  <c r="M11" i="15"/>
  <c r="F11" i="67"/>
  <c r="F11" i="15"/>
  <c r="M11" i="67"/>
  <c r="J10" i="67" s="1"/>
  <c r="Q61" i="15"/>
  <c r="Q74" i="15"/>
  <c r="Q60" i="67"/>
  <c r="Q73" i="67"/>
  <c r="Q73" i="15"/>
  <c r="Q60" i="15"/>
  <c r="Q74" i="67"/>
  <c r="Q61" i="67"/>
  <c r="C16" i="80"/>
  <c r="C17" i="79"/>
  <c r="C16" i="79"/>
  <c r="C17" i="80"/>
  <c r="F43" i="67"/>
  <c r="F7" i="67"/>
  <c r="F7" i="15"/>
  <c r="M29" i="15"/>
  <c r="M29" i="67"/>
  <c r="F43" i="15"/>
  <c r="C36" i="69" l="1"/>
  <c r="F1" i="80"/>
  <c r="Q52" i="80"/>
  <c r="J10" i="79"/>
  <c r="J5" i="79" s="1"/>
  <c r="J26" i="79" s="1"/>
  <c r="Q73" i="79"/>
  <c r="J10" i="80"/>
  <c r="J5" i="80" s="1"/>
  <c r="J24" i="80" s="1"/>
  <c r="F1" i="79"/>
  <c r="Q52" i="79"/>
  <c r="Q60" i="80"/>
  <c r="C49" i="80"/>
  <c r="C19" i="80"/>
  <c r="C20" i="80" s="1"/>
  <c r="C26" i="80" s="1"/>
  <c r="Q61" i="80"/>
  <c r="Q74" i="80"/>
  <c r="Q61" i="79"/>
  <c r="Q74" i="79"/>
  <c r="L18" i="82"/>
  <c r="L18" i="81"/>
  <c r="M18" i="82"/>
  <c r="B118" i="82" s="1"/>
  <c r="M18" i="81"/>
  <c r="B118" i="81" s="1"/>
  <c r="C19" i="79"/>
  <c r="C20" i="79" s="1"/>
  <c r="C26" i="79" s="1"/>
  <c r="C4" i="12"/>
  <c r="C31" i="12" s="1"/>
  <c r="F24" i="79"/>
  <c r="C24" i="79" s="1"/>
  <c r="F24" i="80"/>
  <c r="J26" i="80"/>
  <c r="C53" i="80"/>
  <c r="C10" i="80"/>
  <c r="C5" i="80" s="1"/>
  <c r="J24" i="79"/>
  <c r="C53" i="79"/>
  <c r="C48" i="79" s="1"/>
  <c r="C10" i="79"/>
  <c r="C5" i="79" s="1"/>
  <c r="F68" i="39"/>
  <c r="E70" i="39"/>
  <c r="E48" i="33"/>
  <c r="R49" i="33"/>
  <c r="H65" i="40"/>
  <c r="I63" i="40"/>
  <c r="E16" i="6"/>
  <c r="E59" i="40"/>
  <c r="C6" i="15"/>
  <c r="M7" i="15"/>
  <c r="J6" i="15" s="1"/>
  <c r="J10" i="15" s="1"/>
  <c r="J5" i="15" s="1"/>
  <c r="F50" i="15"/>
  <c r="C49" i="15" s="1"/>
  <c r="F50" i="67"/>
  <c r="C49" i="67" s="1"/>
  <c r="M7" i="67"/>
  <c r="J6" i="67" s="1"/>
  <c r="J5" i="67" s="1"/>
  <c r="J24" i="67" s="1"/>
  <c r="C6" i="67"/>
  <c r="F71" i="67"/>
  <c r="F71" i="15"/>
  <c r="M8" i="1"/>
  <c r="H6" i="3"/>
  <c r="AY6" i="3"/>
  <c r="AY83" i="3" s="1"/>
  <c r="H16" i="1"/>
  <c r="Q16" i="1"/>
  <c r="G16" i="1"/>
  <c r="E61" i="39"/>
  <c r="E56" i="40"/>
  <c r="O6" i="1"/>
  <c r="P6" i="1" s="1"/>
  <c r="C13" i="12" s="1"/>
  <c r="B113" i="43"/>
  <c r="C101" i="43"/>
  <c r="N104" i="46"/>
  <c r="H101" i="43"/>
  <c r="J22" i="43"/>
  <c r="K101" i="43"/>
  <c r="N101" i="43"/>
  <c r="H22" i="43"/>
  <c r="M101" i="43"/>
  <c r="E101" i="43"/>
  <c r="AH11" i="43"/>
  <c r="AH13" i="43" s="1"/>
  <c r="AD11" i="43"/>
  <c r="AD13" i="43" s="1"/>
  <c r="Z11" i="43"/>
  <c r="Z13" i="43" s="1"/>
  <c r="AI11" i="43"/>
  <c r="AI13" i="43" s="1"/>
  <c r="AE11" i="43"/>
  <c r="AE13" i="43" s="1"/>
  <c r="AA11" i="43"/>
  <c r="AA13" i="43" s="1"/>
  <c r="F101" i="43"/>
  <c r="I101" i="43"/>
  <c r="AF11" i="43"/>
  <c r="AF13" i="43" s="1"/>
  <c r="Z7" i="43"/>
  <c r="AC11" i="43"/>
  <c r="AC13" i="43" s="1"/>
  <c r="G101" i="43"/>
  <c r="J101" i="43"/>
  <c r="L101" i="43"/>
  <c r="G22" i="43"/>
  <c r="F22" i="43"/>
  <c r="E22" i="43"/>
  <c r="D101" i="43"/>
  <c r="AJ11" i="43"/>
  <c r="AJ13" i="43" s="1"/>
  <c r="AB11" i="43"/>
  <c r="AB13" i="43" s="1"/>
  <c r="AG11" i="43"/>
  <c r="AG13" i="43" s="1"/>
  <c r="Y11" i="43"/>
  <c r="Y13" i="43" s="1"/>
  <c r="L20" i="6"/>
  <c r="L19" i="6"/>
  <c r="D9" i="11"/>
  <c r="C9" i="11" s="1"/>
  <c r="D9" i="69"/>
  <c r="C9" i="69" s="1"/>
  <c r="D9" i="68"/>
  <c r="C9" i="68" s="1"/>
  <c r="D19" i="12"/>
  <c r="C19" i="12" s="1"/>
  <c r="F27" i="6"/>
  <c r="E56" i="39"/>
  <c r="E66" i="39" s="1"/>
  <c r="E51" i="40"/>
  <c r="AY95" i="3"/>
  <c r="AY34" i="3"/>
  <c r="AY45" i="3"/>
  <c r="AY77" i="3"/>
  <c r="AY108" i="3"/>
  <c r="AY553" i="3"/>
  <c r="AY541" i="3"/>
  <c r="AY569" i="3"/>
  <c r="BK6" i="3"/>
  <c r="AY513" i="3"/>
  <c r="AY420" i="3"/>
  <c r="AY310" i="3"/>
  <c r="AY372" i="3"/>
  <c r="AY260" i="3"/>
  <c r="AY26" i="3"/>
  <c r="AY441" i="3"/>
  <c r="AY473" i="3"/>
  <c r="AY366" i="3"/>
  <c r="AY236" i="3"/>
  <c r="AY168" i="3"/>
  <c r="AY281" i="3"/>
  <c r="AY42" i="3"/>
  <c r="AY124" i="3"/>
  <c r="AY207" i="3"/>
  <c r="AY51"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M14" i="1"/>
  <c r="C34" i="69"/>
  <c r="K16" i="1"/>
  <c r="B29" i="1" s="1"/>
  <c r="C8" i="68" s="1"/>
  <c r="AC6" i="3"/>
  <c r="E6" i="3" s="1"/>
  <c r="D10" i="68"/>
  <c r="D10" i="11"/>
  <c r="C10" i="11" s="1"/>
  <c r="D10" i="69"/>
  <c r="D20" i="12"/>
  <c r="C20" i="12" s="1"/>
  <c r="D17" i="12"/>
  <c r="C17" i="12" s="1"/>
  <c r="C20" i="11"/>
  <c r="C7" i="74"/>
  <c r="C8" i="74"/>
  <c r="E49" i="34"/>
  <c r="I54" i="34" s="1"/>
  <c r="J54" i="34" s="1"/>
  <c r="R50" i="34"/>
  <c r="R43" i="37"/>
  <c r="E42" i="37"/>
  <c r="G52" i="21"/>
  <c r="H52" i="21" s="1"/>
  <c r="G53" i="21"/>
  <c r="H53" i="21" s="1"/>
  <c r="I47" i="37"/>
  <c r="J47" i="37" s="1"/>
  <c r="I46" i="37"/>
  <c r="J46" i="37" s="1"/>
  <c r="E48" i="21"/>
  <c r="I53" i="21" s="1"/>
  <c r="J53" i="21" s="1"/>
  <c r="R49" i="21"/>
  <c r="G53" i="34"/>
  <c r="H53" i="34" s="1"/>
  <c r="G54" i="34"/>
  <c r="H54" i="34" s="1"/>
  <c r="G48" i="35"/>
  <c r="I53" i="34"/>
  <c r="J53" i="34" s="1"/>
  <c r="I52" i="21"/>
  <c r="J52" i="21" s="1"/>
  <c r="G47" i="37"/>
  <c r="H47" i="37" s="1"/>
  <c r="G46" i="37"/>
  <c r="H46" i="37" s="1"/>
  <c r="H46" i="36"/>
  <c r="C53" i="15"/>
  <c r="C10" i="15"/>
  <c r="C53" i="67"/>
  <c r="C10" i="67"/>
  <c r="F24" i="15"/>
  <c r="C24" i="15" s="1"/>
  <c r="F22" i="11"/>
  <c r="F22" i="69"/>
  <c r="F25" i="12"/>
  <c r="F22" i="68"/>
  <c r="F24" i="67"/>
  <c r="C24" i="67" s="1"/>
  <c r="AE8" i="1"/>
  <c r="C16" i="67"/>
  <c r="AE6" i="1"/>
  <c r="C16" i="15"/>
  <c r="J18" i="79" l="1"/>
  <c r="J18" i="80"/>
  <c r="C48" i="80"/>
  <c r="C66" i="80" s="1"/>
  <c r="C5" i="67"/>
  <c r="C32" i="67" s="1"/>
  <c r="C23" i="79"/>
  <c r="C29" i="79" s="1"/>
  <c r="C57" i="79" s="1"/>
  <c r="C38" i="80"/>
  <c r="C32" i="80"/>
  <c r="C24" i="80"/>
  <c r="C23" i="80"/>
  <c r="C38" i="79"/>
  <c r="C32" i="79"/>
  <c r="C66" i="79"/>
  <c r="C60" i="79"/>
  <c r="I65" i="40"/>
  <c r="J63" i="40"/>
  <c r="E52" i="33"/>
  <c r="F52" i="33" s="1"/>
  <c r="E53" i="33"/>
  <c r="F53" i="33" s="1"/>
  <c r="I53" i="33"/>
  <c r="J53" i="33" s="1"/>
  <c r="G68" i="39"/>
  <c r="F70" i="39"/>
  <c r="C49" i="33"/>
  <c r="B2" i="33" s="1"/>
  <c r="B3" i="33" s="1"/>
  <c r="C48" i="33"/>
  <c r="J18" i="67"/>
  <c r="C48" i="15"/>
  <c r="C60" i="15" s="1"/>
  <c r="AY523" i="3"/>
  <c r="J26" i="67"/>
  <c r="J29" i="67" s="1"/>
  <c r="C5" i="15"/>
  <c r="C32" i="15" s="1"/>
  <c r="C48" i="67"/>
  <c r="C66" i="67" s="1"/>
  <c r="O8" i="1"/>
  <c r="P8" i="1" s="1"/>
  <c r="AY520" i="3"/>
  <c r="AY496" i="3"/>
  <c r="AY406" i="3"/>
  <c r="AY543" i="3"/>
  <c r="AY572" i="3"/>
  <c r="AY483" i="3"/>
  <c r="AY532" i="3"/>
  <c r="AY552" i="3"/>
  <c r="AY536" i="3"/>
  <c r="AY503" i="3"/>
  <c r="AY449" i="3"/>
  <c r="AY370" i="3"/>
  <c r="AY309" i="3"/>
  <c r="AY275" i="3"/>
  <c r="AY580" i="3"/>
  <c r="AY419" i="3"/>
  <c r="AY438" i="3"/>
  <c r="AY480" i="3"/>
  <c r="AY324" i="3"/>
  <c r="AY341" i="3"/>
  <c r="AY215" i="3"/>
  <c r="AY29" i="3"/>
  <c r="AY161" i="3"/>
  <c r="AY507" i="3"/>
  <c r="AY258" i="3"/>
  <c r="AY121" i="3"/>
  <c r="AY181" i="3"/>
  <c r="AY88" i="3"/>
  <c r="AY227" i="3"/>
  <c r="AY72" i="3"/>
  <c r="BB6" i="3"/>
  <c r="AY368" i="3"/>
  <c r="AY286" i="3"/>
  <c r="AY373" i="3"/>
  <c r="AY270" i="3"/>
  <c r="AY198" i="3"/>
  <c r="AY141" i="3"/>
  <c r="AY89" i="3"/>
  <c r="AY384" i="3"/>
  <c r="AY238" i="3"/>
  <c r="AY255" i="3"/>
  <c r="AY291" i="3"/>
  <c r="AY162" i="3"/>
  <c r="AY52" i="3"/>
  <c r="AY404" i="3"/>
  <c r="AY134" i="3"/>
  <c r="AY173" i="3"/>
  <c r="AY193" i="3"/>
  <c r="AY20" i="3"/>
  <c r="AY53" i="3"/>
  <c r="BO6" i="3"/>
  <c r="AY199" i="3"/>
  <c r="AY562" i="3"/>
  <c r="AY355" i="3"/>
  <c r="AY292" i="3"/>
  <c r="AY486" i="3"/>
  <c r="AY139" i="3"/>
  <c r="AY481" i="3"/>
  <c r="AY244" i="3"/>
  <c r="AY425" i="3"/>
  <c r="AY220" i="3"/>
  <c r="AY74" i="3"/>
  <c r="AY50" i="3"/>
  <c r="AY350" i="3"/>
  <c r="AY147" i="3"/>
  <c r="AY183" i="3"/>
  <c r="AY289" i="3"/>
  <c r="AY160" i="3"/>
  <c r="AY463" i="3"/>
  <c r="AY61" i="3"/>
  <c r="AY253" i="3"/>
  <c r="AY196" i="3"/>
  <c r="AY67" i="3"/>
  <c r="AY533" i="3"/>
  <c r="AY529" i="3"/>
  <c r="AY87" i="3"/>
  <c r="AY103" i="3"/>
  <c r="AY97" i="3"/>
  <c r="AY549" i="3"/>
  <c r="AY217" i="3"/>
  <c r="AY303" i="3"/>
  <c r="AY152" i="3"/>
  <c r="AY144" i="3"/>
  <c r="AY382" i="3"/>
  <c r="AY300" i="3"/>
  <c r="AY401" i="3"/>
  <c r="BE6" i="3"/>
  <c r="AY76" i="3"/>
  <c r="AY82" i="3"/>
  <c r="AY191" i="3"/>
  <c r="AY132" i="3"/>
  <c r="AY31" i="3"/>
  <c r="AY75" i="3"/>
  <c r="AY387" i="3"/>
  <c r="AY444" i="3"/>
  <c r="AY269" i="3"/>
  <c r="AY311" i="3"/>
  <c r="AY535" i="3"/>
  <c r="AY55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49" i="3"/>
  <c r="AY32" i="3"/>
  <c r="AY205" i="3"/>
  <c r="AY142" i="3"/>
  <c r="AY122" i="3"/>
  <c r="AY298" i="3"/>
  <c r="AY235" i="3"/>
  <c r="AY218" i="3"/>
  <c r="AY385" i="3"/>
  <c r="AY352" i="3"/>
  <c r="AY321" i="3"/>
  <c r="AY336" i="3"/>
  <c r="AY304" i="3"/>
  <c r="AY492" i="3"/>
  <c r="AY461" i="3"/>
  <c r="AY450" i="3"/>
  <c r="AY418" i="3"/>
  <c r="AY123" i="3"/>
  <c r="AY204" i="3"/>
  <c r="AY252" i="3"/>
  <c r="AY363" i="3"/>
  <c r="AY489" i="3"/>
  <c r="AY412" i="3"/>
  <c r="AY43" i="3"/>
  <c r="AY229" i="3"/>
  <c r="AY379" i="3"/>
  <c r="AY326" i="3"/>
  <c r="AY436" i="3"/>
  <c r="AY557" i="3"/>
  <c r="AY540" i="3"/>
  <c r="AY105" i="3"/>
  <c r="AY69" i="3"/>
  <c r="AY60" i="3"/>
  <c r="AY28" i="3"/>
  <c r="AY206" i="3"/>
  <c r="AY201" i="3"/>
  <c r="AY170" i="3"/>
  <c r="AY138" i="3"/>
  <c r="AY149" i="3"/>
  <c r="AY118" i="3"/>
  <c r="AY299" i="3"/>
  <c r="AY294" i="3"/>
  <c r="AY111" i="3"/>
  <c r="AY327" i="3"/>
  <c r="AY92" i="3"/>
  <c r="AY18" i="3"/>
  <c r="AY90" i="3"/>
  <c r="AY237" i="3"/>
  <c r="AY526" i="3"/>
  <c r="AY447" i="3"/>
  <c r="AY85" i="3"/>
  <c r="AY182" i="3"/>
  <c r="AY126" i="3"/>
  <c r="AY239" i="3"/>
  <c r="AY389" i="3"/>
  <c r="AY93" i="3"/>
  <c r="AY150" i="3"/>
  <c r="AY226" i="3"/>
  <c r="AY340" i="3"/>
  <c r="AY454" i="3"/>
  <c r="AY525" i="3"/>
  <c r="AY518" i="3"/>
  <c r="AY577" i="3"/>
  <c r="AY64" i="3"/>
  <c r="AY174" i="3"/>
  <c r="AY113" i="3"/>
  <c r="AY250" i="3"/>
  <c r="AY361" i="3"/>
  <c r="AY305" i="3"/>
  <c r="AY479" i="3"/>
  <c r="AY445" i="3"/>
  <c r="AY402" i="3"/>
  <c r="AY284" i="3"/>
  <c r="AY319" i="3"/>
  <c r="AY497" i="3"/>
  <c r="AY212" i="3"/>
  <c r="AY478" i="3"/>
  <c r="AY573" i="3"/>
  <c r="AY100" i="3"/>
  <c r="AY44" i="3"/>
  <c r="AY190" i="3"/>
  <c r="AY154" i="3"/>
  <c r="AY133" i="3"/>
  <c r="AY283" i="3"/>
  <c r="AY263" i="3"/>
  <c r="AY231" i="3"/>
  <c r="AY246" i="3"/>
  <c r="AY214" i="3"/>
  <c r="AY392" i="3"/>
  <c r="AY381" i="3"/>
  <c r="AY357" i="3"/>
  <c r="AY554" i="3"/>
  <c r="BJ6" i="3"/>
  <c r="AY104" i="3"/>
  <c r="AY41" i="3"/>
  <c r="AY24" i="3"/>
  <c r="AY197" i="3"/>
  <c r="AY177" i="3"/>
  <c r="AY114" i="3"/>
  <c r="AY290" i="3"/>
  <c r="AY274" i="3"/>
  <c r="AY210" i="3"/>
  <c r="AY349" i="3"/>
  <c r="AY332" i="3"/>
  <c r="AY488" i="3"/>
  <c r="AY446" i="3"/>
  <c r="AY427" i="3"/>
  <c r="BM6" i="3"/>
  <c r="BF6" i="3"/>
  <c r="AY510" i="3"/>
  <c r="AY584" i="3"/>
  <c r="AY519" i="3"/>
  <c r="AY80" i="3"/>
  <c r="AY189" i="3"/>
  <c r="AY129" i="3"/>
  <c r="AY266" i="3"/>
  <c r="AY369" i="3"/>
  <c r="AY313" i="3"/>
  <c r="AY487" i="3"/>
  <c r="AY453" i="3"/>
  <c r="AY410" i="3"/>
  <c r="AY415" i="3"/>
  <c r="AY505" i="3"/>
  <c r="AY538" i="3"/>
  <c r="AY522" i="3"/>
  <c r="AY515" i="3"/>
  <c r="AY551" i="3"/>
  <c r="AY460" i="3"/>
  <c r="AY544" i="3"/>
  <c r="AY98" i="3"/>
  <c r="AY171" i="3"/>
  <c r="AY163" i="3"/>
  <c r="AY334" i="3"/>
  <c r="AY390" i="3"/>
  <c r="AY574" i="3"/>
  <c r="AY36" i="3"/>
  <c r="AY146" i="3"/>
  <c r="AY302" i="3"/>
  <c r="AY222" i="3"/>
  <c r="BS6" i="3"/>
  <c r="AY40" i="3"/>
  <c r="AY279" i="3"/>
  <c r="AY356" i="3"/>
  <c r="AY467" i="3"/>
  <c r="AY435" i="3"/>
  <c r="BN6" i="3"/>
  <c r="AY508" i="3"/>
  <c r="AY81" i="3"/>
  <c r="AY21" i="3"/>
  <c r="AY153" i="3"/>
  <c r="AY267" i="3"/>
  <c r="AY396" i="3"/>
  <c r="AY337" i="3"/>
  <c r="AY320" i="3"/>
  <c r="AY476" i="3"/>
  <c r="AY434" i="3"/>
  <c r="AY261" i="3"/>
  <c r="AY209" i="3"/>
  <c r="AY455" i="3"/>
  <c r="AY116" i="3"/>
  <c r="AY343" i="3"/>
  <c r="AY417" i="3"/>
  <c r="AY539" i="3"/>
  <c r="AY84" i="3"/>
  <c r="AY33" i="3"/>
  <c r="AY185" i="3"/>
  <c r="AY165" i="3"/>
  <c r="AY125" i="3"/>
  <c r="AY278" i="3"/>
  <c r="AY247" i="3"/>
  <c r="AY262" i="3"/>
  <c r="AY230" i="3"/>
  <c r="AY219" i="3"/>
  <c r="AY397" i="3"/>
  <c r="AY374" i="3"/>
  <c r="AY360" i="3"/>
  <c r="BH6" i="3"/>
  <c r="AY109" i="3"/>
  <c r="AY73" i="3"/>
  <c r="AY56" i="3"/>
  <c r="AY202" i="3"/>
  <c r="AY166" i="3"/>
  <c r="AY145" i="3"/>
  <c r="AY295" i="3"/>
  <c r="AY259" i="3"/>
  <c r="AY242" i="3"/>
  <c r="AY377" i="3"/>
  <c r="AY317" i="3"/>
  <c r="AY491" i="3"/>
  <c r="AY457" i="3"/>
  <c r="AY414" i="3"/>
  <c r="AY581" i="3"/>
  <c r="AY561"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545" i="3"/>
  <c r="AY493" i="3"/>
  <c r="AY62"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3" i="3"/>
  <c r="AY348" i="3"/>
  <c r="AY475" i="3"/>
  <c r="AY462" i="3"/>
  <c r="AY398" i="3"/>
  <c r="BQ6" i="3"/>
  <c r="AY534"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P6" i="3"/>
  <c r="AY79"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8" i="3"/>
  <c r="AY333" i="3"/>
  <c r="AY316" i="3"/>
  <c r="AY472" i="3"/>
  <c r="AY430" i="3"/>
  <c r="AY411" i="3"/>
  <c r="AY585"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8"/>
  <c r="F27" i="69"/>
  <c r="F28" i="12"/>
  <c r="C29" i="12" s="1"/>
  <c r="D28" i="12" s="1"/>
  <c r="F27" i="11"/>
  <c r="J10" i="40"/>
  <c r="J10" i="39"/>
  <c r="H10" i="40"/>
  <c r="H10" i="39"/>
  <c r="F10" i="39"/>
  <c r="F10" i="40"/>
  <c r="L27" i="6"/>
  <c r="D103" i="43"/>
  <c r="D107" i="43"/>
  <c r="D106" i="43"/>
  <c r="D109" i="43"/>
  <c r="D104" i="43"/>
  <c r="D105" i="43"/>
  <c r="D102" i="43"/>
  <c r="L102" i="43"/>
  <c r="L104" i="43"/>
  <c r="L107" i="43"/>
  <c r="L109" i="43"/>
  <c r="L105" i="43"/>
  <c r="L106" i="43"/>
  <c r="L103" i="43"/>
  <c r="G104" i="43"/>
  <c r="G105" i="43"/>
  <c r="G103" i="43"/>
  <c r="G107" i="43"/>
  <c r="G106" i="43"/>
  <c r="G102" i="43"/>
  <c r="G109" i="43"/>
  <c r="I109" i="43"/>
  <c r="I106" i="43"/>
  <c r="I104" i="43"/>
  <c r="I105" i="43"/>
  <c r="I102" i="43"/>
  <c r="I103" i="43"/>
  <c r="I107" i="43"/>
  <c r="E107" i="43"/>
  <c r="E109" i="43"/>
  <c r="E102" i="43"/>
  <c r="E104" i="43"/>
  <c r="E105" i="43"/>
  <c r="E106" i="43"/>
  <c r="E103" i="43"/>
  <c r="K103" i="43"/>
  <c r="K105" i="43"/>
  <c r="K107" i="43"/>
  <c r="K106" i="43"/>
  <c r="K102" i="43"/>
  <c r="K109" i="43"/>
  <c r="K104" i="43"/>
  <c r="H106" i="43"/>
  <c r="H103" i="43"/>
  <c r="H104" i="43"/>
  <c r="H107" i="43"/>
  <c r="H105" i="43"/>
  <c r="H102" i="43"/>
  <c r="H109" i="43"/>
  <c r="C107" i="43"/>
  <c r="C104" i="43"/>
  <c r="C105" i="43"/>
  <c r="C109" i="43"/>
  <c r="C103" i="43"/>
  <c r="C106" i="43"/>
  <c r="C102" i="43"/>
  <c r="C18" i="12"/>
  <c r="D22" i="43"/>
  <c r="J107" i="43"/>
  <c r="J109" i="43"/>
  <c r="J105" i="43"/>
  <c r="J106" i="43"/>
  <c r="J102" i="43"/>
  <c r="J104" i="43"/>
  <c r="J103" i="43"/>
  <c r="F104" i="43"/>
  <c r="F105" i="43"/>
  <c r="F107" i="43"/>
  <c r="F103" i="43"/>
  <c r="F102" i="43"/>
  <c r="F109" i="43"/>
  <c r="F106" i="43"/>
  <c r="M109" i="43"/>
  <c r="M107" i="43"/>
  <c r="M102" i="43"/>
  <c r="M106" i="43"/>
  <c r="M104" i="43"/>
  <c r="M105" i="43"/>
  <c r="M103" i="43"/>
  <c r="N105" i="43"/>
  <c r="N109" i="43"/>
  <c r="N106" i="43"/>
  <c r="N102" i="43"/>
  <c r="N104" i="43"/>
  <c r="N103" i="43"/>
  <c r="N107"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F31" i="6"/>
  <c r="E27" i="6"/>
  <c r="C35" i="69"/>
  <c r="C38" i="69"/>
  <c r="O14" i="1"/>
  <c r="M16" i="1"/>
  <c r="N16" i="1" s="1"/>
  <c r="D19" i="69"/>
  <c r="C10" i="69"/>
  <c r="C8" i="69" s="1"/>
  <c r="C5" i="69" s="1"/>
  <c r="C23" i="69" s="1"/>
  <c r="C10" i="68"/>
  <c r="D19" i="68"/>
  <c r="C48" i="21"/>
  <c r="C49" i="21"/>
  <c r="B2" i="21" s="1"/>
  <c r="B3" i="21" s="1"/>
  <c r="E47" i="37"/>
  <c r="F47" i="37" s="1"/>
  <c r="E46" i="37"/>
  <c r="F46" i="37" s="1"/>
  <c r="E54" i="34"/>
  <c r="F54" i="34" s="1"/>
  <c r="E53" i="34"/>
  <c r="F53" i="34" s="1"/>
  <c r="I46" i="36"/>
  <c r="H48" i="35"/>
  <c r="E53" i="21"/>
  <c r="F53" i="21" s="1"/>
  <c r="E52" i="21"/>
  <c r="F52" i="21" s="1"/>
  <c r="C43" i="37"/>
  <c r="B2" i="37" s="1"/>
  <c r="B3" i="37" s="1"/>
  <c r="C42" i="37"/>
  <c r="C49" i="34"/>
  <c r="C50" i="34"/>
  <c r="B2" i="34" s="1"/>
  <c r="B3" i="34" s="1"/>
  <c r="J18" i="15"/>
  <c r="J24" i="15"/>
  <c r="J26" i="15"/>
  <c r="J29" i="15" s="1"/>
  <c r="C26" i="12"/>
  <c r="D25" i="12" s="1"/>
  <c r="C25" i="11"/>
  <c r="C44" i="11"/>
  <c r="D41" i="11" s="1"/>
  <c r="C23" i="11"/>
  <c r="C26" i="11"/>
  <c r="D22" i="11" s="1"/>
  <c r="C24" i="11"/>
  <c r="C26" i="68"/>
  <c r="D22" i="68" s="1"/>
  <c r="C44" i="68"/>
  <c r="D41" i="68" s="1"/>
  <c r="C26" i="69"/>
  <c r="D22" i="69" s="1"/>
  <c r="C44" i="69"/>
  <c r="D41" i="69" s="1"/>
  <c r="F41" i="79"/>
  <c r="F41" i="80"/>
  <c r="J29" i="80" l="1"/>
  <c r="F69" i="80"/>
  <c r="F69" i="79"/>
  <c r="J29" i="79"/>
  <c r="C38" i="67"/>
  <c r="C60" i="80"/>
  <c r="L19" i="82"/>
  <c r="L19" i="81"/>
  <c r="M19" i="82"/>
  <c r="C118" i="82" s="1"/>
  <c r="M19" i="81"/>
  <c r="C118" i="81" s="1"/>
  <c r="J59" i="79"/>
  <c r="J60" i="79" s="1"/>
  <c r="Q48" i="79" s="1"/>
  <c r="J14" i="79"/>
  <c r="J13" i="79" s="1"/>
  <c r="J23" i="79" s="1"/>
  <c r="C66" i="15"/>
  <c r="Q49" i="79"/>
  <c r="C36" i="79"/>
  <c r="C33" i="79"/>
  <c r="C13" i="79"/>
  <c r="Q70" i="79" s="1"/>
  <c r="J19" i="79"/>
  <c r="C29" i="80"/>
  <c r="C57" i="80" s="1"/>
  <c r="C64" i="79"/>
  <c r="C61" i="79"/>
  <c r="G70" i="39"/>
  <c r="H68" i="39"/>
  <c r="K63" i="40"/>
  <c r="J65" i="40"/>
  <c r="C38" i="15"/>
  <c r="C60" i="67"/>
  <c r="D15" i="6"/>
  <c r="D29" i="6"/>
  <c r="D20" i="6"/>
  <c r="D14" i="6"/>
  <c r="D26" i="6"/>
  <c r="D19" i="6"/>
  <c r="D24" i="6"/>
  <c r="D22" i="6"/>
  <c r="D5" i="6"/>
  <c r="D12" i="6"/>
  <c r="D10" i="6"/>
  <c r="D23" i="6"/>
  <c r="E61" i="40"/>
  <c r="M19" i="9"/>
  <c r="C118" i="9" s="1"/>
  <c r="C14" i="74" s="1"/>
  <c r="B2" i="74" s="1"/>
  <c r="D9" i="6"/>
  <c r="D8" i="6"/>
  <c r="D13" i="6"/>
  <c r="D25" i="6"/>
  <c r="D11" i="6"/>
  <c r="D28" i="6"/>
  <c r="D30" i="6" s="1"/>
  <c r="D21" i="6"/>
  <c r="D6" i="6"/>
  <c r="C18" i="4"/>
  <c r="L19" i="9"/>
  <c r="AA10" i="39"/>
  <c r="S10" i="39"/>
  <c r="AB10" i="40"/>
  <c r="U10" i="40"/>
  <c r="W10" i="40"/>
  <c r="AC10" i="40"/>
  <c r="C29" i="68"/>
  <c r="D27" i="68" s="1"/>
  <c r="C47" i="68"/>
  <c r="D45" i="68" s="1"/>
  <c r="C23" i="43"/>
  <c r="C21" i="43" s="1"/>
  <c r="C29" i="43" s="1"/>
  <c r="S3" i="43"/>
  <c r="T3" i="43" s="1"/>
  <c r="V3" i="43" s="1"/>
  <c r="S4" i="43"/>
  <c r="T4" i="43" s="1"/>
  <c r="V4" i="43" s="1"/>
  <c r="S5" i="43"/>
  <c r="T5" i="43" s="1"/>
  <c r="V5" i="43" s="1"/>
  <c r="S2" i="43"/>
  <c r="T2" i="43" s="1"/>
  <c r="V2" i="43" s="1"/>
  <c r="S7" i="43"/>
  <c r="T7" i="43" s="1"/>
  <c r="V7" i="43" s="1"/>
  <c r="S6" i="43"/>
  <c r="T6" i="43" s="1"/>
  <c r="V6" i="43" s="1"/>
  <c r="S10" i="40"/>
  <c r="AA10" i="40"/>
  <c r="U10" i="39"/>
  <c r="AB10" i="39"/>
  <c r="AC10" i="39"/>
  <c r="W10" i="39"/>
  <c r="C29" i="11"/>
  <c r="D27" i="11" s="1"/>
  <c r="C47" i="11"/>
  <c r="D45" i="11" s="1"/>
  <c r="C47" i="69"/>
  <c r="D45" i="69" s="1"/>
  <c r="C29" i="69"/>
  <c r="D27" i="69" s="1"/>
  <c r="C28" i="11"/>
  <c r="C27" i="11" s="1"/>
  <c r="D113" i="43"/>
  <c r="K22" i="6"/>
  <c r="M22" i="6" s="1"/>
  <c r="I22" i="6" s="1"/>
  <c r="K20" i="6"/>
  <c r="K26" i="6"/>
  <c r="M26" i="6" s="1"/>
  <c r="I26" i="6" s="1"/>
  <c r="K25" i="6"/>
  <c r="M25" i="6" s="1"/>
  <c r="I25" i="6" s="1"/>
  <c r="K23" i="6"/>
  <c r="M23" i="6" s="1"/>
  <c r="I23" i="6" s="1"/>
  <c r="K19" i="6"/>
  <c r="E31" i="6"/>
  <c r="K21" i="6"/>
  <c r="K24" i="6"/>
  <c r="M24" i="6" s="1"/>
  <c r="I24" i="6" s="1"/>
  <c r="F34" i="11"/>
  <c r="F34" i="68"/>
  <c r="C36" i="68" s="1"/>
  <c r="F11" i="12"/>
  <c r="F50" i="69"/>
  <c r="F50" i="68"/>
  <c r="F50" i="11"/>
  <c r="P14" i="1"/>
  <c r="P16" i="1" s="1"/>
  <c r="C11" i="12" s="1"/>
  <c r="O16" i="1"/>
  <c r="L16" i="1"/>
  <c r="D37" i="69"/>
  <c r="C37" i="69" s="1"/>
  <c r="C33" i="69" s="1"/>
  <c r="C19" i="69"/>
  <c r="D37" i="68"/>
  <c r="C37" i="68" s="1"/>
  <c r="C19" i="68"/>
  <c r="E29" i="43"/>
  <c r="C26" i="43" s="1"/>
  <c r="C30" i="43"/>
  <c r="E30" i="43" s="1"/>
  <c r="C27" i="43" s="1"/>
  <c r="I48" i="35"/>
  <c r="J46" i="36"/>
  <c r="K46" i="36" s="1"/>
  <c r="L46" i="36" s="1"/>
  <c r="M46" i="36" s="1"/>
  <c r="N46" i="36" s="1"/>
  <c r="O46" i="36" s="1"/>
  <c r="J7" i="36"/>
  <c r="F7" i="36"/>
  <c r="H7" i="36"/>
  <c r="C22" i="11"/>
  <c r="C31" i="11" s="1"/>
  <c r="E6" i="76"/>
  <c r="C75" i="79" l="1"/>
  <c r="Q49" i="80"/>
  <c r="C37" i="79"/>
  <c r="J59" i="80"/>
  <c r="J60" i="80" s="1"/>
  <c r="Q48" i="80" s="1"/>
  <c r="J14" i="80"/>
  <c r="J13" i="80" s="1"/>
  <c r="J23" i="80" s="1"/>
  <c r="J22" i="79"/>
  <c r="C56" i="79"/>
  <c r="C65" i="79" s="1"/>
  <c r="C33" i="80"/>
  <c r="C13" i="80"/>
  <c r="C75" i="80" s="1"/>
  <c r="C36" i="80"/>
  <c r="J19" i="80"/>
  <c r="C64" i="80"/>
  <c r="C61" i="80"/>
  <c r="I68" i="39"/>
  <c r="H70" i="39"/>
  <c r="K65" i="40"/>
  <c r="L63" i="40"/>
  <c r="D16" i="6"/>
  <c r="C34" i="11"/>
  <c r="C35" i="11" s="1"/>
  <c r="D27" i="6"/>
  <c r="D7" i="74"/>
  <c r="D8" i="74"/>
  <c r="D31" i="6"/>
  <c r="C4" i="52"/>
  <c r="B45" i="72" s="1"/>
  <c r="A7" i="51"/>
  <c r="B7" i="72" s="1"/>
  <c r="A10" i="51"/>
  <c r="B9" i="72" s="1"/>
  <c r="S8" i="1"/>
  <c r="M21" i="6"/>
  <c r="I21" i="6" s="1"/>
  <c r="S6" i="1"/>
  <c r="K27" i="6"/>
  <c r="M19" i="6"/>
  <c r="S25" i="6"/>
  <c r="H25" i="6"/>
  <c r="R25" i="6" s="1"/>
  <c r="S7" i="1"/>
  <c r="M20" i="6"/>
  <c r="I20" i="6" s="1"/>
  <c r="S24" i="6"/>
  <c r="H24" i="6"/>
  <c r="R24" i="6" s="1"/>
  <c r="S23" i="6"/>
  <c r="H23" i="6"/>
  <c r="R23" i="6" s="1"/>
  <c r="S26" i="6"/>
  <c r="H26" i="6"/>
  <c r="R26" i="6" s="1"/>
  <c r="S22" i="6"/>
  <c r="H22" i="6"/>
  <c r="R22" i="6" s="1"/>
  <c r="C34" i="68"/>
  <c r="C38" i="68" s="1"/>
  <c r="C23" i="12"/>
  <c r="C14" i="12"/>
  <c r="C36" i="11"/>
  <c r="C37" i="11"/>
  <c r="C15" i="12"/>
  <c r="C12" i="12"/>
  <c r="C38" i="11"/>
  <c r="C24" i="68"/>
  <c r="C20" i="69"/>
  <c r="C24" i="69"/>
  <c r="C39" i="69"/>
  <c r="C43" i="69" s="1"/>
  <c r="C42" i="69"/>
  <c r="E2" i="76"/>
  <c r="B2" i="43"/>
  <c r="W7" i="36"/>
  <c r="AC7" i="36"/>
  <c r="V36" i="36" s="1"/>
  <c r="I36" i="36" s="1"/>
  <c r="U7" i="36"/>
  <c r="AB7" i="36"/>
  <c r="T36" i="36" s="1"/>
  <c r="G36" i="36" s="1"/>
  <c r="S7" i="36"/>
  <c r="AA7" i="36"/>
  <c r="R36" i="36" s="1"/>
  <c r="J48" i="35"/>
  <c r="C17" i="15"/>
  <c r="C17" i="67"/>
  <c r="C14" i="67"/>
  <c r="B6" i="76"/>
  <c r="J22" i="80" l="1"/>
  <c r="Q70" i="80"/>
  <c r="L46" i="80"/>
  <c r="C56" i="80"/>
  <c r="C65" i="80" s="1"/>
  <c r="C37" i="80"/>
  <c r="M63" i="40"/>
  <c r="L65" i="40"/>
  <c r="J68" i="39"/>
  <c r="I70" i="39"/>
  <c r="C15" i="67"/>
  <c r="C18" i="67"/>
  <c r="I5" i="6"/>
  <c r="I6" i="6"/>
  <c r="T7" i="1"/>
  <c r="AQ7" i="1"/>
  <c r="AR7" i="1"/>
  <c r="H21" i="6"/>
  <c r="R21" i="6" s="1"/>
  <c r="R8" i="1" s="1"/>
  <c r="S21" i="6"/>
  <c r="S20" i="6"/>
  <c r="H20" i="6"/>
  <c r="R20" i="6" s="1"/>
  <c r="R7" i="1" s="1"/>
  <c r="M27" i="6"/>
  <c r="I19" i="6"/>
  <c r="AR6" i="1"/>
  <c r="AQ6" i="1"/>
  <c r="T6" i="1"/>
  <c r="S16" i="1"/>
  <c r="AQ8" i="1"/>
  <c r="AR8" i="1"/>
  <c r="T8" i="1"/>
  <c r="C35" i="68"/>
  <c r="C33" i="68" s="1"/>
  <c r="C33" i="11"/>
  <c r="C39" i="11" s="1"/>
  <c r="C16" i="12"/>
  <c r="C21" i="12" s="1"/>
  <c r="C22" i="12" s="1"/>
  <c r="C41" i="69"/>
  <c r="C46" i="69"/>
  <c r="C45" i="69" s="1"/>
  <c r="C25" i="69"/>
  <c r="C22" i="69" s="1"/>
  <c r="C28" i="69"/>
  <c r="C27" i="69" s="1"/>
  <c r="B2" i="76"/>
  <c r="B3" i="76" s="1"/>
  <c r="B3" i="43"/>
  <c r="K48" i="35"/>
  <c r="I40" i="36"/>
  <c r="J40" i="36" s="1"/>
  <c r="E36" i="36"/>
  <c r="R37" i="36"/>
  <c r="G40" i="36"/>
  <c r="H40" i="36" s="1"/>
  <c r="G41" i="36"/>
  <c r="H41" i="36" s="1"/>
  <c r="M21" i="80"/>
  <c r="M21" i="67"/>
  <c r="F35" i="67"/>
  <c r="F35" i="80"/>
  <c r="C14" i="15"/>
  <c r="M21" i="15"/>
  <c r="F35" i="15"/>
  <c r="J20" i="80" l="1"/>
  <c r="J17" i="80" s="1"/>
  <c r="J16" i="80" s="1"/>
  <c r="J25" i="80" s="1"/>
  <c r="F63" i="80"/>
  <c r="C62" i="80" s="1"/>
  <c r="C59" i="80" s="1"/>
  <c r="C58" i="80" s="1"/>
  <c r="C67" i="80" s="1"/>
  <c r="C68" i="80" s="1"/>
  <c r="C71" i="80" s="1"/>
  <c r="C34" i="80"/>
  <c r="C31" i="80" s="1"/>
  <c r="C30" i="80" s="1"/>
  <c r="C39" i="80" s="1"/>
  <c r="K68" i="39"/>
  <c r="J70" i="39"/>
  <c r="M65" i="40"/>
  <c r="N63" i="40"/>
  <c r="C19" i="67"/>
  <c r="C18" i="15"/>
  <c r="C15" i="15"/>
  <c r="C34" i="67"/>
  <c r="F63" i="67"/>
  <c r="C62" i="67" s="1"/>
  <c r="J20" i="15"/>
  <c r="J20" i="67"/>
  <c r="C34" i="15"/>
  <c r="F63" i="15"/>
  <c r="C62" i="15" s="1"/>
  <c r="T16" i="1"/>
  <c r="C20" i="67"/>
  <c r="C23" i="67" s="1"/>
  <c r="C42" i="11"/>
  <c r="C46" i="11"/>
  <c r="C45" i="11" s="1"/>
  <c r="H19" i="6"/>
  <c r="S19" i="6"/>
  <c r="S27" i="6" s="1"/>
  <c r="I27" i="6"/>
  <c r="C39" i="68"/>
  <c r="C43" i="68" s="1"/>
  <c r="C42" i="68"/>
  <c r="C49" i="69"/>
  <c r="C51" i="69" s="1"/>
  <c r="C30" i="12"/>
  <c r="C28" i="12" s="1"/>
  <c r="C27" i="12"/>
  <c r="C25" i="12" s="1"/>
  <c r="C31" i="69"/>
  <c r="C43" i="11"/>
  <c r="E40" i="36"/>
  <c r="F40" i="36" s="1"/>
  <c r="E41" i="36"/>
  <c r="F41" i="36" s="1"/>
  <c r="I41" i="36"/>
  <c r="J41" i="36" s="1"/>
  <c r="C36" i="36"/>
  <c r="C37" i="36"/>
  <c r="B2" i="36" s="1"/>
  <c r="B3" i="36" s="1"/>
  <c r="L48" i="35"/>
  <c r="L51" i="80"/>
  <c r="C40" i="80" l="1"/>
  <c r="Q47" i="80" s="1"/>
  <c r="Q53" i="80" s="1"/>
  <c r="Q69" i="80"/>
  <c r="Q68" i="80" s="1"/>
  <c r="C80" i="80"/>
  <c r="C79" i="80" s="1"/>
  <c r="L57" i="80"/>
  <c r="L60" i="80" s="1"/>
  <c r="Q66" i="80" s="1"/>
  <c r="Q67" i="80"/>
  <c r="Q56" i="80"/>
  <c r="C43" i="80"/>
  <c r="N65" i="40"/>
  <c r="O63" i="40"/>
  <c r="O65" i="40" s="1"/>
  <c r="J7" i="40"/>
  <c r="F7" i="40"/>
  <c r="L68" i="39"/>
  <c r="K70" i="39"/>
  <c r="C41" i="11"/>
  <c r="C52" i="69"/>
  <c r="B2" i="69" s="1"/>
  <c r="B3" i="69" s="1"/>
  <c r="C49" i="11"/>
  <c r="C51" i="11" s="1"/>
  <c r="C52" i="11" s="1"/>
  <c r="B2" i="11" s="1"/>
  <c r="B3" i="11" s="1"/>
  <c r="C19" i="15"/>
  <c r="C20" i="15" s="1"/>
  <c r="C26" i="15" s="1"/>
  <c r="C26" i="67"/>
  <c r="C29" i="67" s="1"/>
  <c r="J59" i="67" s="1"/>
  <c r="J60" i="67" s="1"/>
  <c r="Q48" i="67" s="1"/>
  <c r="R19" i="6"/>
  <c r="H27" i="6"/>
  <c r="C46" i="68"/>
  <c r="C45" i="68" s="1"/>
  <c r="C41" i="68"/>
  <c r="C32" i="12"/>
  <c r="B2" i="12" s="1"/>
  <c r="M48" i="35"/>
  <c r="D19" i="9"/>
  <c r="Q65" i="80" l="1"/>
  <c r="B2" i="80"/>
  <c r="C83" i="80"/>
  <c r="C82" i="80" s="1"/>
  <c r="Q57" i="80"/>
  <c r="C46" i="80"/>
  <c r="Q62" i="80"/>
  <c r="Q75" i="80"/>
  <c r="S7" i="40"/>
  <c r="AA7" i="40"/>
  <c r="R42" i="40" s="1"/>
  <c r="H7" i="40"/>
  <c r="C57" i="69"/>
  <c r="C56" i="69" s="1"/>
  <c r="L70" i="39"/>
  <c r="M68" i="39"/>
  <c r="W7" i="40"/>
  <c r="AC7" i="40"/>
  <c r="V42" i="40" s="1"/>
  <c r="I42" i="40" s="1"/>
  <c r="D102" i="9"/>
  <c r="D21" i="9"/>
  <c r="B3" i="12"/>
  <c r="C23" i="15"/>
  <c r="C29" i="15" s="1"/>
  <c r="C13" i="15" s="1"/>
  <c r="C13" i="67"/>
  <c r="Q70" i="67" s="1"/>
  <c r="C57" i="67"/>
  <c r="C64" i="67" s="1"/>
  <c r="J19" i="67"/>
  <c r="J17" i="67" s="1"/>
  <c r="C36" i="67"/>
  <c r="Q49" i="67"/>
  <c r="C33" i="67"/>
  <c r="C31" i="67" s="1"/>
  <c r="J14" i="67"/>
  <c r="J13" i="67" s="1"/>
  <c r="J23" i="67" s="1"/>
  <c r="C49" i="68"/>
  <c r="C51" i="68" s="1"/>
  <c r="R27" i="6"/>
  <c r="R6" i="1"/>
  <c r="C56" i="11"/>
  <c r="C57" i="11" s="1"/>
  <c r="N48" i="35"/>
  <c r="O48" i="35" s="1"/>
  <c r="D19" i="82"/>
  <c r="F35" i="79"/>
  <c r="M21" i="79"/>
  <c r="D20" i="9"/>
  <c r="D102" i="82" l="1"/>
  <c r="D21" i="82"/>
  <c r="B3" i="80"/>
  <c r="Q49" i="15"/>
  <c r="J20" i="79"/>
  <c r="J17" i="79" s="1"/>
  <c r="J16" i="79" s="1"/>
  <c r="J25" i="79" s="1"/>
  <c r="F63" i="79"/>
  <c r="C62" i="79" s="1"/>
  <c r="C59" i="79" s="1"/>
  <c r="C58" i="79" s="1"/>
  <c r="C67" i="79" s="1"/>
  <c r="C68" i="79" s="1"/>
  <c r="C34" i="79"/>
  <c r="C31" i="79" s="1"/>
  <c r="C30" i="79" s="1"/>
  <c r="C39" i="79" s="1"/>
  <c r="R16" i="1"/>
  <c r="H7" i="35"/>
  <c r="U7" i="35" s="1"/>
  <c r="U7" i="40"/>
  <c r="AB7" i="40"/>
  <c r="T42" i="40" s="1"/>
  <c r="G42" i="40" s="1"/>
  <c r="G46" i="40" s="1"/>
  <c r="H46" i="40" s="1"/>
  <c r="I46" i="40"/>
  <c r="J46" i="40" s="1"/>
  <c r="M70" i="39"/>
  <c r="N68" i="39"/>
  <c r="E42" i="40"/>
  <c r="R43" i="40"/>
  <c r="C33" i="15"/>
  <c r="C31" i="15" s="1"/>
  <c r="J59" i="15"/>
  <c r="J60" i="15" s="1"/>
  <c r="Q48" i="15" s="1"/>
  <c r="J19" i="15"/>
  <c r="J17" i="15" s="1"/>
  <c r="J14" i="15"/>
  <c r="J13" i="15" s="1"/>
  <c r="J23" i="15" s="1"/>
  <c r="C61" i="67"/>
  <c r="C59" i="67" s="1"/>
  <c r="C36" i="15"/>
  <c r="C57" i="15"/>
  <c r="C61" i="15" s="1"/>
  <c r="C59" i="15" s="1"/>
  <c r="D103" i="9"/>
  <c r="C56" i="67"/>
  <c r="C65" i="67" s="1"/>
  <c r="C58" i="67" s="1"/>
  <c r="C67" i="67" s="1"/>
  <c r="C68" i="67" s="1"/>
  <c r="C37" i="67"/>
  <c r="C30" i="67" s="1"/>
  <c r="C39" i="67" s="1"/>
  <c r="Q69" i="67" s="1"/>
  <c r="Q68" i="67" s="1"/>
  <c r="C75" i="67"/>
  <c r="J22" i="67"/>
  <c r="J16" i="67" s="1"/>
  <c r="J25" i="67" s="1"/>
  <c r="C37" i="15"/>
  <c r="Q70" i="15"/>
  <c r="C75" i="15"/>
  <c r="C56" i="15"/>
  <c r="C65" i="15" s="1"/>
  <c r="J7" i="35"/>
  <c r="F7" i="35"/>
  <c r="D20" i="82"/>
  <c r="L51" i="79"/>
  <c r="L51" i="67"/>
  <c r="D103" i="82" l="1"/>
  <c r="AB7" i="35"/>
  <c r="T38" i="35" s="1"/>
  <c r="G38" i="35" s="1"/>
  <c r="Q67" i="79"/>
  <c r="L57" i="79"/>
  <c r="L60" i="79" s="1"/>
  <c r="C71" i="79"/>
  <c r="C40" i="79"/>
  <c r="Q69" i="79"/>
  <c r="Q68" i="79" s="1"/>
  <c r="C80" i="79"/>
  <c r="C79" i="79" s="1"/>
  <c r="C42" i="40"/>
  <c r="C43" i="40"/>
  <c r="N70" i="39"/>
  <c r="J7" i="39" s="1"/>
  <c r="O68" i="39"/>
  <c r="O70" i="39" s="1"/>
  <c r="I47" i="40"/>
  <c r="J47" i="40" s="1"/>
  <c r="E46" i="40"/>
  <c r="F46" i="40" s="1"/>
  <c r="E47" i="40"/>
  <c r="F47" i="40" s="1"/>
  <c r="G47" i="40"/>
  <c r="H47" i="40" s="1"/>
  <c r="J22" i="15"/>
  <c r="J16" i="15" s="1"/>
  <c r="J25" i="15" s="1"/>
  <c r="C30" i="15"/>
  <c r="C39" i="15" s="1"/>
  <c r="Q69" i="15" s="1"/>
  <c r="Q68" i="15" s="1"/>
  <c r="C64" i="15"/>
  <c r="C58" i="15" s="1"/>
  <c r="C67" i="15" s="1"/>
  <c r="C68" i="15" s="1"/>
  <c r="C80" i="67"/>
  <c r="C79" i="67" s="1"/>
  <c r="C40" i="67"/>
  <c r="Q65" i="67" s="1"/>
  <c r="Q67" i="67"/>
  <c r="L57" i="67"/>
  <c r="L60" i="67" s="1"/>
  <c r="L46" i="67" s="1"/>
  <c r="C80" i="15"/>
  <c r="C79" i="15" s="1"/>
  <c r="C71" i="67"/>
  <c r="AA7" i="35"/>
  <c r="R38" i="35" s="1"/>
  <c r="S7" i="35"/>
  <c r="AC7" i="35"/>
  <c r="V38" i="35" s="1"/>
  <c r="I38" i="35" s="1"/>
  <c r="W7" i="35"/>
  <c r="G42" i="35"/>
  <c r="H42" i="35" s="1"/>
  <c r="L51" i="15"/>
  <c r="D2" i="67" l="1"/>
  <c r="B3" i="67" s="1"/>
  <c r="Q57" i="79"/>
  <c r="Q66" i="79"/>
  <c r="Q47" i="79"/>
  <c r="Q53" i="79" s="1"/>
  <c r="Q65" i="79"/>
  <c r="Q75" i="79" s="1"/>
  <c r="C43" i="79"/>
  <c r="B2" i="79"/>
  <c r="Q56" i="79"/>
  <c r="C83" i="79"/>
  <c r="C82" i="79" s="1"/>
  <c r="C46" i="79"/>
  <c r="H7" i="39"/>
  <c r="F7" i="39"/>
  <c r="B58" i="40"/>
  <c r="F58" i="40" s="1"/>
  <c r="B52" i="40"/>
  <c r="F52" i="40" s="1"/>
  <c r="B51" i="40"/>
  <c r="F51" i="40" s="1"/>
  <c r="B53" i="40"/>
  <c r="F53" i="40" s="1"/>
  <c r="B55" i="40"/>
  <c r="F55" i="40" s="1"/>
  <c r="B57" i="40"/>
  <c r="F57" i="40" s="1"/>
  <c r="B56" i="40"/>
  <c r="F56" i="40" s="1"/>
  <c r="B54" i="40"/>
  <c r="F54" i="40" s="1"/>
  <c r="F61" i="40"/>
  <c r="B2" i="40" s="1"/>
  <c r="B3" i="40" s="1"/>
  <c r="B59" i="40"/>
  <c r="F59" i="40" s="1"/>
  <c r="B60" i="40"/>
  <c r="F60" i="40" s="1"/>
  <c r="W7" i="39"/>
  <c r="AC7" i="39"/>
  <c r="V47" i="39" s="1"/>
  <c r="I47" i="39" s="1"/>
  <c r="C40" i="15"/>
  <c r="Q56" i="15" s="1"/>
  <c r="C43" i="67"/>
  <c r="Q67" i="15"/>
  <c r="L57" i="15"/>
  <c r="L60" i="15" s="1"/>
  <c r="Q57" i="15" s="1"/>
  <c r="C45" i="67"/>
  <c r="C46" i="67" s="1"/>
  <c r="C83" i="67"/>
  <c r="C82" i="67" s="1"/>
  <c r="Q66" i="67"/>
  <c r="Q75" i="67" s="1"/>
  <c r="Q56" i="67"/>
  <c r="Q57" i="67"/>
  <c r="Q47" i="67"/>
  <c r="Q53" i="67" s="1"/>
  <c r="Q65" i="15"/>
  <c r="C71" i="15"/>
  <c r="L46" i="15"/>
  <c r="I42" i="35"/>
  <c r="J42" i="35" s="1"/>
  <c r="G43" i="35"/>
  <c r="H43" i="35" s="1"/>
  <c r="R39" i="35"/>
  <c r="E38" i="35"/>
  <c r="AO8" i="1"/>
  <c r="AO6" i="1"/>
  <c r="D19" i="81"/>
  <c r="B8" i="70" l="1"/>
  <c r="B2" i="67"/>
  <c r="D21" i="81"/>
  <c r="D102" i="81"/>
  <c r="B6" i="70"/>
  <c r="B2" i="70" s="1"/>
  <c r="B3" i="70" s="1"/>
  <c r="B3" i="79"/>
  <c r="Q62" i="79"/>
  <c r="C46" i="15"/>
  <c r="C83" i="15"/>
  <c r="C82" i="15" s="1"/>
  <c r="AA7" i="39"/>
  <c r="R47" i="39" s="1"/>
  <c r="S7" i="39"/>
  <c r="I51" i="39"/>
  <c r="J51" i="39" s="1"/>
  <c r="U7" i="39"/>
  <c r="AB7" i="39"/>
  <c r="T47" i="39" s="1"/>
  <c r="G47" i="39" s="1"/>
  <c r="C43" i="15"/>
  <c r="B2" i="15"/>
  <c r="B3" i="15" s="1"/>
  <c r="Q47" i="15"/>
  <c r="Q53" i="15" s="1"/>
  <c r="Q66" i="15"/>
  <c r="Q75" i="15" s="1"/>
  <c r="Q62" i="15"/>
  <c r="Q62" i="67"/>
  <c r="E43" i="35"/>
  <c r="F43" i="35" s="1"/>
  <c r="E42" i="35"/>
  <c r="F42" i="35" s="1"/>
  <c r="C39" i="35"/>
  <c r="B2" i="35" s="1"/>
  <c r="B3" i="35" s="1"/>
  <c r="C38" i="35"/>
  <c r="I43" i="35"/>
  <c r="J43" i="35" s="1"/>
  <c r="D20" i="81"/>
  <c r="D103" i="81" l="1"/>
  <c r="G51" i="39"/>
  <c r="H51" i="39" s="1"/>
  <c r="G52" i="39"/>
  <c r="H52" i="39" s="1"/>
  <c r="R48" i="39"/>
  <c r="E47" i="39"/>
  <c r="C48" i="39" l="1"/>
  <c r="C47" i="39"/>
  <c r="E51" i="39"/>
  <c r="F51" i="39" s="1"/>
  <c r="E52" i="39"/>
  <c r="F52" i="39" s="1"/>
  <c r="I52" i="39"/>
  <c r="J52" i="39" s="1"/>
  <c r="B58" i="39" l="1"/>
  <c r="F58" i="39" s="1"/>
  <c r="B65" i="39"/>
  <c r="F65" i="39" s="1"/>
  <c r="B63" i="39"/>
  <c r="F63" i="39" s="1"/>
  <c r="B61" i="39"/>
  <c r="F61" i="39" s="1"/>
  <c r="B59" i="39"/>
  <c r="F59" i="39" s="1"/>
  <c r="B60" i="39"/>
  <c r="F60" i="39" s="1"/>
  <c r="B64" i="39"/>
  <c r="F64" i="39" s="1"/>
  <c r="B57" i="39"/>
  <c r="F57" i="39" s="1"/>
  <c r="B62" i="39"/>
  <c r="F62" i="39" s="1"/>
  <c r="B56" i="39"/>
  <c r="F56" i="39" s="1"/>
  <c r="C6" i="68" l="1"/>
  <c r="C7" i="68" s="1"/>
  <c r="C5" i="68" s="1"/>
  <c r="F66" i="39"/>
  <c r="B2" i="39" s="1"/>
  <c r="B3" i="39" s="1"/>
  <c r="C23" i="68" l="1"/>
  <c r="C20" i="68"/>
  <c r="C25" i="68" s="1"/>
  <c r="C28" i="68" l="1"/>
  <c r="C27" i="68" s="1"/>
  <c r="C22" i="68"/>
  <c r="C31" i="68" l="1"/>
  <c r="C52" i="68" s="1"/>
  <c r="B2" i="68" s="1"/>
  <c r="C19" i="81"/>
  <c r="C19" i="9"/>
  <c r="C19" i="82"/>
  <c r="C57" i="68" l="1"/>
  <c r="C56" i="68" s="1"/>
  <c r="C102" i="82"/>
  <c r="D22" i="82"/>
  <c r="C21" i="82"/>
  <c r="G19" i="82"/>
  <c r="C102" i="81"/>
  <c r="D22" i="81"/>
  <c r="C21" i="81"/>
  <c r="G19" i="81"/>
  <c r="C102" i="9"/>
  <c r="D22" i="9"/>
  <c r="C21" i="9"/>
  <c r="G19" i="9"/>
  <c r="B3" i="68"/>
  <c r="D35" i="82"/>
  <c r="D34" i="81"/>
  <c r="D35" i="81"/>
  <c r="C20" i="82"/>
  <c r="D35" i="9"/>
  <c r="D34" i="82"/>
  <c r="C20" i="81"/>
  <c r="D34" i="9"/>
  <c r="C20" i="9"/>
  <c r="G20" i="82" l="1"/>
  <c r="AE23" i="78" s="1"/>
  <c r="AF23" i="78" s="1"/>
  <c r="C103" i="82"/>
  <c r="C32" i="82"/>
  <c r="G21" i="82"/>
  <c r="G20" i="81"/>
  <c r="C103" i="81"/>
  <c r="C32" i="81"/>
  <c r="G21" i="81"/>
  <c r="G20" i="9"/>
  <c r="C103" i="9"/>
  <c r="G21" i="9"/>
  <c r="C32" i="9"/>
  <c r="R24" i="31" l="1"/>
  <c r="AE18" i="78" s="1"/>
  <c r="B22" i="31"/>
  <c r="S24" i="31"/>
  <c r="C35" i="82"/>
  <c r="F118" i="82" s="1"/>
  <c r="H118" i="82"/>
  <c r="C35" i="81"/>
  <c r="F118" i="81" s="1"/>
  <c r="H118" i="81"/>
  <c r="C35" i="9"/>
  <c r="F118" i="9" s="1"/>
  <c r="H118" i="9"/>
  <c r="AE19" i="78" l="1"/>
  <c r="AF18" i="78"/>
  <c r="R25" i="31"/>
  <c r="R26" i="31"/>
  <c r="C34" i="82"/>
  <c r="D118" i="82" s="1"/>
  <c r="D119" i="82" s="1"/>
  <c r="I118" i="82"/>
  <c r="C104" i="82"/>
  <c r="H119" i="82"/>
  <c r="H101" i="82"/>
  <c r="F119" i="82"/>
  <c r="G118" i="82"/>
  <c r="C34" i="81"/>
  <c r="D118" i="81" s="1"/>
  <c r="D119" i="81" s="1"/>
  <c r="I118" i="81"/>
  <c r="C104" i="81"/>
  <c r="H119" i="81"/>
  <c r="H101" i="81"/>
  <c r="F119" i="81"/>
  <c r="G118" i="81"/>
  <c r="C34" i="9"/>
  <c r="D118" i="9" s="1"/>
  <c r="D4" i="52" s="1"/>
  <c r="B47" i="72" s="1"/>
  <c r="H4" i="52"/>
  <c r="C104" i="9"/>
  <c r="H119" i="9"/>
  <c r="H5" i="52" s="1"/>
  <c r="H101" i="9"/>
  <c r="I118" i="9"/>
  <c r="F4" i="52"/>
  <c r="B51" i="72" s="1"/>
  <c r="G118" i="9"/>
  <c r="G4" i="52" s="1"/>
  <c r="B52" i="72" s="1"/>
  <c r="F119" i="9"/>
  <c r="F5" i="52" s="1"/>
  <c r="B53" i="72" s="1"/>
  <c r="AE20" i="78" l="1"/>
  <c r="AF19" i="78"/>
  <c r="S25" i="31"/>
  <c r="AE14" i="78"/>
  <c r="S26" i="31"/>
  <c r="AE10" i="78"/>
  <c r="AF10" i="78" s="1"/>
  <c r="S22" i="31"/>
  <c r="B20" i="31" s="1"/>
  <c r="E118" i="82"/>
  <c r="C105" i="82"/>
  <c r="H102" i="82"/>
  <c r="H107" i="82"/>
  <c r="D45" i="82"/>
  <c r="M48" i="82"/>
  <c r="E118" i="81"/>
  <c r="C105" i="81"/>
  <c r="H102" i="81"/>
  <c r="H107" i="81"/>
  <c r="D45" i="81"/>
  <c r="M48" i="81"/>
  <c r="D119" i="9"/>
  <c r="D5" i="52" s="1"/>
  <c r="B49" i="72" s="1"/>
  <c r="E118" i="9"/>
  <c r="E4" i="52" s="1"/>
  <c r="B48" i="72" s="1"/>
  <c r="H102" i="9"/>
  <c r="D7" i="53" s="1"/>
  <c r="B21" i="72" s="1"/>
  <c r="I4" i="52"/>
  <c r="C105" i="9"/>
  <c r="M48" i="9"/>
  <c r="H107" i="9"/>
  <c r="D45" i="9"/>
  <c r="D5" i="53"/>
  <c r="AE15" i="78" l="1"/>
  <c r="AF14" i="78"/>
  <c r="AE21" i="78"/>
  <c r="AF21" i="78" s="1"/>
  <c r="AF20" i="78"/>
  <c r="AE11" i="78"/>
  <c r="R22" i="31"/>
  <c r="B21" i="31" s="1"/>
  <c r="D122" i="82"/>
  <c r="D123" i="82" s="1"/>
  <c r="H108" i="82"/>
  <c r="M49" i="82"/>
  <c r="C78" i="82"/>
  <c r="C73" i="82" s="1"/>
  <c r="D52" i="82"/>
  <c r="C93" i="82"/>
  <c r="C86" i="82" s="1"/>
  <c r="C85" i="82"/>
  <c r="C72" i="82"/>
  <c r="C79" i="82" s="1"/>
  <c r="C64" i="82"/>
  <c r="C63" i="82" s="1"/>
  <c r="C67" i="82" s="1"/>
  <c r="C68" i="82" s="1"/>
  <c r="D54" i="82" s="1"/>
  <c r="D55" i="82"/>
  <c r="M53" i="82" s="1"/>
  <c r="D53" i="82"/>
  <c r="D122" i="81"/>
  <c r="D123" i="81" s="1"/>
  <c r="H108" i="81"/>
  <c r="M49" i="81"/>
  <c r="C78" i="81"/>
  <c r="C73" i="81" s="1"/>
  <c r="D52" i="81"/>
  <c r="C93" i="81"/>
  <c r="C86" i="81" s="1"/>
  <c r="C85" i="81"/>
  <c r="C72" i="81"/>
  <c r="C79" i="81" s="1"/>
  <c r="C64" i="81"/>
  <c r="C63" i="81" s="1"/>
  <c r="C67" i="81" s="1"/>
  <c r="C68" i="81" s="1"/>
  <c r="D54" i="81" s="1"/>
  <c r="D55" i="81"/>
  <c r="M53" i="81" s="1"/>
  <c r="D53" i="81"/>
  <c r="D6" i="53"/>
  <c r="B22" i="72" s="1"/>
  <c r="B20" i="72"/>
  <c r="C85" i="9"/>
  <c r="C78" i="9"/>
  <c r="C73" i="9" s="1"/>
  <c r="C64" i="9"/>
  <c r="C63" i="9" s="1"/>
  <c r="C67" i="9" s="1"/>
  <c r="C68" i="9" s="1"/>
  <c r="D54" i="9" s="1"/>
  <c r="D53" i="9"/>
  <c r="C93" i="9"/>
  <c r="C86" i="9" s="1"/>
  <c r="D52" i="9"/>
  <c r="C72" i="9"/>
  <c r="D55" i="9"/>
  <c r="M53" i="9" s="1"/>
  <c r="M49" i="9"/>
  <c r="H108" i="9"/>
  <c r="D15" i="53" s="1"/>
  <c r="B31" i="72" s="1"/>
  <c r="D13" i="53"/>
  <c r="D122" i="9"/>
  <c r="AE12" i="78" l="1"/>
  <c r="AF11" i="78"/>
  <c r="AE16" i="78"/>
  <c r="AF15" i="78"/>
  <c r="C79" i="9"/>
  <c r="C80" i="9" s="1"/>
  <c r="E80" i="9" s="1"/>
  <c r="E81" i="9" s="1"/>
  <c r="C95" i="82"/>
  <c r="C96" i="82" s="1"/>
  <c r="E96" i="82" s="1"/>
  <c r="E97" i="82" s="1"/>
  <c r="C95" i="81"/>
  <c r="C96" i="81" s="1"/>
  <c r="E96" i="81" s="1"/>
  <c r="E97" i="81" s="1"/>
  <c r="C80" i="82"/>
  <c r="E80" i="82" s="1"/>
  <c r="E81" i="82" s="1"/>
  <c r="L66" i="82"/>
  <c r="M66" i="82" s="1"/>
  <c r="L65" i="82"/>
  <c r="M65" i="82" s="1"/>
  <c r="L64" i="82"/>
  <c r="M64" i="82" s="1"/>
  <c r="L68" i="82"/>
  <c r="M68" i="82" s="1"/>
  <c r="L67" i="82"/>
  <c r="M67" i="82" s="1"/>
  <c r="L63" i="82"/>
  <c r="M63" i="82" s="1"/>
  <c r="C80" i="81"/>
  <c r="E80" i="81" s="1"/>
  <c r="E81" i="81" s="1"/>
  <c r="L66" i="81"/>
  <c r="M66" i="81" s="1"/>
  <c r="L65" i="81"/>
  <c r="M65" i="81" s="1"/>
  <c r="L64" i="81"/>
  <c r="M64" i="81" s="1"/>
  <c r="L68" i="81"/>
  <c r="M68" i="81" s="1"/>
  <c r="L67" i="81"/>
  <c r="M67" i="81" s="1"/>
  <c r="L63" i="81"/>
  <c r="M63" i="81" s="1"/>
  <c r="B30" i="72"/>
  <c r="D14" i="53"/>
  <c r="B32" i="72" s="1"/>
  <c r="C95" i="9"/>
  <c r="D8" i="52"/>
  <c r="D123" i="9"/>
  <c r="D9" i="52" s="1"/>
  <c r="L68" i="9"/>
  <c r="M68" i="9" s="1"/>
  <c r="L67" i="9"/>
  <c r="M67" i="9" s="1"/>
  <c r="L64" i="9"/>
  <c r="M64" i="9" s="1"/>
  <c r="L65" i="9"/>
  <c r="M65" i="9" s="1"/>
  <c r="L66" i="9"/>
  <c r="M66" i="9" s="1"/>
  <c r="L63" i="9"/>
  <c r="M63" i="9" s="1"/>
  <c r="AE17" i="78" l="1"/>
  <c r="AF17" i="78" s="1"/>
  <c r="AF16" i="78"/>
  <c r="AE13" i="78"/>
  <c r="AF13" i="78" s="1"/>
  <c r="AF12" i="78"/>
  <c r="AF24" i="78" s="1"/>
  <c r="D14" i="74" s="1"/>
  <c r="G14" i="74" s="1"/>
  <c r="B6" i="74" s="1"/>
  <c r="M69" i="9"/>
  <c r="N69" i="9" s="1"/>
  <c r="M69" i="82"/>
  <c r="N69" i="82" s="1"/>
  <c r="C97" i="82"/>
  <c r="D58" i="82" s="1"/>
  <c r="D56" i="82" s="1"/>
  <c r="M54" i="82" s="1"/>
  <c r="N57" i="82" s="1"/>
  <c r="C81" i="82"/>
  <c r="C81" i="9"/>
  <c r="M69" i="81"/>
  <c r="N69" i="81" s="1"/>
  <c r="C97" i="81"/>
  <c r="D58" i="81" s="1"/>
  <c r="D56" i="81" s="1"/>
  <c r="M54" i="81" s="1"/>
  <c r="N57" i="81" s="1"/>
  <c r="C81" i="81"/>
  <c r="C6" i="74"/>
  <c r="D6" i="74"/>
  <c r="C96" i="9"/>
  <c r="E96" i="9" s="1"/>
  <c r="E97" i="9" s="1"/>
  <c r="B5" i="74" l="1"/>
  <c r="E14" i="74"/>
  <c r="F14" i="74"/>
  <c r="N58" i="82"/>
  <c r="P57" i="82"/>
  <c r="N59" i="82"/>
  <c r="N58" i="81"/>
  <c r="P57" i="81"/>
  <c r="N59" i="81"/>
  <c r="C97" i="9"/>
  <c r="D58" i="9" s="1"/>
  <c r="D56" i="9" s="1"/>
  <c r="M54" i="9" s="1"/>
  <c r="N57" i="9" s="1"/>
  <c r="D5" i="74" l="1"/>
  <c r="C5" i="74"/>
  <c r="N61" i="82"/>
  <c r="N60" i="82"/>
  <c r="N61" i="81"/>
  <c r="N60" i="8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<sst xmlns="http://schemas.openxmlformats.org/spreadsheetml/2006/main" count="9122" uniqueCount="3286">
  <si>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</si>
  <si>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</si>
  <si>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</si>
  <si>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</si>
  <si>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</si>
  <si>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</si>
  <si>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</si>
  <si>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</si>
  <si>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</si>
  <si>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</si>
  <si>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</si>
  <si>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</si>
  <si>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</si>
  <si>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</si>
  <si>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</si>
  <si>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</si>
  <si>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</si>
  <si>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</si>
  <si>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</si>
  <si>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</si>
  <si>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</si>
  <si>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</si>
  <si>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</si>
  <si>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</si>
  <si>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</si>
  <si>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</si>
  <si>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</si>
  <si>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</si>
  <si>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</si>
  <si>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</si>
  <si>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</si>
  <si>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</si>
  <si>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</si>
  <si>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</si>
  <si>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</si>
  <si>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</si>
  <si>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</si>
  <si>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</si>
  <si>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</si>
  <si>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</si>
  <si>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</si>
  <si>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</si>
  <si>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</si>
  <si>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</si>
  <si>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</si>
  <si>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</si>
  <si>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</si>
  <si>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</si>
  <si>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</si>
  <si>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</si>
  <si>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</si>
  <si>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</si>
  <si>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</si>
  <si>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</si>
  <si>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</si>
  <si>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</si>
  <si>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</si>
  <si>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</si>
  <si>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</si>
  <si>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</si>
  <si>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</si>
  <si>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</si>
  <si>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</si>
  <si>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</si>
  <si>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</si>
  <si>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</si>
  <si>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</si>
  <si>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</si>
  <si>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</si>
  <si>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</si>
  <si>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</si>
  <si>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</si>
  <si>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</si>
  <si>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</si>
  <si>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</si>
  <si>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</si>
  <si>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</si>
  <si>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</si>
  <si>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</si>
  <si>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</si>
  <si>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</si>
  <si>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</si>
  <si>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</si>
  <si>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</si>
  <si>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</si>
  <si>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</si>
  <si>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</si>
  <si>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</si>
  <si>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</si>
  <si>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</si>
  <si>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</si>
  <si>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</si>
  <si>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</si>
  <si>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</si>
  <si>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</si>
  <si>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</si>
  <si>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</si>
  <si>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</si>
  <si>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</si>
  <si>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</si>
  <si>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</si>
  <si>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</si>
  <si>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</si>
  <si>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</si>
  <si>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</si>
  <si>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</si>
  <si>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</si>
  <si>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</si>
  <si>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</si>
  <si>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</si>
  <si>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</si>
  <si>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</si>
  <si>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</si>
  <si>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</si>
  <si>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</si>
  <si>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</si>
  <si>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</si>
  <si>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</si>
  <si>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</si>
  <si>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</si>
  <si>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</si>
  <si>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</si>
  <si>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</si>
  <si>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</si>
  <si>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</si>
  <si>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</si>
  <si>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</si>
  <si>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</si>
  <si>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</si>
  <si>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</si>
  <si>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</si>
  <si>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</si>
  <si>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</si>
  <si>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</si>
  <si>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</si>
  <si>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</si>
  <si>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</si>
  <si>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</si>
  <si>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</si>
  <si>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</si>
  <si>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</si>
  <si>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</si>
  <si>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</si>
  <si>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</si>
  <si>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</si>
  <si>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</si>
  <si>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</si>
  <si>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</si>
  <si>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</si>
  <si>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</si>
  <si>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</si>
  <si>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</si>
  <si>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</si>
  <si>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</si>
  <si>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</si>
  <si>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</si>
  <si>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</si>
  <si>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</si>
  <si>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</si>
  <si>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</si>
  <si>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</si>
  <si>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</si>
  <si>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</si>
  <si>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</si>
  <si>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</si>
  <si>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</si>
  <si>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</si>
  <si>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</si>
  <si>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</si>
  <si>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</si>
  <si>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</si>
  <si>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</si>
  <si>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</si>
  <si>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</si>
  <si>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</si>
  <si>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</si>
  <si>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</si>
  <si>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</si>
  <si>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</si>
  <si>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</si>
  <si>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</si>
  <si>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</si>
  <si>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</si>
  <si>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</si>
  <si>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</si>
  <si>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</si>
  <si>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</si>
  <si>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</si>
  <si>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</si>
  <si>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</si>
  <si>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</si>
  <si>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</si>
  <si>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</si>
  <si>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</si>
  <si>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</si>
  <si>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</si>
  <si>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</si>
  <si>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</si>
  <si>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</si>
  <si>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</si>
  <si>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</si>
  <si>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</si>
  <si>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</si>
  <si>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</si>
  <si>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</si>
  <si>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</si>
  <si>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</si>
  <si>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</si>
  <si>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</si>
  <si>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</si>
  <si>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</si>
  <si>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</si>
  <si>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</si>
  <si>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</si>
  <si>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</si>
  <si>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</si>
  <si>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</si>
  <si>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</si>
  <si>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</si>
  <si>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</si>
  <si>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</si>
  <si>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</si>
  <si>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</si>
  <si>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</si>
  <si>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</si>
  <si>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</si>
  <si>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</si>
  <si>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</si>
  <si>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</si>
  <si>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</si>
  <si>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</si>
  <si>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</si>
  <si>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</si>
  <si>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</si>
  <si>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</si>
  <si>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</si>
  <si>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</si>
  <si>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</si>
  <si>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</si>
  <si>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</si>
  <si>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</si>
  <si>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</si>
  <si>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</si>
  <si>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</si>
  <si>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</si>
  <si>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</si>
  <si>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</si>
  <si>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</si>
  <si>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</si>
  <si>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</si>
  <si>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</si>
  <si>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</si>
  <si>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</si>
  <si>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</si>
  <si>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</si>
  <si>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</si>
  <si>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</si>
  <si>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</si>
  <si>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</si>
  <si>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</si>
  <si>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</si>
  <si>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</si>
  <si>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</si>
  <si>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</si>
  <si>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</si>
  <si>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</si>
  <si>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</si>
  <si>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</si>
  <si>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</si>
  <si>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</si>
  <si>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</si>
  <si>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</si>
  <si>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</si>
  <si>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</si>
  <si>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</si>
  <si>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</si>
  <si>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</si>
  <si>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</si>
  <si>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</si>
  <si>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</si>
  <si>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</si>
  <si>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</si>
  <si>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</si>
  <si>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</si>
  <si>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</si>
  <si>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</si>
  <si>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</si>
  <si>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</si>
  <si>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</si>
  <si>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</si>
  <si>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</si>
  <si>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</si>
  <si>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</si>
  <si>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</si>
  <si>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</si>
  <si>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</si>
  <si>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</si>
  <si>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</si>
  <si>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</si>
  <si>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</si>
  <si>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</si>
  <si>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</si>
  <si>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</si>
  <si>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</si>
  <si>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</si>
  <si>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</si>
  <si>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</si>
  <si>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</si>
  <si>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</si>
  <si>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</si>
  <si>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</si>
  <si>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</si>
  <si>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</si>
  <si>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</si>
  <si>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</si>
  <si>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</si>
  <si>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</si>
  <si>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</si>
  <si>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</si>
  <si>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</si>
  <si>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</si>
  <si>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</si>
  <si>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</si>
  <si>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</si>
  <si>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</si>
  <si>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</si>
  <si>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</si>
  <si>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</si>
  <si>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</si>
  <si>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</si>
  <si>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</si>
  <si>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</si>
  <si>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</si>
  <si>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</si>
  <si>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</si>
  <si>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</si>
  <si>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</si>
  <si>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</si>
  <si>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</si>
  <si>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</si>
  <si>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</si>
  <si>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</si>
  <si>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</si>
  <si>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</si>
  <si>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</si>
  <si>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</si>
  <si>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</si>
  <si>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</si>
  <si>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</si>
  <si>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</si>
  <si>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</si>
  <si>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</si>
  <si>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</si>
  <si>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</si>
  <si>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</si>
  <si>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</si>
  <si>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</si>
  <si>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</si>
  <si>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</si>
  <si>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</si>
  <si>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</si>
  <si>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</si>
  <si>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</si>
  <si>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</si>
  <si>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</si>
  <si>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</si>
  <si>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</si>
  <si>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</si>
  <si>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</si>
  <si>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</si>
  <si>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</si>
  <si>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</si>
  <si>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</si>
  <si>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</si>
  <si>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</si>
  <si>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</si>
  <si>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</si>
  <si>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</si>
  <si>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</si>
  <si>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</si>
  <si>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</si>
  <si>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</si>
  <si>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</si>
  <si>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</si>
  <si>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</si>
  <si>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</si>
  <si>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</si>
  <si>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</si>
  <si>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</si>
  <si>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</si>
  <si>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</si>
  <si>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</si>
  <si>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</si>
  <si>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</si>
  <si>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</si>
  <si>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</si>
  <si>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</si>
  <si>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</si>
  <si>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</si>
  <si>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</si>
  <si>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</si>
  <si>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</si>
  <si>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</si>
  <si>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</si>
  <si>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</si>
  <si>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</si>
  <si>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</si>
  <si>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</si>
  <si>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</si>
  <si>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</si>
  <si>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</si>
  <si>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</si>
  <si>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</si>
  <si>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</si>
  <si>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</si>
  <si>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</si>
  <si>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</si>
  <si>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</si>
  <si>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</si>
  <si>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</si>
  <si>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</si>
  <si>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</si>
  <si>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</si>
  <si>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</si>
  <si>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</si>
  <si>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</si>
  <si>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</si>
  <si>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</si>
  <si>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</si>
  <si>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</si>
  <si>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</si>
  <si>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</si>
  <si>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</si>
  <si>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</si>
  <si>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</si>
  <si>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</si>
  <si>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</si>
  <si>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</si>
  <si>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</si>
  <si>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</si>
  <si>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</si>
  <si>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</si>
  <si>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</si>
  <si>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</si>
  <si>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</si>
  <si>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</si>
  <si>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</si>
  <si>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</si>
  <si>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</si>
  <si>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</si>
  <si>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</si>
  <si>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</si>
  <si>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</si>
  <si>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</si>
  <si>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</si>
  <si>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</si>
  <si>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</si>
  <si>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</si>
  <si>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</si>
  <si>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</si>
  <si>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</si>
  <si>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</si>
  <si>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</si>
  <si>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</si>
  <si>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</si>
  <si>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</si>
  <si>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</si>
  <si>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</si>
  <si>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</si>
  <si>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</si>
  <si>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</si>
  <si>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</si>
  <si>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</si>
  <si>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</si>
  <si>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</si>
  <si>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</si>
  <si>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</si>
  <si>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</si>
  <si>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</si>
  <si>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</si>
  <si>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</si>
  <si>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</si>
  <si>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</si>
  <si>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</si>
  <si>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</si>
  <si>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</si>
  <si>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</si>
  <si>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</si>
  <si>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</si>
  <si>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</si>
  <si>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</si>
  <si>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</si>
  <si>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</si>
  <si>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</si>
  <si>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</si>
  <si>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</si>
  <si>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</si>
  <si>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</si>
  <si>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</si>
  <si>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</si>
  <si>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</si>
  <si>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</si>
  <si>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</si>
  <si>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</si>
  <si>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</si>
  <si>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</si>
  <si>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</si>
  <si>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</si>
  <si>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</si>
  <si>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</si>
  <si>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</si>
  <si>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</si>
  <si>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</si>
  <si>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</si>
  <si>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</si>
  <si>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</si>
  <si>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</si>
  <si>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</si>
  <si>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</si>
  <si>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</si>
  <si>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</si>
  <si>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</si>
  <si>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</si>
  <si>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</si>
  <si>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</si>
  <si>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</si>
  <si>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</si>
  <si>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</si>
  <si>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</si>
  <si>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</si>
  <si>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</si>
  <si>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</si>
  <si>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</si>
  <si>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</si>
  <si>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</si>
  <si>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</si>
  <si>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</si>
  <si>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</si>
  <si>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</si>
  <si>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</si>
  <si>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</si>
  <si>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</si>
  <si>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</si>
  <si>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</si>
  <si>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</si>
  <si>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</si>
  <si>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</si>
  <si>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</si>
  <si>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</si>
  <si>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</si>
  <si>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</si>
  <si>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</si>
  <si>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</si>
  <si>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</si>
  <si>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</si>
  <si>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</si>
  <si>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</si>
  <si>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</si>
  <si>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</si>
  <si>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</si>
  <si>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</si>
  <si>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</si>
  <si>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</si>
  <si>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</si>
  <si>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</si>
  <si>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</si>
  <si>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</si>
  <si>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</si>
  <si>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</si>
  <si>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</si>
  <si>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</si>
  <si>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</si>
  <si>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</si>
  <si>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</si>
  <si>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</si>
  <si>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</si>
  <si>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</si>
  <si>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</si>
  <si>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</si>
  <si>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</si>
  <si>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</si>
  <si>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</si>
  <si>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</si>
  <si>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</si>
  <si>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</si>
  <si>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</si>
  <si>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</si>
  <si>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</si>
  <si>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</si>
  <si>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</si>
  <si>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</si>
  <si>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</si>
  <si>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</si>
  <si>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</si>
  <si>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</si>
  <si>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</si>
  <si>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</si>
  <si>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</si>
  <si>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</si>
  <si>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</si>
  <si>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</si>
  <si>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</si>
  <si>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</si>
  <si>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</si>
  <si>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</si>
  <si>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</si>
  <si>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</si>
  <si>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</si>
  <si>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</si>
  <si>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</si>
  <si>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</si>
  <si>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</si>
  <si>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</si>
  <si>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</si>
  <si>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</si>
  <si>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</si>
  <si>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</si>
  <si>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</si>
  <si>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</si>
  <si>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</si>
  <si>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</si>
  <si>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</si>
  <si>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</si>
  <si>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</si>
  <si>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</si>
  <si>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</si>
  <si>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</si>
  <si>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</si>
  <si>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</si>
  <si>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</si>
  <si>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</si>
  <si>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</si>
  <si>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</si>
  <si>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</si>
  <si>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</si>
  <si>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</si>
  <si>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</si>
  <si>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</si>
  <si>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</si>
  <si>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</si>
  <si>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</si>
  <si>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</si>
  <si>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</si>
  <si>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</si>
  <si>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</si>
  <si>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</si>
  <si>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</si>
  <si>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</si>
  <si>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</si>
  <si>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</si>
  <si>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</si>
  <si>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</si>
  <si>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</si>
  <si>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</si>
  <si>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</si>
  <si>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</si>
  <si>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</si>
  <si>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</si>
  <si>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</si>
  <si>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</si>
  <si>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</si>
  <si>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</si>
  <si>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</si>
  <si>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</si>
  <si>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</si>
  <si>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</si>
  <si>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</si>
  <si>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</si>
  <si>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</si>
  <si>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</si>
  <si>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</si>
  <si>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</si>
  <si>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</si>
  <si>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</si>
  <si>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</si>
  <si>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</si>
  <si>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</si>
  <si>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</si>
  <si>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</si>
  <si>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</si>
  <si>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</si>
  <si>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</si>
  <si>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</si>
  <si>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</si>
  <si>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</si>
  <si>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</si>
  <si>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</si>
  <si>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</si>
  <si>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</si>
  <si>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</si>
  <si>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</si>
  <si>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</si>
  <si>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</si>
  <si>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</si>
  <si>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</si>
  <si>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</si>
  <si>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</si>
  <si>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</si>
  <si>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</si>
  <si>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</si>
  <si>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</si>
  <si>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</si>
  <si>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</si>
  <si>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</si>
  <si>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</si>
  <si>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</si>
  <si>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</si>
  <si>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</si>
  <si>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</si>
  <si>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</si>
  <si>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</si>
  <si>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</si>
  <si>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</si>
  <si>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</si>
  <si>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</si>
  <si>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</si>
  <si>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</si>
  <si>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</si>
  <si>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</si>
  <si>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</si>
  <si>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</si>
  <si>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</si>
  <si>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</si>
  <si>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</si>
  <si>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</si>
  <si>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</si>
  <si>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</si>
  <si>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</si>
  <si>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</si>
  <si>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</si>
  <si>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</si>
  <si>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</si>
  <si>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</si>
  <si>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</si>
  <si>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</si>
  <si>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</si>
  <si>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</si>
  <si>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</si>
  <si>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</si>
  <si>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</si>
  <si>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</si>
  <si>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</si>
  <si>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</si>
  <si>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</si>
  <si>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</si>
  <si>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</si>
  <si>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</si>
  <si>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</si>
  <si>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</si>
  <si>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</si>
  <si>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</si>
  <si>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</si>
  <si>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</si>
  <si>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</si>
  <si>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</si>
  <si>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</si>
  <si>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</si>
  <si>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</si>
  <si>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</si>
  <si>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</si>
  <si>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</si>
  <si>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</si>
  <si>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</si>
  <si>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</si>
  <si>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</si>
  <si>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</si>
  <si>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</si>
  <si>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</si>
  <si>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</si>
  <si>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</si>
  <si>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</si>
  <si>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</si>
  <si>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</si>
  <si>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</si>
  <si>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</si>
  <si>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</si>
  <si>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</si>
  <si>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</si>
  <si>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</si>
  <si>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</si>
  <si>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</si>
  <si>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</si>
  <si>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</si>
  <si>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</si>
  <si>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</si>
  <si>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</si>
  <si>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</si>
  <si>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</si>
  <si>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</si>
  <si>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</si>
  <si>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</si>
  <si>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</si>
  <si>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</si>
  <si>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</si>
  <si>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</si>
  <si>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</si>
  <si>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</si>
  <si>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</si>
  <si>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</si>
  <si>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</si>
  <si>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</si>
  <si>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</si>
  <si>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</si>
  <si>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</si>
  <si>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</si>
  <si>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</si>
  <si>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</si>
  <si>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</si>
  <si>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</si>
  <si>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</si>
  <si>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</si>
  <si>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</si>
  <si>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</si>
  <si>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</si>
  <si>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</si>
  <si>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</si>
  <si>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</si>
  <si>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</si>
  <si>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</si>
  <si>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</si>
  <si>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</si>
  <si>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</si>
  <si>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</si>
  <si>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</si>
  <si>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</si>
  <si>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</si>
  <si>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</si>
  <si>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</si>
  <si>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</si>
  <si>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</si>
  <si>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</si>
  <si>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</si>
  <si>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</si>
  <si>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</si>
  <si>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</si>
  <si>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</si>
  <si>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</si>
  <si>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</si>
  <si>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</si>
  <si>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</si>
  <si>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</si>
  <si>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</si>
  <si>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</si>
  <si>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</si>
  <si>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</si>
  <si>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</si>
  <si>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</si>
  <si>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</si>
  <si>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</si>
  <si>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</si>
  <si>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</si>
  <si>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</si>
  <si>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</si>
  <si>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</si>
  <si>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</si>
  <si>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</si>
  <si>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</si>
  <si>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</si>
  <si>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</si>
  <si>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</si>
  <si>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</si>
  <si>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</si>
  <si>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</si>
  <si>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</si>
  <si>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</si>
  <si>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</si>
  <si>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</si>
  <si>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</si>
  <si>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</si>
  <si>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</si>
  <si>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</si>
  <si>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</si>
  <si>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</si>
  <si>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</si>
  <si>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</si>
  <si>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</si>
  <si>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</si>
  <si>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</si>
  <si>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</si>
  <si>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</si>
  <si>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</si>
  <si>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</si>
  <si>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</si>
  <si>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</si>
  <si>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</si>
  <si>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</si>
  <si>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</si>
  <si>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</si>
  <si>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</si>
  <si>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</si>
  <si>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</si>
  <si>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</si>
  <si>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</si>
  <si>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</si>
  <si>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</si>
  <si>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</si>
  <si>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</si>
  <si>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</si>
  <si>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</si>
  <si>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</si>
  <si>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</si>
  <si>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</si>
  <si>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</si>
  <si>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</si>
  <si>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</si>
  <si>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</si>
  <si>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</si>
  <si>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</si>
  <si>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</si>
  <si>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</si>
  <si>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</si>
  <si>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</si>
  <si>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</si>
  <si>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</si>
  <si>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</si>
  <si>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</si>
  <si>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</si>
  <si>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</si>
  <si>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</si>
  <si>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</si>
  <si>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</si>
  <si>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</si>
  <si>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</si>
  <si>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</si>
  <si>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</si>
  <si>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</si>
  <si>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</si>
  <si>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</si>
  <si>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</si>
  <si>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</si>
  <si>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</si>
  <si>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</si>
  <si>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</si>
  <si>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</si>
  <si>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</si>
  <si>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</si>
  <si>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</si>
  <si>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</si>
  <si>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</si>
  <si>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</si>
  <si>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</si>
  <si>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</si>
  <si>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</si>
  <si>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</si>
  <si>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</si>
  <si>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</si>
  <si>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</si>
  <si>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</si>
  <si>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</si>
  <si>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</si>
  <si>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</si>
  <si>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</si>
  <si>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</si>
  <si>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</si>
  <si>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</si>
  <si>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</si>
  <si>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</si>
  <si>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</si>
  <si>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</si>
  <si>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</si>
  <si>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</si>
  <si>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</si>
  <si>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</si>
  <si>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</si>
  <si>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</si>
  <si>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</si>
  <si>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</si>
  <si>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</si>
  <si>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</si>
  <si>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</si>
  <si>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</si>
  <si>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</si>
  <si>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</si>
  <si>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</si>
  <si>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</si>
  <si>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</si>
  <si>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</si>
  <si>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</si>
  <si>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</si>
  <si>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</si>
  <si>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</si>
  <si>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</si>
  <si>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</si>
  <si>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</si>
  <si>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</si>
  <si>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</si>
  <si>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</si>
  <si>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</si>
  <si>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</si>
  <si>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</si>
  <si>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</si>
  <si>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</si>
  <si>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</si>
  <si>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</si>
  <si>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</si>
  <si>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</si>
  <si>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</si>
  <si>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</si>
  <si>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</si>
  <si>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</si>
  <si>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</si>
  <si>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</si>
  <si>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</si>
  <si>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</si>
  <si>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</si>
  <si>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</si>
  <si>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</si>
  <si>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</si>
  <si>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</si>
  <si>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</si>
  <si>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</si>
  <si>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</si>
  <si>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</si>
  <si>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</si>
  <si>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</si>
  <si>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</si>
  <si>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</si>
  <si>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</si>
  <si>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</si>
  <si>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</si>
  <si>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</si>
  <si>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</si>
  <si>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</si>
  <si>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</si>
  <si>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</si>
  <si>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</si>
  <si>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</si>
  <si>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</si>
  <si>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</si>
  <si>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</si>
  <si>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</si>
  <si>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</si>
  <si>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</si>
  <si>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</si>
  <si>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</si>
  <si>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</si>
  <si>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</si>
  <si>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</si>
  <si>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</si>
  <si>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</si>
  <si>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</si>
  <si>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</si>
  <si>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</si>
  <si>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</si>
  <si>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</si>
  <si>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</si>
  <si>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</si>
  <si>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</si>
  <si>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</si>
  <si>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</si>
  <si>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</si>
  <si>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</si>
  <si>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</si>
  <si>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</si>
  <si>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</si>
  <si>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</si>
  <si>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</si>
  <si>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</si>
  <si>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</si>
  <si>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</si>
  <si>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</si>
  <si>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</si>
  <si>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</si>
  <si>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</si>
  <si>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</si>
  <si>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</si>
  <si>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</si>
  <si>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</si>
  <si>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</si>
  <si>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</si>
  <si>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</si>
  <si>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</si>
  <si>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</si>
  <si>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</si>
  <si>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</si>
  <si>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</si>
  <si>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</si>
  <si>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</si>
  <si>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</si>
  <si>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</si>
  <si>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</si>
  <si>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</si>
  <si>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</si>
  <si>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</si>
  <si>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</si>
  <si>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</si>
  <si>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</si>
  <si>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</si>
  <si>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</si>
  <si>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</si>
  <si>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</si>
  <si>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</si>
  <si>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</si>
  <si>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</si>
  <si>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</si>
  <si>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</si>
  <si>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</si>
  <si>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</si>
  <si>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</si>
  <si>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</si>
  <si>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</si>
  <si>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</si>
  <si>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</si>
  <si>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</si>
  <si>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</si>
  <si>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</si>
  <si>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</si>
  <si>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</si>
  <si>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</si>
  <si>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</si>
  <si>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</si>
  <si>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</si>
  <si>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</si>
  <si>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</si>
  <si>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</si>
  <si>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</si>
  <si>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</si>
  <si>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</si>
  <si>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</si>
  <si>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</si>
  <si>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</si>
  <si>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</si>
  <si>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</si>
  <si>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</si>
  <si>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</si>
  <si>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</si>
  <si>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</si>
  <si>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</si>
  <si>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</si>
  <si>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</si>
  <si>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</si>
  <si>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</si>
  <si>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</si>
  <si>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</si>
  <si>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</si>
  <si>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</si>
  <si>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</si>
  <si>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</si>
  <si>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</si>
  <si>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</si>
  <si>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</si>
  <si>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</si>
  <si>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</si>
  <si>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</si>
  <si>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</si>
  <si>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</si>
  <si>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</si>
  <si>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</si>
  <si>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</si>
  <si>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</si>
  <si>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</si>
  <si>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</si>
  <si>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</si>
  <si>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</si>
  <si>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</si>
  <si>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</si>
  <si>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</si>
  <si>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</si>
  <si>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</si>
  <si>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</si>
  <si>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</si>
  <si>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</si>
  <si>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</si>
  <si>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</si>
  <si>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</si>
  <si>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</si>
  <si>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</si>
  <si>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</si>
  <si>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</si>
  <si>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</si>
  <si>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</si>
  <si>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</si>
  <si>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</si>
  <si>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</si>
  <si>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</si>
  <si>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</si>
  <si>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</si>
  <si>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</si>
  <si>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</si>
  <si>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</si>
  <si>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</si>
  <si>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</si>
  <si>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</si>
  <si>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</si>
  <si>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</si>
  <si>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</si>
  <si>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</si>
  <si>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</si>
  <si>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</si>
  <si>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</si>
  <si>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</si>
  <si>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</si>
  <si>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</si>
  <si>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</si>
  <si>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</si>
  <si>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</si>
  <si>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</si>
  <si>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</si>
  <si>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</si>
  <si>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</si>
  <si>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</si>
  <si>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</si>
  <si>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</si>
  <si>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</si>
  <si>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</si>
  <si>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</si>
  <si>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</si>
  <si>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</si>
  <si>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</si>
  <si>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</si>
  <si>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</si>
  <si>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</si>
  <si>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</si>
  <si>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</si>
  <si>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</si>
  <si>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</si>
  <si>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</si>
  <si>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</si>
  <si>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</si>
  <si>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</si>
  <si>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</si>
  <si>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</si>
  <si>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</si>
  <si>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</si>
  <si>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</si>
  <si>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</si>
  <si>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</si>
  <si>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</si>
  <si>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</si>
  <si>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</si>
  <si>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</si>
  <si>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</si>
  <si>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</si>
  <si>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</si>
  <si>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</si>
  <si>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</si>
  <si>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</si>
  <si>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</si>
  <si>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</si>
  <si>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</si>
  <si>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</si>
  <si>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</si>
  <si>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</si>
  <si>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</si>
  <si>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</si>
  <si>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</si>
  <si>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</si>
  <si>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</si>
  <si>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</si>
  <si>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</si>
  <si>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</si>
  <si>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</si>
  <si>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</si>
  <si>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</si>
  <si>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</si>
  <si>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</si>
  <si>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</si>
  <si>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</si>
  <si>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</si>
  <si>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</si>
  <si>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</si>
  <si>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</si>
  <si>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</si>
  <si>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</si>
  <si>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</si>
  <si>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</si>
  <si>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</si>
  <si>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</si>
  <si>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</si>
  <si>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</si>
  <si>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</si>
  <si>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</si>
  <si>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</si>
  <si>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</si>
  <si>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</si>
  <si>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</si>
  <si>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</si>
  <si>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</si>
  <si>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</si>
  <si>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</si>
  <si>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</si>
  <si>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</si>
  <si>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</si>
  <si>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</si>
  <si>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</si>
  <si>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</si>
  <si>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</si>
  <si>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</si>
  <si>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</si>
  <si>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</si>
  <si>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</si>
  <si>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</si>
  <si>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</si>
  <si>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</si>
  <si>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</si>
  <si>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</si>
  <si>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</si>
  <si>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</si>
  <si>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</si>
  <si>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</si>
  <si>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</si>
  <si>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</si>
  <si>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</si>
  <si>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</si>
  <si>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</si>
  <si>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</si>
  <si>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</si>
  <si>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</si>
  <si>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</si>
  <si>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</si>
  <si>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</si>
  <si>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</si>
  <si>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</si>
  <si>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</si>
  <si>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</si>
  <si>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</si>
  <si>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</si>
  <si>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</si>
  <si>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</si>
  <si>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</si>
  <si>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</si>
  <si>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</si>
  <si>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</si>
  <si>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</si>
  <si>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</si>
  <si>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</si>
  <si>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</si>
  <si>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</si>
  <si>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</si>
  <si>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</si>
  <si>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</si>
  <si>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</si>
  <si>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</si>
  <si>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</si>
  <si>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</si>
  <si>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</si>
  <si>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</si>
  <si>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</si>
  <si>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</si>
  <si>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</si>
  <si>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</si>
  <si>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</si>
  <si>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</si>
  <si>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</si>
  <si>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</si>
  <si>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</si>
  <si>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</si>
  <si>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</si>
  <si>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</si>
  <si>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</si>
  <si>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</si>
  <si>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</si>
  <si>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</si>
  <si>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</si>
  <si>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</si>
  <si>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</si>
  <si>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</si>
  <si>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</si>
  <si>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</si>
  <si>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</si>
  <si>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</si>
  <si>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</si>
  <si>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</si>
  <si>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</si>
  <si>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</si>
  <si>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</si>
  <si>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</si>
  <si>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</si>
  <si>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</si>
  <si>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</si>
  <si>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</si>
  <si>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</si>
  <si>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</si>
  <si>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</si>
  <si>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</si>
  <si>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</si>
  <si>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</si>
  <si>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</si>
  <si>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</si>
  <si>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</si>
  <si>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</si>
  <si>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</si>
  <si>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</si>
  <si>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</si>
  <si>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</si>
  <si>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</si>
  <si>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</si>
  <si>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</si>
  <si>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</si>
  <si>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</si>
  <si>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</si>
  <si>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</si>
  <si>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</si>
  <si>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</si>
  <si>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</si>
  <si>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</si>
  <si>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</si>
  <si>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</si>
  <si>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</si>
  <si>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</si>
  <si>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</si>
  <si>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</si>
  <si>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</si>
  <si>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</si>
  <si>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</si>
  <si>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</si>
  <si>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</si>
  <si>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</si>
  <si>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</si>
  <si>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</si>
  <si>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</si>
  <si>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</si>
  <si>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</si>
  <si>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</si>
  <si>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</si>
  <si>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</si>
  <si>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</si>
  <si>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</si>
  <si>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</si>
  <si>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</si>
  <si>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</si>
  <si>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</si>
  <si>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</si>
  <si>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</si>
  <si>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</si>
  <si>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</si>
  <si>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</si>
  <si>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</si>
  <si>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</si>
  <si>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</si>
  <si>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</si>
  <si>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</si>
  <si>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</si>
  <si>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</si>
  <si>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</si>
  <si>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</si>
  <si>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</si>
  <si>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</si>
  <si>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</si>
  <si>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</si>
  <si>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</si>
  <si>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</si>
  <si>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</si>
  <si>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</si>
  <si>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</si>
  <si>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</si>
  <si>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</si>
  <si>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</si>
  <si>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</si>
  <si>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</si>
  <si>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</si>
  <si>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</si>
  <si>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</si>
  <si>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</si>
  <si>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</si>
  <si>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</si>
  <si>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</si>
  <si>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</si>
  <si>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</si>
  <si>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</si>
  <si>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</si>
  <si>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</si>
  <si>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</si>
  <si>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</si>
  <si>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</si>
  <si>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</si>
  <si>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</si>
  <si>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</si>
  <si>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</si>
  <si>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</si>
  <si>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</si>
  <si>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</si>
  <si>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</si>
  <si>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</si>
  <si>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</si>
  <si>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</si>
  <si>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</si>
  <si>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</si>
  <si>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</si>
  <si>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</si>
  <si>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</si>
  <si>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</si>
  <si>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</si>
  <si>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</si>
  <si>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</si>
  <si>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</si>
  <si>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</si>
  <si>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</si>
  <si>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</si>
  <si>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</si>
  <si>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</si>
  <si>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</si>
  <si>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</si>
  <si>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</si>
  <si>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</si>
  <si>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</si>
  <si>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</si>
  <si>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</si>
  <si>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</si>
  <si>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</si>
  <si>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</si>
  <si>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</si>
  <si>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</si>
  <si>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</si>
  <si>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</si>
  <si>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</si>
  <si>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</si>
  <si>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</si>
  <si>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</si>
  <si>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</si>
  <si>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</si>
  <si>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</si>
  <si>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</si>
  <si>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</si>
  <si>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</si>
  <si>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</si>
  <si>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</si>
  <si>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</si>
  <si>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</si>
  <si>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</si>
  <si>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</si>
  <si>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</si>
  <si>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</si>
  <si>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</si>
  <si>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</si>
  <si>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</si>
  <si>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</si>
  <si>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</si>
  <si>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</si>
  <si>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</si>
  <si>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</si>
  <si>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</si>
  <si>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</si>
  <si>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</si>
  <si>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</si>
  <si>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</si>
  <si>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</si>
  <si>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</si>
  <si>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</si>
  <si>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</si>
  <si>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</si>
  <si>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</si>
  <si>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</si>
  <si>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</si>
  <si>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</si>
  <si>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</si>
  <si>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</si>
  <si>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</si>
  <si>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</si>
  <si>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</si>
  <si>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</si>
  <si>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</si>
  <si>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</si>
  <si>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</si>
  <si>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</si>
  <si>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</si>
  <si>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</si>
  <si>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</si>
  <si>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</si>
  <si>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</si>
  <si>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</si>
  <si>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</si>
  <si>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</si>
  <si>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</si>
  <si>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</si>
  <si>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</si>
  <si>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</si>
  <si>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</si>
  <si>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</si>
  <si>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</si>
  <si>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</si>
  <si>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</si>
  <si>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</si>
  <si>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</si>
  <si>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</si>
  <si>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</si>
  <si>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</si>
  <si>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</si>
  <si>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</si>
  <si>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</si>
  <si>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</si>
  <si>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</si>
  <si>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</si>
  <si>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</si>
  <si>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</si>
  <si>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</si>
  <si>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</si>
  <si>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</si>
  <si>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</si>
  <si>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</si>
  <si>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</si>
  <si>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</si>
  <si>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</si>
  <si>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</si>
  <si>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</si>
  <si>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</si>
  <si>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</si>
  <si>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</si>
  <si>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</si>
  <si>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</si>
  <si>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</si>
  <si>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</si>
  <si>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</si>
  <si>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</si>
  <si>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</si>
  <si>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</si>
  <si>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</si>
  <si>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</si>
  <si>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</si>
  <si>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</si>
  <si>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</si>
  <si>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</si>
  <si>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</si>
  <si>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</si>
  <si>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</si>
  <si>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</si>
  <si>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</si>
  <si>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</si>
  <si>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</si>
  <si>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</si>
  <si>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</si>
  <si>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</si>
  <si>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</si>
  <si>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</si>
  <si>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</si>
  <si>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</si>
  <si>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</si>
  <si>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</si>
  <si>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</si>
  <si>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</si>
  <si>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</si>
  <si>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</si>
  <si>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</si>
  <si>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</si>
  <si>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</si>
  <si>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</si>
  <si>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</si>
  <si>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</si>
  <si>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</si>
  <si>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</si>
  <si>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</si>
  <si>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</si>
  <si>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</si>
  <si>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</si>
  <si>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</si>
  <si>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</si>
  <si>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</si>
  <si>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</si>
  <si>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</si>
  <si>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</si>
  <si>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</si>
  <si>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</si>
  <si>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</si>
  <si>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</si>
  <si>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</si>
  <si>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</si>
  <si>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</si>
  <si>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</si>
  <si>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</si>
  <si>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</si>
  <si>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</si>
  <si>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</si>
  <si>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</si>
  <si>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</si>
  <si>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</si>
  <si>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</si>
  <si>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</si>
  <si>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</si>
  <si>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</si>
  <si>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</si>
  <si>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</si>
  <si>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</si>
  <si>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</si>
  <si>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</si>
  <si>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</si>
  <si>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</si>
  <si>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</si>
  <si>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</si>
  <si>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</si>
  <si>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</si>
  <si>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</si>
  <si>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</si>
  <si>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</si>
  <si>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</si>
  <si>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</si>
  <si>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</si>
  <si>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</si>
  <si>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</si>
  <si>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</si>
  <si>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</si>
  <si>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</si>
  <si>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</si>
  <si>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</si>
  <si>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</si>
  <si>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</si>
  <si>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</si>
  <si>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</si>
  <si>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</si>
  <si>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</si>
  <si>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</si>
  <si>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</si>
  <si>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</si>
  <si>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</si>
  <si>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</si>
  <si>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</si>
  <si>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</si>
  <si>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</si>
  <si>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</si>
  <si>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</si>
  <si>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</si>
  <si>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</si>
  <si>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</si>
  <si>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</si>
  <si>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</si>
  <si>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</si>
  <si>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</si>
  <si>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</si>
  <si>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</si>
  <si>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</si>
  <si>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</si>
  <si>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</si>
  <si>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</si>
  <si>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</si>
  <si>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</si>
  <si>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</si>
  <si>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</si>
  <si>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</si>
  <si>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</si>
  <si>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</si>
  <si>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</si>
  <si>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</si>
  <si>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</si>
  <si>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</si>
  <si>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</si>
  <si>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</si>
  <si>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</si>
  <si>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</si>
  <si>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</si>
  <si>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</si>
  <si>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</si>
  <si>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</si>
  <si>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</si>
  <si>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</si>
  <si>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</si>
  <si>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</si>
  <si>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</si>
  <si>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</si>
  <si>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</si>
  <si>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</si>
  <si>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</si>
  <si>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</si>
  <si>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</si>
  <si>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</si>
  <si>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</si>
  <si>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</si>
  <si>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</si>
  <si>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</si>
  <si>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</si>
  <si>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</si>
  <si>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</si>
  <si>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</si>
  <si>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</si>
  <si>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</si>
  <si>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</si>
  <si>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</si>
  <si>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</si>
  <si>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</si>
  <si>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</si>
  <si>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</si>
  <si>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</si>
  <si>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</si>
  <si>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</si>
  <si>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</si>
  <si>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</si>
  <si>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</si>
  <si>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</si>
  <si>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</si>
  <si>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</si>
  <si>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</si>
  <si>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</si>
  <si>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</si>
  <si>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</si>
  <si>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</si>
  <si>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</si>
  <si>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</si>
  <si>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</si>
  <si>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</si>
  <si>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</si>
  <si>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</si>
  <si>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</si>
  <si>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</si>
  <si>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</si>
  <si>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</si>
  <si>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</si>
  <si>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</si>
  <si>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</si>
  <si>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</si>
  <si>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</si>
  <si>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</si>
  <si>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</si>
  <si>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</si>
  <si>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</si>
  <si>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</si>
  <si>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</si>
  <si>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</si>
  <si>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</si>
  <si>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</si>
  <si>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</si>
  <si>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</si>
  <si>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</si>
  <si>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</si>
  <si>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</si>
  <si>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</si>
  <si>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</si>
  <si>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</si>
  <si>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</si>
  <si>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</si>
  <si>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</si>
  <si>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</si>
  <si>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</si>
  <si>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</si>
  <si>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</si>
  <si>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</si>
  <si>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</si>
  <si>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</si>
  <si>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</si>
  <si>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</si>
  <si>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</si>
  <si>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</si>
  <si>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</si>
  <si>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</si>
  <si>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</si>
  <si>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</si>
  <si>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</si>
  <si>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</si>
  <si>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</si>
  <si>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</si>
  <si>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</si>
  <si>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</si>
  <si>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</si>
  <si>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</si>
  <si>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</si>
  <si>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</si>
  <si>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</si>
  <si>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</si>
  <si>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</si>
  <si>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</si>
  <si>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</si>
  <si>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</si>
  <si>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</si>
  <si>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</si>
  <si>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</si>
  <si>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</si>
  <si>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</si>
  <si>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</si>
  <si>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</si>
  <si>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</si>
  <si>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</si>
  <si>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</si>
  <si>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</si>
  <si>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</si>
  <si>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</si>
  <si>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</si>
  <si>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</si>
  <si>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</si>
  <si>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</si>
  <si>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</si>
  <si>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</si>
  <si>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</si>
  <si>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</si>
  <si>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</si>
  <si>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</si>
  <si>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</si>
  <si>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</si>
  <si>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</si>
  <si>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</si>
  <si>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</si>
  <si>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</si>
  <si>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</si>
  <si>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</si>
  <si>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</si>
  <si>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</si>
  <si>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</si>
  <si>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</si>
  <si>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</si>
  <si>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</si>
  <si>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</si>
  <si>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</si>
  <si>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</si>
  <si>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</si>
  <si>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</si>
  <si>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</si>
  <si>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</si>
  <si>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</si>
  <si>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</si>
  <si>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</si>
  <si>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</si>
  <si>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</si>
  <si>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</si>
  <si>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</si>
  <si>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</si>
  <si>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</si>
  <si>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</si>
  <si>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</si>
  <si>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</si>
  <si>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</si>
  <si>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</si>
  <si>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</si>
  <si>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</si>
  <si>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</si>
  <si>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</si>
  <si>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</si>
  <si>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</si>
  <si>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</si>
  <si>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</si>
  <si>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</si>
  <si>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</si>
  <si>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</si>
  <si>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</si>
  <si>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</si>
  <si>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</si>
  <si>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</si>
  <si>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</si>
  <si>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</si>
  <si>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</si>
  <si>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</si>
  <si>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</si>
  <si>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</si>
  <si>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</si>
  <si>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</si>
  <si>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</si>
  <si>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</si>
  <si>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</si>
  <si>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</si>
  <si>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</si>
  <si>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</si>
  <si>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</si>
  <si>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</si>
  <si>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</si>
  <si>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</si>
  <si>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</si>
  <si>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</si>
  <si>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</si>
  <si>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</si>
  <si>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</si>
  <si>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</si>
  <si>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</si>
  <si>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</si>
  <si>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</si>
  <si>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</si>
  <si>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</si>
  <si>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</si>
  <si>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</si>
  <si>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</si>
  <si>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</si>
  <si>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</si>
  <si>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</si>
  <si>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</si>
  <si>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</si>
  <si>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</si>
  <si>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</si>
  <si>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</si>
  <si>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</si>
  <si>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</si>
  <si>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</si>
  <si>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</si>
  <si>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</si>
  <si>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</si>
  <si>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</si>
  <si>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</si>
  <si>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</si>
  <si>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</si>
  <si>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</si>
  <si>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</si>
  <si>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</si>
  <si>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</si>
  <si>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</si>
  <si>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</si>
  <si>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</si>
  <si>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</si>
  <si>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</si>
  <si>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</si>
  <si>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</si>
  <si>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</si>
  <si>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</si>
  <si>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</si>
  <si>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</si>
  <si>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</si>
  <si>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</si>
  <si>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</si>
  <si>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</si>
  <si>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</si>
  <si>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</si>
  <si>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</si>
  <si>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</si>
  <si>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</si>
  <si>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</si>
  <si>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</si>
  <si>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</si>
  <si>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</si>
  <si>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</si>
  <si>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</si>
  <si>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</si>
  <si>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</si>
  <si>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</si>
  <si>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</si>
  <si>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</si>
  <si>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</si>
  <si>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</si>
  <si>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</si>
  <si>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</si>
  <si>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</si>
  <si>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</si>
  <si>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</si>
  <si>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</si>
  <si>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</si>
  <si>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</si>
  <si>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</si>
  <si>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</si>
  <si>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</si>
  <si>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</si>
  <si>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</si>
  <si>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</si>
  <si>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</si>
  <si>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</si>
  <si>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</si>
  <si>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</si>
  <si>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</si>
  <si>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</si>
  <si>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</si>
  <si>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</si>
  <si>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</si>
  <si>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</si>
  <si>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</si>
  <si>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</si>
  <si>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</si>
  <si>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</si>
  <si>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</si>
  <si>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</si>
  <si>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</si>
  <si>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</si>
  <si>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</si>
  <si>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</si>
  <si>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</si>
  <si>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</si>
  <si>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</si>
  <si>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</si>
  <si>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</si>
  <si>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</si>
  <si>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</si>
  <si>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</si>
  <si>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</si>
  <si>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</si>
  <si>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</si>
  <si>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</si>
  <si>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</si>
  <si>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</si>
  <si>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</si>
  <si>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</si>
  <si>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</si>
  <si>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</si>
  <si>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</si>
  <si>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</si>
  <si>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</si>
  <si>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</si>
  <si>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</si>
  <si>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</si>
  <si>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</si>
  <si>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</si>
  <si>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</si>
  <si>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</si>
  <si>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</si>
  <si>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</si>
  <si>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</si>
  <si>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</si>
  <si>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</si>
  <si>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</si>
  <si>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</si>
  <si>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</si>
  <si>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</si>
  <si>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</si>
  <si>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</si>
  <si>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</si>
  <si>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</si>
  <si>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</si>
  <si>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</si>
  <si>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</si>
  <si>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</si>
  <si>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</si>
  <si>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</si>
  <si>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</si>
  <si>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</si>
  <si>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</si>
  <si>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</si>
  <si>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</si>
  <si>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</si>
  <si>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</si>
  <si>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</si>
  <si>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</si>
  <si>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</si>
  <si>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</si>
  <si>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</si>
  <si>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</si>
  <si>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</si>
  <si>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</si>
  <si>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</si>
  <si>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</si>
  <si>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</si>
  <si>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</si>
  <si>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</si>
  <si>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</si>
  <si>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</si>
  <si>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</si>
  <si>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</si>
  <si>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</si>
  <si>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</si>
  <si>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</si>
  <si>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</si>
  <si>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</si>
  <si>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</si>
  <si>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</si>
  <si>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</si>
  <si>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</si>
  <si>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</si>
  <si>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</si>
  <si>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</si>
  <si>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</si>
  <si>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</si>
  <si>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</si>
  <si>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</si>
  <si>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</si>
  <si>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</si>
  <si>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</si>
  <si>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</si>
  <si>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</si>
  <si>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</si>
  <si>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</si>
  <si>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</si>
  <si>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</si>
  <si>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</si>
  <si>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</si>
  <si>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</si>
  <si>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</si>
  <si>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</si>
  <si>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</si>
  <si>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</si>
  <si>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</si>
  <si>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</si>
  <si>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</si>
  <si>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</si>
  <si>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</si>
  <si>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</si>
  <si>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</si>
  <si>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</si>
  <si>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</si>
  <si>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</si>
  <si>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</si>
  <si>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</si>
  <si>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</si>
  <si>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</si>
  <si>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</si>
  <si>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</si>
  <si>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</si>
  <si>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</si>
  <si>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</si>
  <si>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</si>
  <si>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</si>
  <si>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</si>
  <si>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</si>
  <si>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</si>
  <si>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</si>
  <si>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</si>
  <si>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</si>
  <si>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</si>
  <si>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</si>
  <si>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</si>
  <si>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</si>
  <si>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</si>
  <si>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</si>
  <si>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</si>
  <si>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</si>
  <si>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</si>
  <si>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</si>
  <si>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</si>
  <si>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</si>
  <si>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</si>
  <si>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</si>
  <si>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</si>
  <si>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</si>
  <si>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</si>
  <si>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</si>
  <si>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</si>
  <si>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</si>
  <si>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</si>
  <si>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</si>
  <si>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</si>
  <si>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</si>
  <si>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</si>
  <si>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</si>
  <si>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</si>
  <si>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</si>
  <si>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</si>
  <si>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</si>
  <si>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</si>
  <si>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</si>
  <si>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</si>
  <si>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</si>
  <si>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</si>
  <si>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</si>
  <si>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</si>
  <si>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</si>
  <si>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</si>
  <si>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</si>
  <si>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</si>
  <si>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</si>
  <si>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</si>
  <si>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</si>
  <si>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</si>
  <si>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</si>
  <si>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</si>
  <si>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</si>
  <si>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</si>
  <si>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</si>
  <si>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</si>
  <si>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</si>
  <si>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</si>
  <si>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</si>
  <si>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</si>
  <si>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</si>
  <si>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</si>
  <si>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</si>
  <si>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</si>
  <si>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</si>
  <si>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</si>
  <si>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</si>
  <si>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</si>
  <si>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</si>
  <si>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</si>
  <si>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</si>
  <si>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</si>
  <si>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</si>
  <si>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</si>
  <si>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</si>
  <si>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</si>
  <si>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</si>
  <si>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</si>
  <si>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</si>
  <si>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</si>
  <si>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</si>
  <si>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</si>
  <si>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</si>
  <si>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</si>
  <si>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</si>
  <si>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</si>
  <si>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</si>
  <si>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</si>
  <si>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</si>
  <si>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</si>
  <si>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</si>
  <si>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</si>
  <si>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</si>
  <si>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</si>
  <si>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</si>
  <si>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</si>
  <si>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</si>
  <si>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</si>
  <si>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</si>
  <si>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</si>
  <si>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</si>
  <si>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</si>
  <si>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</si>
  <si>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</si>
  <si>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</si>
  <si>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</si>
  <si>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</si>
  <si>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</si>
  <si>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</si>
  <si>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</si>
  <si>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</si>
  <si>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</si>
  <si>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</si>
  <si>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</si>
  <si>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</si>
  <si>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</si>
  <si>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</si>
  <si>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</si>
  <si>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</si>
  <si>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</si>
  <si>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</si>
  <si>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</si>
  <si>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</si>
  <si>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</si>
  <si>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</si>
  <si>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</si>
  <si>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</si>
  <si>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</si>
  <si>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</si>
  <si>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</si>
  <si>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</si>
  <si>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</si>
  <si>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</si>
  <si>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</si>
  <si>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</si>
  <si>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</si>
  <si>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</si>
  <si>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</si>
  <si>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</si>
  <si>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</si>
  <si>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</si>
  <si>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</si>
  <si>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</si>
  <si>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</si>
  <si>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</si>
  <si>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</si>
  <si>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</si>
  <si>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</si>
  <si>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</si>
  <si>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</si>
  <si>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</si>
  <si>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</si>
  <si>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</si>
  <si>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</si>
  <si>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</si>
  <si>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</si>
  <si>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</si>
  <si>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</si>
  <si>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</si>
  <si>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</si>
  <si>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</si>
  <si>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</si>
  <si>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</si>
  <si>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</si>
  <si>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</si>
  <si>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</si>
  <si>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</si>
  <si>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</si>
  <si>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</si>
  <si>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</si>
  <si>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</si>
  <si>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</si>
  <si>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</si>
  <si>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</si>
  <si>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</si>
  <si>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</si>
  <si>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</si>
  <si>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</si>
  <si>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</si>
  <si>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</si>
  <si>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</si>
  <si>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</si>
  <si>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</si>
  <si>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</si>
  <si>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</si>
  <si>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</si>
  <si>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</si>
  <si>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</si>
  <si>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</si>
  <si>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</si>
  <si>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</si>
  <si>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</si>
  <si>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</si>
  <si>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</si>
  <si>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</si>
  <si>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</si>
  <si>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</si>
  <si>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</si>
  <si>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</si>
  <si>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</si>
  <si>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</si>
  <si>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</si>
  <si>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</si>
  <si>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</si>
  <si>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</si>
  <si>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</si>
  <si>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</si>
  <si>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</si>
  <si>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</si>
  <si>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</si>
  <si>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</si>
  <si>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</si>
  <si>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</si>
  <si>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</si>
  <si>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</si>
  <si>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</si>
  <si>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</si>
  <si>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</si>
  <si>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</si>
  <si>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</si>
  <si>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</si>
  <si>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</si>
  <si>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</si>
  <si>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</si>
  <si>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</si>
  <si>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</si>
  <si>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</si>
  <si>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</si>
  <si>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</si>
  <si>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</si>
  <si>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</si>
  <si>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</si>
  <si>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</si>
  <si>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</si>
  <si>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</si>
  <si>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</si>
  <si>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</si>
  <si>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</si>
  <si>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</si>
  <si>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</si>
  <si>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</si>
  <si>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</si>
  <si>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</si>
  <si>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</si>
  <si>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</si>
  <si>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</si>
  <si>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</si>
  <si>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</si>
  <si>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</si>
  <si>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</si>
  <si>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</si>
  <si>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</si>
  <si>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</si>
  <si>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</si>
  <si>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</si>
  <si>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</si>
  <si>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</si>
  <si>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</si>
  <si>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</si>
  <si>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</si>
  <si>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</si>
  <si>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</si>
  <si>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</si>
  <si>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</si>
  <si>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</si>
  <si>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</si>
  <si>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</si>
  <si>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</si>
  <si>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</si>
  <si>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</si>
  <si>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</si>
  <si>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</si>
  <si>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</si>
  <si>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</si>
  <si>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</si>
  <si>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</si>
  <si>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</si>
  <si>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</si>
  <si>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</si>
  <si>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</si>
  <si>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</si>
  <si>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</si>
  <si>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</si>
  <si>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</si>
  <si>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</si>
  <si>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</si>
  <si>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</si>
  <si>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</si>
  <si>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</si>
  <si>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</si>
  <si>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</si>
  <si>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</si>
  <si>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</si>
  <si>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</si>
  <si>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</si>
  <si>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</si>
  <si>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</si>
  <si>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</si>
  <si>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</si>
  <si>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</si>
  <si>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</si>
  <si>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</si>
  <si>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</si>
  <si>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</si>
  <si>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</si>
  <si>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</si>
  <si>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</si>
  <si>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</si>
  <si>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</si>
  <si>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</si>
  <si>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</si>
  <si>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</si>
  <si>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</si>
  <si>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</si>
  <si>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</si>
  <si>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</si>
  <si>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</si>
  <si>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</si>
  <si>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</si>
  <si>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</si>
  <si>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</si>
  <si>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</si>
  <si>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</si>
  <si>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</si>
  <si>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</si>
  <si>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</si>
  <si>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</si>
  <si>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</si>
  <si>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</si>
  <si>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</si>
  <si>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</si>
  <si>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</si>
  <si>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</si>
  <si>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</si>
  <si>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</si>
  <si>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</si>
  <si>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</si>
  <si>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</si>
  <si>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</si>
  <si>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</si>
  <si>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</si>
  <si>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</si>
  <si>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</si>
  <si>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</si>
  <si>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</si>
  <si>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</si>
  <si>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</si>
  <si>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</si>
  <si>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</si>
  <si>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</si>
  <si>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</si>
  <si>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</si>
  <si>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</si>
  <si>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</si>
  <si>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</si>
  <si>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</si>
  <si>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</si>
  <si>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</si>
  <si>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</si>
  <si>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</si>
  <si>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</si>
  <si>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</si>
  <si>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</si>
  <si>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</si>
  <si>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</si>
  <si>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</si>
  <si>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</si>
  <si>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</si>
  <si>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</si>
  <si>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</si>
  <si>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</si>
  <si>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</si>
  <si>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</si>
  <si>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</si>
  <si>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</si>
  <si>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</si>
  <si>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</si>
  <si>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</si>
  <si>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</si>
  <si>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</si>
  <si>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</si>
  <si>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</si>
  <si>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</si>
  <si>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</si>
  <si>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</si>
  <si>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</si>
  <si>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</si>
  <si>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</si>
  <si>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</si>
  <si>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</si>
  <si>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</si>
  <si>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</si>
  <si>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</si>
  <si>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</si>
  <si>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</si>
  <si>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</si>
  <si>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</si>
  <si>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</si>
  <si>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</si>
  <si>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</si>
  <si>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</si>
  <si>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</si>
  <si>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</si>
  <si>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</si>
  <si>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</si>
  <si>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</si>
  <si>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</si>
  <si>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</si>
  <si>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</si>
  <si>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</si>
  <si>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</si>
  <si>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</si>
  <si>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</si>
  <si>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</si>
  <si>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</si>
  <si>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</si>
  <si>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</si>
  <si>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</si>
  <si>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</si>
  <si>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</si>
  <si>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</si>
  <si>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</si>
  <si>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</si>
  <si>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</si>
  <si>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</si>
  <si>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</si>
  <si>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</si>
  <si>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</si>
  <si>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</si>
  <si>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</si>
  <si>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</si>
  <si>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</si>
  <si>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</si>
  <si>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</si>
  <si>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</si>
  <si>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</si>
  <si>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</si>
  <si>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</si>
  <si>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</si>
  <si>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</si>
  <si>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</si>
  <si>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</si>
  <si>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</si>
  <si>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</si>
  <si>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</si>
  <si>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</si>
  <si>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</si>
  <si>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</si>
  <si>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</si>
  <si>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</si>
  <si>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</si>
  <si>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</si>
  <si>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</si>
  <si>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</si>
  <si>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</si>
  <si>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</si>
  <si>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</si>
  <si>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</si>
  <si>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</si>
  <si>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</si>
  <si>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</si>
  <si>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</si>
  <si>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</si>
  <si>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</si>
  <si>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</si>
  <si>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</si>
  <si>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</si>
  <si>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</si>
  <si>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</si>
  <si>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</si>
  <si>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</si>
  <si>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</si>
  <si>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</si>
  <si>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</si>
  <si>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</si>
  <si>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</si>
  <si>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</si>
  <si>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</si>
  <si>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</si>
  <si>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</si>
  <si>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</si>
  <si>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</si>
  <si>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</si>
  <si>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</si>
  <si>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</si>
  <si>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</si>
  <si>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</si>
  <si>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</si>
  <si>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</si>
  <si>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</si>
  <si>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</si>
  <si>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</si>
  <si>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</si>
  <si>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</si>
  <si>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</si>
  <si>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</si>
  <si>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</si>
  <si>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</si>
  <si>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</si>
  <si>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</si>
  <si>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</si>
  <si>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</si>
  <si>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</si>
  <si>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</si>
  <si>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</si>
  <si>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</si>
  <si>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</si>
  <si>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</si>
  <si>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</si>
  <si>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</si>
  <si>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</si>
  <si>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</si>
  <si>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</si>
  <si>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</si>
  <si>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</si>
  <si>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</si>
  <si>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</si>
  <si>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</si>
  <si>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</si>
  <si>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</si>
  <si>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</si>
  <si>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</si>
  <si>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</si>
  <si>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</si>
  <si>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</si>
  <si>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</si>
  <si>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</si>
  <si>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</si>
  <si>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</si>
  <si>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</si>
  <si>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</si>
  <si>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</si>
  <si>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</si>
  <si>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</si>
  <si>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</si>
  <si>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</si>
  <si>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</si>
  <si>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</si>
  <si>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</si>
  <si>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</si>
  <si>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</si>
  <si>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</si>
  <si>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</si>
  <si>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</si>
  <si>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</si>
  <si>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</si>
  <si>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</si>
  <si>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</si>
  <si>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</si>
  <si>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</si>
  <si>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</si>
  <si>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</si>
  <si>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</si>
  <si>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</si>
  <si>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</si>
  <si>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</si>
  <si>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</si>
  <si>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</si>
  <si>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</si>
  <si>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</si>
  <si>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</si>
  <si>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</si>
  <si>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</si>
  <si>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</si>
  <si>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</si>
  <si>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</si>
  <si>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</si>
  <si>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</si>
  <si>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</si>
  <si>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</si>
  <si>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</si>
  <si>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</si>
  <si>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</si>
  <si>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</si>
  <si>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</si>
  <si>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</si>
  <si>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</si>
  <si>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</si>
  <si>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</si>
  <si>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</si>
  <si>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</si>
  <si>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</si>
  <si>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</si>
  <si>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</si>
  <si>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</si>
  <si>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</si>
  <si>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</si>
  <si>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</si>
  <si>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</si>
  <si>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</si>
  <si>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</si>
  <si>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</si>
  <si>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</si>
  <si>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</si>
  <si>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</si>
  <si>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</si>
  <si>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</si>
  <si>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</si>
  <si>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</si>
  <si>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</si>
  <si>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</si>
  <si>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</si>
  <si>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</si>
  <si>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</si>
  <si>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</si>
  <si>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</si>
  <si>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</si>
  <si>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</si>
  <si>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</si>
  <si>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</si>
  <si>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</si>
  <si>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</si>
  <si>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</si>
  <si>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</si>
  <si>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</si>
  <si>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</si>
  <si>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</si>
  <si>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</si>
  <si>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</si>
  <si>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</si>
  <si>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</si>
  <si>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</si>
  <si>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</si>
  <si>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</si>
  <si>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</si>
  <si>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</si>
  <si>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</si>
  <si>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</si>
  <si>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</si>
  <si>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</si>
  <si>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</si>
  <si>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</si>
  <si>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</si>
  <si>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</si>
  <si>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</si>
  <si>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</si>
  <si>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</si>
  <si>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</si>
  <si>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</si>
  <si>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</si>
  <si>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</si>
  <si>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</si>
  <si>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</si>
  <si>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</si>
  <si>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</si>
  <si>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</si>
  <si>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</si>
  <si>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</si>
  <si>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</si>
  <si>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</si>
  <si>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</si>
  <si>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</si>
  <si>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</si>
  <si>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</si>
  <si>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</si>
  <si>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</si>
  <si>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</si>
  <si>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</si>
  <si>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</si>
  <si>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</si>
  <si>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</si>
  <si>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</si>
  <si>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</si>
  <si>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</si>
  <si>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</si>
  <si>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</si>
  <si>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</si>
  <si>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</si>
  <si>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</si>
  <si>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</si>
  <si>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</si>
  <si>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</si>
  <si>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</si>
  <si>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</si>
  <si>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</si>
  <si>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</si>
  <si>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</si>
  <si>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</si>
  <si>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</si>
  <si>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</si>
  <si>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</si>
  <si>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</si>
  <si>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</si>
  <si>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</si>
  <si>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</si>
  <si>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</si>
  <si>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</si>
  <si>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</si>
  <si>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</si>
  <si>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</si>
  <si>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</si>
  <si>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</si>
  <si>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</si>
  <si>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</si>
  <si>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</si>
  <si>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</si>
  <si>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</si>
  <si>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</si>
  <si>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</si>
  <si>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</si>
  <si>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</si>
  <si>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</si>
  <si>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</si>
  <si>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</si>
  <si>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</si>
  <si>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</si>
  <si>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</si>
  <si>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</si>
  <si>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</si>
  <si>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</si>
  <si>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</si>
  <si>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</si>
  <si>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</si>
  <si>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</si>
  <si>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</si>
  <si>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</si>
  <si>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</si>
  <si>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</si>
  <si>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</si>
  <si>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</si>
  <si>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</si>
  <si>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</si>
  <si>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</si>
  <si>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</si>
  <si>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</si>
  <si>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</si>
  <si>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</si>
  <si>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</si>
  <si>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</si>
  <si>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</si>
  <si>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</si>
  <si>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</si>
  <si>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</si>
  <si>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</si>
  <si>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</si>
  <si>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</si>
  <si>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</si>
  <si>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</si>
  <si>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</si>
  <si>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</si>
  <si>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</si>
  <si>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</si>
  <si>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</si>
  <si>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</si>
  <si>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</si>
  <si>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</si>
  <si>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</si>
  <si>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</si>
  <si>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</si>
  <si>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</si>
  <si>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</si>
  <si>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</si>
  <si>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</si>
  <si>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</si>
  <si>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</si>
  <si>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</si>
  <si>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</si>
  <si>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</si>
  <si>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</si>
  <si>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</si>
  <si>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</si>
  <si>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</si>
  <si>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</si>
  <si>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</si>
  <si>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</si>
  <si>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</si>
  <si>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</si>
  <si>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</si>
  <si>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</si>
  <si>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</si>
  <si>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</si>
  <si>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</si>
  <si>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</si>
  <si>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</si>
  <si>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</si>
  <si>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</si>
  <si>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</si>
  <si>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</si>
  <si>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</si>
  <si>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</si>
  <si>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</si>
  <si>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</si>
  <si>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</si>
  <si>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</si>
  <si>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</si>
  <si>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</si>
  <si>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</si>
  <si>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</si>
  <si>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</si>
  <si>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</si>
  <si>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</si>
  <si>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</si>
  <si>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</si>
  <si>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</si>
  <si>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</si>
  <si>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</si>
  <si>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</si>
  <si>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</si>
  <si>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</si>
  <si>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</si>
  <si>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</si>
  <si>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</si>
  <si>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</si>
  <si>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</si>
  <si>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</si>
  <si>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</si>
  <si>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</si>
  <si>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</si>
  <si>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</si>
  <si>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</si>
  <si>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</si>
  <si>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</si>
  <si>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</si>
  <si>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</si>
  <si>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</si>
  <si>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</si>
  <si>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</si>
  <si>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</si>
  <si>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</si>
  <si>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</si>
  <si>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</si>
  <si>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</si>
  <si>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</si>
  <si>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</si>
  <si>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</si>
  <si>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</si>
  <si>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</si>
  <si>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</si>
  <si>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</si>
  <si>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</si>
  <si>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</si>
  <si>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</si>
  <si>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</si>
  <si>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</si>
  <si>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</si>
  <si>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</si>
  <si>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</si>
  <si>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</si>
  <si>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</si>
  <si>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</si>
  <si>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</si>
  <si>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</si>
  <si>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</si>
  <si>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</si>
  <si>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</si>
  <si>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</si>
  <si>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</si>
  <si>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</si>
  <si>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</si>
  <si>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</si>
  <si>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</si>
  <si>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</si>
  <si>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</si>
  <si>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</si>
  <si>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</si>
  <si>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</si>
  <si>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</si>
  <si>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</si>
  <si>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</si>
  <si>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</si>
  <si>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</si>
  <si>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</si>
  <si>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</si>
  <si>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</si>
  <si>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</si>
  <si>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</si>
  <si>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</si>
  <si>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</si>
  <si>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</si>
  <si>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</si>
  <si>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</si>
  <si>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</si>
  <si>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</si>
  <si>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</si>
  <si>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</si>
  <si>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</si>
  <si>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</si>
  <si>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</si>
  <si>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</si>
  <si>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崔锴</t>
  </si>
  <si>
    <t>抵押</t>
  </si>
  <si>
    <t>房地产抵押价值</t>
  </si>
  <si>
    <t>企业</t>
  </si>
  <si>
    <t>出让</t>
  </si>
  <si>
    <t>在建</t>
  </si>
  <si>
    <t>居住项目</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</si>
  <si>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</si>
  <si>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</si>
  <si>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</si>
  <si>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</si>
  <si>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</si>
  <si>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</si>
  <si>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</si>
  <si>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</si>
  <si>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</si>
  <si>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</si>
  <si>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</si>
  <si>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</si>
  <si>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15号楼</t>
    </r>
    <r>
      <rPr>
        <sz val="10"/>
        <color indexed="8"/>
        <rFont val="宋体"/>
        <family val="3"/>
        <charset val="134"/>
      </rPr>
      <t/>
    </r>
  </si>
  <si>
    <t>地上</t>
  </si>
  <si>
    <t>小高层</t>
    <phoneticPr fontId="16" type="noConversion"/>
  </si>
  <si>
    <t>高层</t>
  </si>
  <si>
    <t>高层</t>
    <phoneticPr fontId="16" type="noConversion"/>
  </si>
  <si>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</si>
  <si>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</si>
  <si>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</si>
  <si>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</si>
  <si>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</si>
  <si>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</si>
  <si>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</si>
  <si>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</si>
  <si>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</si>
  <si>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</si>
  <si>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</si>
  <si>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</si>
  <si>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</si>
  <si>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</si>
  <si>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</si>
  <si>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</si>
  <si>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</si>
  <si>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</si>
  <si>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</si>
  <si>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</si>
  <si>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</si>
  <si>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</si>
  <si>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</si>
  <si>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</si>
  <si>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</si>
  <si>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</si>
  <si>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</si>
  <si>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</si>
  <si>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</si>
  <si>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</si>
  <si>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</si>
  <si>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</si>
  <si>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</si>
  <si>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高层</t>
    <phoneticPr fontId="3" type="noConversion"/>
  </si>
  <si>
    <t>小高层</t>
    <phoneticPr fontId="3" type="noConversion"/>
  </si>
  <si>
    <t>高层住宅</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</si>
  <si>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</si>
  <si>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</si>
  <si>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</si>
  <si>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</si>
  <si>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</si>
  <si>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</si>
  <si>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</si>
  <si>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</si>
  <si>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</si>
  <si>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</si>
  <si>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</si>
  <si>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</si>
  <si>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</si>
  <si>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</si>
  <si>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</si>
  <si>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</si>
  <si>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</si>
  <si>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</si>
  <si>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</si>
  <si>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</si>
  <si>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</si>
  <si>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</si>
  <si>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</si>
  <si>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</si>
  <si>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</si>
  <si>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</si>
  <si>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</si>
  <si>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</si>
  <si>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</si>
  <si>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</si>
  <si>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</si>
  <si>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</si>
  <si>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</si>
  <si>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</si>
  <si>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</si>
  <si>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</si>
  <si>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</si>
  <si>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</si>
  <si>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</si>
  <si>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</si>
  <si>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</si>
  <si>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</si>
  <si>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</si>
  <si>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</si>
  <si>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</si>
  <si>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</si>
  <si>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开工中</t>
  </si>
  <si>
    <t>已成交</t>
  </si>
  <si>
    <t>70年</t>
  </si>
  <si>
    <t>车库</t>
    <phoneticPr fontId="3" type="noConversion"/>
  </si>
  <si>
    <t>配电房</t>
    <phoneticPr fontId="3" type="noConversion"/>
  </si>
  <si>
    <t>1#</t>
  </si>
  <si>
    <t>6#</t>
  </si>
  <si>
    <t>8#</t>
  </si>
  <si>
    <t>9#</t>
  </si>
  <si>
    <t>10#</t>
  </si>
  <si>
    <t>11#</t>
  </si>
  <si>
    <t>12#</t>
  </si>
  <si>
    <t>13#</t>
  </si>
  <si>
    <t>15#</t>
  </si>
  <si>
    <r>
      <rPr>
        <sz val="11"/>
        <color theme="1"/>
        <rFont val="宋体"/>
        <family val="3"/>
        <charset val="134"/>
      </rPr>
      <t>住宅</t>
    </r>
  </si>
  <si>
    <r>
      <rPr>
        <sz val="11"/>
        <color theme="1"/>
        <rFont val="宋体"/>
        <family val="3"/>
        <charset val="134"/>
      </rPr>
      <t>地上车库及仓储</t>
    </r>
  </si>
  <si>
    <r>
      <rPr>
        <sz val="11"/>
        <color theme="1"/>
        <rFont val="宋体"/>
        <family val="3"/>
        <charset val="134"/>
      </rPr>
      <t>地下储藏室</t>
    </r>
  </si>
  <si>
    <r>
      <rPr>
        <sz val="11"/>
        <color theme="1"/>
        <rFont val="宋体"/>
        <family val="3"/>
        <charset val="134"/>
      </rPr>
      <t>合计</t>
    </r>
  </si>
  <si>
    <r>
      <rPr>
        <sz val="11"/>
        <color theme="1"/>
        <rFont val="宋体"/>
        <family val="3"/>
        <charset val="134"/>
      </rPr>
      <t>楼层</t>
    </r>
    <phoneticPr fontId="3" type="noConversion"/>
  </si>
  <si>
    <t>成本法</t>
  </si>
  <si>
    <t>假设开发法</t>
  </si>
  <si>
    <t>赤岸大道东侧、东利路南侧、牛濑路西侧</t>
  </si>
  <si>
    <t>宁德市</t>
  </si>
  <si>
    <t>综合用地(含住宅)</t>
  </si>
  <si>
    <t>霞浦县</t>
  </si>
  <si>
    <t>拍卖</t>
  </si>
  <si>
    <t>2017-5</t>
  </si>
  <si>
    <t>城镇住宅用地(普通商品住宅),商服用地—批发零售用地(商铺)</t>
  </si>
  <si>
    <t>大于或等于2并且小于或等于2.3</t>
  </si>
  <si>
    <t>小于或等于28</t>
  </si>
  <si>
    <t>小于或等于100</t>
  </si>
  <si>
    <t>2017-05-10</t>
  </si>
  <si>
    <t>2017-06-01</t>
  </si>
  <si>
    <t>霞国土资经告字[2017]4号</t>
  </si>
  <si>
    <t>上海楷韧置业有限公司</t>
  </si>
  <si>
    <t>住宅70年、商服40年</t>
  </si>
  <si>
    <t>1星</t>
  </si>
  <si>
    <t>塔山路北侧空海大道西侧上沙东路东侧</t>
    <phoneticPr fontId="3" type="noConversion"/>
  </si>
  <si>
    <t>塔山路北侧空海大道西侧上沙东路东侧</t>
  </si>
  <si>
    <t>2018-2</t>
  </si>
  <si>
    <t>中低价位、中小套型普通商品住房用地</t>
  </si>
  <si>
    <t>大于或等于1.5并且小于或等于2</t>
  </si>
  <si>
    <t>小于或等于20</t>
  </si>
  <si>
    <t>小于或等于80</t>
  </si>
  <si>
    <t>未开工</t>
  </si>
  <si>
    <t>2018-03-07</t>
  </si>
  <si>
    <t>2018-03-28</t>
  </si>
  <si>
    <t>霞国土资告字[2018]拍4号</t>
  </si>
  <si>
    <t>福建汇川投资有限公司</t>
  </si>
  <si>
    <t>0星</t>
  </si>
  <si>
    <t>霞浦县滨河路南侧赤岸大道东侧上沙东路西侧</t>
    <phoneticPr fontId="3" type="noConversion"/>
  </si>
  <si>
    <t>霞浦县滨河路南侧赤岸大道东侧上沙东路西侧</t>
  </si>
  <si>
    <t>2016-6</t>
  </si>
  <si>
    <t>大于或等于1.5并且小于或等于1.8</t>
  </si>
  <si>
    <t>小于或等于26</t>
  </si>
  <si>
    <t>2016-12-30</t>
  </si>
  <si>
    <t>2017-01-20</t>
  </si>
  <si>
    <t>霞国土资经告字[2016]6号</t>
  </si>
  <si>
    <t>霞浦中茵房地产开发有限公司</t>
  </si>
  <si>
    <t>塔山路北侧赤岸大道东侧上沙东路西侧</t>
    <phoneticPr fontId="3" type="noConversion"/>
  </si>
  <si>
    <t>塔山路北侧赤岸大道东侧上沙东路西侧</t>
  </si>
  <si>
    <t>2016-7</t>
  </si>
  <si>
    <t>大于或等于1.5并且小于或等于2.2</t>
  </si>
  <si>
    <t>小于或等于25</t>
  </si>
  <si>
    <t>2016-11-11</t>
  </si>
  <si>
    <t>2016-12-01</t>
  </si>
  <si>
    <t>霞国土资经告字[2016]4号</t>
  </si>
  <si>
    <t>土地星级</t>
  </si>
  <si>
    <t>地面价</t>
    <phoneticPr fontId="3" type="noConversion"/>
  </si>
  <si>
    <t>建筑面积（二期）</t>
  </si>
  <si>
    <t>88427.80㎡</t>
  </si>
  <si>
    <t>其中：计容积率面积</t>
  </si>
  <si>
    <t>别墅</t>
  </si>
  <si>
    <t>物业管理用房</t>
  </si>
  <si>
    <t>文化活动室和卫生服务站</t>
  </si>
  <si>
    <t>社区用房</t>
  </si>
  <si>
    <t>不计容积率面积</t>
  </si>
  <si>
    <t>地面不计容</t>
  </si>
  <si>
    <t>地下车库及地下设备用房</t>
  </si>
  <si>
    <t>住宅、商业</t>
  </si>
  <si>
    <t>住宅、商业</t>
    <phoneticPr fontId="6" type="noConversion"/>
  </si>
  <si>
    <t>别墅</t>
    <phoneticPr fontId="16" type="noConversion"/>
  </si>
  <si>
    <t>商业</t>
    <phoneticPr fontId="16" type="noConversion"/>
  </si>
  <si>
    <t>成本比率</t>
  </si>
  <si>
    <t>北京市</t>
  </si>
  <si>
    <t>诺德中心三期</t>
    <phoneticPr fontId="6" type="noConversion"/>
  </si>
  <si>
    <t>2层</t>
  </si>
  <si>
    <t>3层</t>
  </si>
  <si>
    <t>4层</t>
  </si>
  <si>
    <t>5层</t>
  </si>
  <si>
    <t>6层</t>
  </si>
  <si>
    <t>7层</t>
  </si>
  <si>
    <t>8层</t>
  </si>
  <si>
    <t>9层</t>
  </si>
  <si>
    <t>10层</t>
  </si>
  <si>
    <t>11层</t>
  </si>
  <si>
    <t>12层</t>
  </si>
  <si>
    <t>13层</t>
  </si>
  <si>
    <t>地下-1层</t>
  </si>
  <si>
    <t>车库</t>
  </si>
  <si>
    <t>办公楼</t>
  </si>
  <si>
    <t>地下</t>
  </si>
  <si>
    <t>办公</t>
    <phoneticPr fontId="7" type="noConversion"/>
  </si>
  <si>
    <t>地下商业</t>
    <phoneticPr fontId="7" type="noConversion"/>
  </si>
  <si>
    <t>地下车库</t>
    <phoneticPr fontId="7" type="noConversion"/>
  </si>
  <si>
    <t>成新度</t>
  </si>
  <si>
    <t>收益法办</t>
  </si>
  <si>
    <t>收益法办</t>
    <phoneticPr fontId="16" type="noConversion"/>
  </si>
  <si>
    <t>收益法商</t>
    <phoneticPr fontId="16" type="noConversion"/>
  </si>
  <si>
    <t>收益法车</t>
  </si>
  <si>
    <t>收益法车</t>
    <phoneticPr fontId="16" type="noConversion"/>
  </si>
  <si>
    <t>押一</t>
  </si>
  <si>
    <t>钢混</t>
  </si>
  <si>
    <t>非生产用房</t>
  </si>
  <si>
    <t>按租金收入计税</t>
  </si>
  <si>
    <t>比较法-办公</t>
  </si>
  <si>
    <t>楼层</t>
    <phoneticPr fontId="3" type="noConversion"/>
  </si>
  <si>
    <t>高</t>
  </si>
  <si>
    <t>高</t>
    <phoneticPr fontId="25" type="noConversion"/>
  </si>
  <si>
    <t>中</t>
  </si>
  <si>
    <t>中</t>
    <phoneticPr fontId="25" type="noConversion"/>
  </si>
  <si>
    <t>低</t>
  </si>
  <si>
    <t>低</t>
    <phoneticPr fontId="25" type="noConversion"/>
  </si>
  <si>
    <r>
      <t>10</t>
    </r>
    <r>
      <rPr>
        <b/>
        <sz val="10"/>
        <color indexed="10"/>
        <rFont val="宋体"/>
        <family val="3"/>
        <charset val="134"/>
      </rPr>
      <t>到</t>
    </r>
    <r>
      <rPr>
        <b/>
        <sz val="10"/>
        <color indexed="10"/>
        <rFont val="Arial"/>
        <family val="2"/>
      </rPr>
      <t>13</t>
    </r>
    <r>
      <rPr>
        <b/>
        <sz val="10"/>
        <color indexed="10"/>
        <rFont val="宋体"/>
        <family val="3"/>
        <charset val="134"/>
      </rPr>
      <t>层</t>
    </r>
    <phoneticPr fontId="25" type="noConversion"/>
  </si>
  <si>
    <r>
      <t>6</t>
    </r>
    <r>
      <rPr>
        <sz val="10"/>
        <color indexed="8"/>
        <rFont val="宋体"/>
        <family val="3"/>
        <charset val="134"/>
      </rPr>
      <t>到</t>
    </r>
    <r>
      <rPr>
        <sz val="10"/>
        <color indexed="8"/>
        <rFont val="Arial"/>
        <family val="2"/>
      </rPr>
      <t>9</t>
    </r>
    <r>
      <rPr>
        <sz val="10"/>
        <color indexed="8"/>
        <rFont val="宋体"/>
        <family val="3"/>
        <charset val="134"/>
      </rPr>
      <t>层</t>
    </r>
    <phoneticPr fontId="25" type="noConversion"/>
  </si>
  <si>
    <r>
      <t>2-5</t>
    </r>
    <r>
      <rPr>
        <sz val="10"/>
        <color indexed="8"/>
        <rFont val="宋体"/>
        <family val="3"/>
        <charset val="134"/>
      </rPr>
      <t>层</t>
    </r>
    <phoneticPr fontId="25" type="noConversion"/>
  </si>
  <si>
    <t>比较法-车位</t>
  </si>
  <si>
    <t>售价</t>
  </si>
  <si>
    <t>元/平方米</t>
  </si>
  <si>
    <t>面积汇总</t>
  </si>
  <si>
    <t>建筑面积</t>
  </si>
  <si>
    <t>单价</t>
    <phoneticPr fontId="143" type="noConversion"/>
  </si>
  <si>
    <t>抵押总价（万元）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</si>
</sst>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000000"/>
      <name val="宋体"/>
      <family val="3"/>
      <charset val="134"/>
    </font>
    <font>
      <b/>
      <sz val="11"/>
      <color rgb="FF000000"/>
      <name val="宋体"/>
      <family val="3"/>
      <charset val="134"/>
    </font>
    <font>
      <sz val="9"/>
      <color rgb="FF000000"/>
      <name val="等线"/>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5" fillId="13" borderId="82" xfId="0" applyFont="1" applyFill="1" applyBorder="1" applyAlignment="1">
      <alignment horizontal="center" vertical="center"/>
    </xf>
    <xf numFmtId="0" fontId="256" fillId="13" borderId="65" xfId="0" applyFont="1" applyFill="1" applyBorder="1" applyAlignment="1">
      <alignment horizontal="center" vertical="center"/>
    </xf>
    <xf numFmtId="0" fontId="255" fillId="13" borderId="43" xfId="0" applyFont="1" applyFill="1" applyBorder="1" applyAlignment="1">
      <alignment horizontal="center" vertical="center"/>
    </xf>
    <xf numFmtId="4" fontId="255" fillId="13" borderId="43" xfId="0" applyNumberFormat="1" applyFont="1" applyFill="1" applyBorder="1" applyAlignment="1">
      <alignment horizontal="center" vertical="center"/>
    </xf>
    <xf numFmtId="0" fontId="255" fillId="13" borderId="81" xfId="0" applyFont="1" applyFill="1" applyBorder="1" applyAlignment="1">
      <alignment horizontal="center" vertical="center"/>
    </xf>
    <xf numFmtId="0" fontId="256" fillId="13" borderId="43" xfId="0" applyFont="1" applyFill="1" applyBorder="1" applyAlignment="1">
      <alignment horizontal="left" vertical="center"/>
    </xf>
    <xf numFmtId="0" fontId="256" fillId="13" borderId="43" xfId="0" applyFont="1" applyFill="1" applyBorder="1" applyAlignment="1">
      <alignment horizontal="center" vertical="center"/>
    </xf>
    <xf numFmtId="4" fontId="256" fillId="13" borderId="43" xfId="0" applyNumberFormat="1" applyFont="1" applyFill="1" applyBorder="1" applyAlignment="1">
      <alignment horizontal="center" vertical="center"/>
    </xf>
    <xf numFmtId="0" fontId="196" fillId="13" borderId="43" xfId="0" applyFont="1" applyFill="1" applyBorder="1" applyAlignment="1">
      <alignment horizontal="center" vertical="center"/>
    </xf>
    <xf numFmtId="176" fontId="80" fillId="0" borderId="1" xfId="0" applyNumberFormat="1"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17" borderId="0" xfId="0" applyFill="1" applyAlignment="1"/>
    <xf numFmtId="176" fontId="50" fillId="0" borderId="15" xfId="0" applyNumberFormat="1" applyFont="1" applyFill="1" applyBorder="1" applyAlignment="1" applyProtection="1">
      <alignment vertical="center" wrapText="1"/>
      <protection locked="0"/>
    </xf>
    <xf numFmtId="0" fontId="104" fillId="0" borderId="1" xfId="0" applyFont="1" applyBorder="1" applyAlignment="1">
      <alignment horizontal="center" vertical="center"/>
    </xf>
    <xf numFmtId="197" fontId="104" fillId="0" borderId="1" xfId="0" applyNumberFormat="1" applyFont="1" applyBorder="1" applyAlignment="1">
      <alignment horizontal="center" vertical="center"/>
    </xf>
    <xf numFmtId="0" fontId="104" fillId="0" borderId="15" xfId="0" applyFont="1" applyFill="1" applyBorder="1" applyAlignment="1">
      <alignment horizontal="center" vertical="center"/>
    </xf>
    <xf numFmtId="197" fontId="104" fillId="0" borderId="15" xfId="0" applyNumberFormat="1" applyFont="1" applyFill="1" applyBorder="1" applyAlignment="1">
      <alignment horizontal="center" vertical="center"/>
    </xf>
    <xf numFmtId="0" fontId="104" fillId="17" borderId="1" xfId="0" applyFont="1" applyFill="1" applyBorder="1" applyAlignment="1">
      <alignment horizontal="center" vertical="center"/>
    </xf>
    <xf numFmtId="197" fontId="104" fillId="17" borderId="1" xfId="0" applyNumberFormat="1" applyFont="1" applyFill="1" applyBorder="1" applyAlignment="1">
      <alignment horizontal="center" vertical="center"/>
    </xf>
    <xf numFmtId="197" fontId="104" fillId="17" borderId="15" xfId="0" applyNumberFormat="1" applyFont="1" applyFill="1" applyBorder="1" applyAlignment="1">
      <alignment horizontal="center" vertical="center"/>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0" fontId="99" fillId="0" borderId="0" xfId="17" applyNumberFormat="1" applyFont="1">
      <alignment vertical="center"/>
    </xf>
    <xf numFmtId="0" fontId="99" fillId="0" borderId="0" xfId="0" applyFont="1">
      <alignment vertical="center"/>
    </xf>
    <xf numFmtId="198" fontId="0" fillId="0" borderId="0" xfId="0" applyNumberFormat="1">
      <alignment vertical="center"/>
    </xf>
    <xf numFmtId="0" fontId="19" fillId="5" borderId="0" xfId="0" applyFont="1" applyFill="1" applyAlignment="1"/>
    <xf numFmtId="0" fontId="19" fillId="0" borderId="0" xfId="0" applyFont="1" applyAlignment="1"/>
    <xf numFmtId="0" fontId="257" fillId="0" borderId="82" xfId="0" applyFont="1" applyBorder="1" applyAlignment="1">
      <alignment horizontal="justify" vertical="center" wrapText="1"/>
    </xf>
    <xf numFmtId="0" fontId="257" fillId="0" borderId="43" xfId="0" applyFont="1" applyBorder="1" applyAlignment="1">
      <alignment horizontal="center" vertical="center" wrapText="1"/>
    </xf>
    <xf numFmtId="49" fontId="224" fillId="0" borderId="4"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50" fillId="0" borderId="24" xfId="1"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58" fontId="63" fillId="0" borderId="1" xfId="0" applyNumberFormat="1" applyFont="1" applyFill="1" applyBorder="1" applyAlignment="1" applyProtection="1">
      <alignment vertical="center"/>
      <protection locked="0"/>
    </xf>
    <xf numFmtId="0" fontId="50" fillId="0" borderId="1" xfId="0" applyFont="1" applyBorder="1" applyAlignment="1" applyProtection="1">
      <alignment vertical="center"/>
      <protection locked="0"/>
    </xf>
    <xf numFmtId="0" fontId="0" fillId="0" borderId="1" xfId="0" applyBorder="1">
      <alignment vertical="center"/>
    </xf>
    <xf numFmtId="0" fontId="99" fillId="0" borderId="1" xfId="0" applyFont="1" applyBorder="1">
      <alignment vertical="center"/>
    </xf>
    <xf numFmtId="1" fontId="0" fillId="0" borderId="1" xfId="0" applyNumberForma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13" borderId="27" xfId="0" applyFont="1" applyFill="1" applyBorder="1" applyAlignment="1">
      <alignment horizontal="center" vertical="center"/>
    </xf>
    <xf numFmtId="0" fontId="256" fillId="13" borderId="80" xfId="0" applyFont="1" applyFill="1" applyBorder="1" applyAlignment="1">
      <alignment horizontal="center" vertical="center"/>
    </xf>
    <xf numFmtId="0" fontId="256" fillId="13" borderId="81" xfId="0" applyFont="1" applyFill="1" applyBorder="1" applyAlignment="1">
      <alignment horizontal="center" vertical="center"/>
    </xf>
    <xf numFmtId="0" fontId="255" fillId="13" borderId="27" xfId="0" applyFont="1" applyFill="1" applyBorder="1" applyAlignment="1">
      <alignment horizontal="center" vertical="center"/>
    </xf>
    <xf numFmtId="0" fontId="255" fillId="13" borderId="80" xfId="0" applyFont="1" applyFill="1" applyBorder="1" applyAlignment="1">
      <alignment horizontal="center" vertical="center"/>
    </xf>
    <xf numFmtId="0" fontId="255" fillId="13" borderId="81" xfId="0" applyFont="1" applyFill="1" applyBorder="1" applyAlignment="1">
      <alignment horizontal="center" vertical="center"/>
    </xf>
    <xf numFmtId="0" fontId="257" fillId="0" borderId="63" xfId="0" applyFont="1" applyBorder="1" applyAlignment="1">
      <alignment horizontal="center" vertical="center" wrapText="1"/>
    </xf>
    <xf numFmtId="0" fontId="257" fillId="0" borderId="65" xfId="0" applyFont="1" applyBorder="1" applyAlignment="1">
      <alignment horizontal="center" vertical="center" wrapText="1"/>
    </xf>
    <xf numFmtId="0" fontId="257" fillId="0" borderId="27" xfId="0" applyFont="1" applyBorder="1" applyAlignment="1">
      <alignment horizontal="center" vertical="center" wrapText="1"/>
    </xf>
    <xf numFmtId="0" fontId="257" fillId="0" borderId="80"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27" xfId="0" applyFont="1" applyBorder="1" applyAlignment="1">
      <alignment horizontal="justify" vertical="center" wrapText="1"/>
    </xf>
    <xf numFmtId="0" fontId="257" fillId="0" borderId="81" xfId="0" applyFont="1" applyBorder="1" applyAlignment="1">
      <alignment horizontal="justify"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北京市诺德中心三期出让国有建设用地使用权及在建建筑物房地产抵押价值预评估</v>
      </c>
    </row>
    <row r="3" spans="1:2" s="1590" customFormat="1">
      <c r="A3" s="1588" t="s">
        <v>1221</v>
      </c>
      <c r="B3" s="1589">
        <f>'预评函-封皮'!B40</f>
        <v>0</v>
      </c>
    </row>
    <row r="4" spans="1:2" s="1590" customFormat="1">
      <c r="A4" s="1588" t="s">
        <v>1222</v>
      </c>
      <c r="B4" s="1589" t="str">
        <f ca="1">'预评函-封皮'!B46</f>
        <v>吴薇（注册号：1419970001)、崔锴（注册号：1120100036)</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受贵公司委托，我公司对北京市诺德中心三期出让国有建设用地使用权及在建建筑物房地产抵押价值进行了预评估。</v>
      </c>
    </row>
    <row r="7" spans="1:2" s="1590" customFormat="1">
      <c r="A7" s="1588" t="s">
        <v>1264</v>
      </c>
      <c r="B7" s="1589" t="str">
        <f>'预评函-1'!A7</f>
        <v>估价对象为北京市诺德中心三期出让国有建设用地使用权及在建建筑物房地产，为0所有。根据《国有土地使用证》[]，估价对象（分摊）出让国有建设用地使用权面积为0平方米，建筑面积为22318.33平方米。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诺德中心三期出让国有建设用地使用权及在建建筑物房地产,属0开发建设的居住项目，该项目尚在开发建设中。根据《国有土地使用证》[]，估价对象（分摊）出让国有建设用地使用权面积为0平方米，规划建筑面积为22318.33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北京市诺德中心三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2019年3月15日（评估专业人员实地查勘之日）</v>
      </c>
    </row>
    <row r="13" spans="1:2" s="1590" customFormat="1">
      <c r="A13" s="1588" t="s">
        <v>1227</v>
      </c>
      <c r="B13" s="1589" t="str">
        <f>'预评函-1'!A18</f>
        <v>本次估价的“房地产价值”是指在正常市场情况下，在价值时点2019年3月15日，估价对象规划用途为住宅、商业，土地取得方式为出让，出让国有建设用地使用权剩余土地使用年限为住宅、商业，假定未设立法定优先受偿款下的房地产市场价值。</v>
      </c>
    </row>
    <row r="14" spans="1:2" s="1590" customFormat="1">
      <c r="A14" s="1588" t="s">
        <v>1228</v>
      </c>
      <c r="B14" s="1589" t="str">
        <f>'预评函-1'!A19</f>
        <v>其中，“出让国有建设用地使用权价值”是指估价对象用途为住宅、商业，实际开发程度为宗地红线外“七通”（即、、、、、、）、红线内场地平整条件下，剩余土地使用年限为住宅、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t="e">
        <f ca="1">'预评函-2'!D5</f>
        <v>#DIV/0!</v>
      </c>
    </row>
    <row r="21" spans="1:2" s="1590" customFormat="1">
      <c r="A21" s="1588" t="s">
        <v>1235</v>
      </c>
      <c r="B21" s="1589" t="e">
        <f ca="1">'预评函-2'!D7</f>
        <v>#DIV/0!</v>
      </c>
    </row>
    <row r="22" spans="1:2" s="1590" customFormat="1">
      <c r="A22" s="1588" t="s">
        <v>1236</v>
      </c>
      <c r="B22" s="1589" t="e">
        <f ca="1">'预评函-2'!D6</f>
        <v>#DIV/0!</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t="e">
        <f ca="1">'预评函-2'!D13</f>
        <v>#DIV/0!</v>
      </c>
    </row>
    <row r="31" spans="1:2" s="1590" customFormat="1">
      <c r="A31" s="1588" t="s">
        <v>1274</v>
      </c>
      <c r="B31" s="1589" t="e">
        <f ca="1">'预评函-2'!D15</f>
        <v>#DIV/0!</v>
      </c>
    </row>
    <row r="32" spans="1:2" s="1590" customFormat="1">
      <c r="A32" s="1588" t="s">
        <v>1241</v>
      </c>
      <c r="B32" s="1589" t="e">
        <f ca="1">'预评函-2'!D14</f>
        <v>#DIV/0!</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北京市诺德中心三期出让国有建设用地使用权及在建建筑物房地产</v>
      </c>
    </row>
    <row r="42" spans="1:2" s="1590" customFormat="1">
      <c r="A42" s="1588" t="s">
        <v>1288</v>
      </c>
      <c r="B42" s="1589" t="str">
        <f>'预评函-3'!B2</f>
        <v>建筑面积</v>
      </c>
    </row>
    <row r="43" spans="1:2" s="1590" customFormat="1">
      <c r="A43" s="1588" t="s">
        <v>1289</v>
      </c>
      <c r="B43" s="1589">
        <f>'预评函-3'!B4</f>
        <v>22318.329999999998</v>
      </c>
    </row>
    <row r="44" spans="1:2" s="1590" customFormat="1">
      <c r="A44" s="1588" t="s">
        <v>1273</v>
      </c>
      <c r="B44" s="1589" t="str">
        <f>'预评函-3'!C2</f>
        <v>(分摊)土地面积</v>
      </c>
    </row>
    <row r="45" spans="1:2" s="1590" customFormat="1">
      <c r="A45" s="1588" t="s">
        <v>1245</v>
      </c>
      <c r="B45" s="1589">
        <f>'预评函-3'!C4</f>
        <v>0</v>
      </c>
    </row>
    <row r="46" spans="1:2" s="1590" customFormat="1">
      <c r="A46" s="1588" t="s">
        <v>1271</v>
      </c>
      <c r="B46" s="1589" t="str">
        <f>'预评函-3'!D2</f>
        <v>出让国有建设用地使用权价值</v>
      </c>
    </row>
    <row r="47" spans="1:2" s="1590" customFormat="1">
      <c r="A47" s="1588" t="s">
        <v>1246</v>
      </c>
      <c r="B47" s="1589" t="e">
        <f ca="1">'预评函-3'!D4</f>
        <v>#DIV/0!</v>
      </c>
    </row>
    <row r="48" spans="1:2" s="1590" customFormat="1">
      <c r="A48" s="1588" t="s">
        <v>1247</v>
      </c>
      <c r="B48" s="1589" t="e">
        <f ca="1">'预评函-3'!E4</f>
        <v>#DIV/0!</v>
      </c>
    </row>
    <row r="49" spans="1:2" s="1590" customFormat="1">
      <c r="A49" s="1588" t="s">
        <v>1248</v>
      </c>
      <c r="B49" s="1589" t="e">
        <f ca="1">'预评函-3'!D5</f>
        <v>#DIV/0!</v>
      </c>
    </row>
    <row r="50" spans="1:2" s="1590" customFormat="1">
      <c r="A50" s="1588" t="s">
        <v>1272</v>
      </c>
      <c r="B50" s="1589" t="str">
        <f>'预评函-3'!F2</f>
        <v>在建建筑物价值</v>
      </c>
    </row>
    <row r="51" spans="1:2" s="1590" customFormat="1">
      <c r="A51" s="1588" t="s">
        <v>1249</v>
      </c>
      <c r="B51" s="1589" t="e">
        <f ca="1">'预评函-3'!F4</f>
        <v>#DIV/0!</v>
      </c>
    </row>
    <row r="52" spans="1:2" s="1590" customFormat="1">
      <c r="A52" s="1588" t="s">
        <v>1250</v>
      </c>
      <c r="B52" s="1589" t="e">
        <f ca="1">'预评函-3'!G4</f>
        <v>#DIV/0!</v>
      </c>
    </row>
    <row r="53" spans="1:2" s="1590" customFormat="1">
      <c r="A53" s="1588" t="s">
        <v>1278</v>
      </c>
      <c r="B53" s="1589" t="e">
        <f ca="1">'预评函-3'!F5</f>
        <v>#DIV/0!</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4" t="s">
        <v>3234</v>
      </c>
      <c r="B6" s="2014" t="s">
        <v>1146</v>
      </c>
      <c r="C6" s="2017" t="s">
        <v>30</v>
      </c>
      <c r="F6" s="2013" t="s">
        <v>1734</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4" t="s">
        <v>3235</v>
      </c>
      <c r="B13" s="2011" t="s">
        <v>1758</v>
      </c>
      <c r="C13" s="2012" t="s">
        <v>769</v>
      </c>
    </row>
    <row r="14" spans="1:23">
      <c r="A14" s="2011" t="s">
        <v>1759</v>
      </c>
      <c r="B14" s="2011" t="s">
        <v>1760</v>
      </c>
      <c r="C14" s="2013" t="s">
        <v>16</v>
      </c>
    </row>
    <row r="15" spans="1:23">
      <c r="A15" s="2011" t="s">
        <v>1761</v>
      </c>
      <c r="B15" s="2011" t="s">
        <v>1762</v>
      </c>
      <c r="C15" s="2012"/>
    </row>
    <row r="16" spans="1:23">
      <c r="A16" s="2011" t="s">
        <v>1763</v>
      </c>
      <c r="B16" s="2011" t="s">
        <v>756</v>
      </c>
      <c r="C16" s="2012"/>
    </row>
    <row r="17" spans="1:3">
      <c r="A17" s="2011" t="s">
        <v>1764</v>
      </c>
      <c r="B17" s="2011" t="s">
        <v>3260</v>
      </c>
      <c r="C17" s="2012"/>
    </row>
    <row r="18" spans="1:3">
      <c r="A18" s="2011" t="s">
        <v>1765</v>
      </c>
      <c r="B18" s="2011" t="s">
        <v>3261</v>
      </c>
      <c r="C18" s="2012"/>
    </row>
    <row r="19" spans="1:3">
      <c r="A19" s="2011" t="s">
        <v>1766</v>
      </c>
      <c r="B19" s="2011" t="s">
        <v>3263</v>
      </c>
      <c r="C19" s="2012"/>
    </row>
    <row r="20" spans="1:3">
      <c r="A20" s="2011" t="s">
        <v>1767</v>
      </c>
      <c r="B20" s="2011" t="s">
        <v>757</v>
      </c>
      <c r="C20" s="2012"/>
    </row>
    <row r="21" spans="1:3">
      <c r="A21" s="2011" t="s">
        <v>1768</v>
      </c>
      <c r="B21" s="2011" t="s">
        <v>757</v>
      </c>
      <c r="C21" s="2012"/>
    </row>
    <row r="22" spans="1:3">
      <c r="A22" s="2014" t="s">
        <v>3068</v>
      </c>
      <c r="B22" s="2011" t="s">
        <v>757</v>
      </c>
      <c r="C22" s="2012"/>
    </row>
    <row r="23" spans="1:3">
      <c r="A23" s="2014" t="s">
        <v>3070</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诺德中心三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46"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46"/>
      <c r="B54" s="2019" t="s">
        <v>864</v>
      </c>
      <c r="C54" s="2016" t="s">
        <v>1281</v>
      </c>
    </row>
    <row r="55" spans="1:4">
      <c r="A55" s="3046"/>
      <c r="B55" s="2019" t="s">
        <v>865</v>
      </c>
      <c r="C55" s="2016" t="s">
        <v>1282</v>
      </c>
    </row>
    <row r="56" spans="1:4">
      <c r="A56" s="3046"/>
      <c r="B56" s="2019" t="s">
        <v>866</v>
      </c>
      <c r="C56" s="2016" t="s">
        <v>1286</v>
      </c>
    </row>
    <row r="57" spans="1:4">
      <c r="A57" s="3046"/>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29" customWidth="1"/>
    <col min="2" max="2" width="13.875" style="2029" customWidth="1"/>
    <col min="3" max="3" width="11.5" style="2029" customWidth="1"/>
    <col min="4" max="4" width="15.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047" t="str">
        <f>IF(B10="北京市","北京市",C10)&amp;F10&amp;IF(结果表!G1="在建","出让国有建设用地使用权及在建建筑物",IF(结果表!G1="土地","出让国有建设用地使用权",))&amp;B9&amp;"预评估"</f>
        <v>北京市诺德中心三期出让国有建设用地使用权及在建建筑物房地产抵押价值预评估</v>
      </c>
      <c r="C1" s="3048"/>
      <c r="D1" s="3048"/>
      <c r="E1" s="3048"/>
      <c r="F1" s="3048"/>
      <c r="G1" s="3048"/>
      <c r="H1" s="3048"/>
      <c r="I1" s="304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北京市诺德中心三期出让国有建设用地使用权及在建建筑物房地产抵押价值</v>
      </c>
    </row>
    <row r="2" spans="1:19" ht="18" customHeight="1">
      <c r="A2" s="2023" t="s">
        <v>1773</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北京市诺德中心三期出让国有建设用地使用权及在建建筑物房地产</v>
      </c>
    </row>
    <row r="3" spans="1:19" ht="18" customHeight="1">
      <c r="A3" s="2032" t="s">
        <v>1774</v>
      </c>
      <c r="B3" s="2033">
        <v>43539</v>
      </c>
      <c r="C3" s="2034" t="s">
        <v>1775</v>
      </c>
      <c r="D3" s="2033">
        <f>B3</f>
        <v>43539</v>
      </c>
      <c r="E3" s="2023"/>
      <c r="F3" s="2023"/>
      <c r="G3" s="2023"/>
      <c r="H3" s="2023"/>
      <c r="I3" s="2023"/>
      <c r="J3" s="2023"/>
      <c r="K3" s="2024"/>
      <c r="L3" s="2025"/>
      <c r="M3" s="2025"/>
      <c r="N3" s="2026"/>
      <c r="O3" s="2027"/>
      <c r="P3" s="2026"/>
      <c r="Q3" s="2026"/>
      <c r="R3" s="2026"/>
      <c r="S3" s="2028"/>
    </row>
    <row r="4" spans="1:19" ht="18" customHeight="1" thickBot="1">
      <c r="A4" s="2035" t="s">
        <v>1776</v>
      </c>
      <c r="B4" s="2036" t="s">
        <v>3046</v>
      </c>
      <c r="C4" s="1035">
        <f ca="1">SUMIF(注册房地产估价师,B4,估价师及机构信息!B3:B24)</f>
        <v>1419970001</v>
      </c>
      <c r="D4" s="2036" t="s">
        <v>3047</v>
      </c>
      <c r="E4" s="1036">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吴薇（注册号：1419970001)、崔锴（注册号：1120100036)</v>
      </c>
      <c r="L4" s="2025"/>
      <c r="M4" s="2025"/>
      <c r="N4" s="2026"/>
      <c r="O4" s="2027"/>
      <c r="P4" s="2026"/>
      <c r="Q4" s="2026"/>
      <c r="R4" s="2026"/>
      <c r="S4" s="2028"/>
    </row>
    <row r="5" spans="1:19" ht="18" customHeight="1" thickTop="1" thickBot="1">
      <c r="A5" s="2041" t="s">
        <v>1777</v>
      </c>
      <c r="B5" s="2937"/>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Top="1">
      <c r="A6" s="2044" t="s">
        <v>1778</v>
      </c>
      <c r="B6" s="293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38"/>
      <c r="C7" s="2045"/>
      <c r="D7" s="2046"/>
      <c r="E7" s="2031"/>
      <c r="F7" s="2039"/>
      <c r="G7" s="2039"/>
      <c r="H7" s="2039"/>
      <c r="I7" s="2039"/>
      <c r="J7" s="2039"/>
      <c r="K7" s="2048"/>
      <c r="L7" s="2025"/>
      <c r="M7" s="2025"/>
      <c r="N7" s="2026"/>
      <c r="O7" s="2027"/>
      <c r="P7" s="2026"/>
      <c r="Q7" s="2026"/>
      <c r="R7" s="2026"/>
    </row>
    <row r="8" spans="1:19" ht="18" customHeight="1">
      <c r="A8" s="2044" t="s">
        <v>1780</v>
      </c>
      <c r="B8" s="2049" t="s">
        <v>3048</v>
      </c>
      <c r="C8" s="2050"/>
      <c r="D8" s="3050" t="s">
        <v>1781</v>
      </c>
      <c r="E8" s="2051" t="s">
        <v>3049</v>
      </c>
      <c r="F8" s="2052"/>
      <c r="G8" s="2023"/>
      <c r="H8" s="2023"/>
      <c r="I8" s="2023"/>
      <c r="J8" s="2039"/>
      <c r="K8" s="2040"/>
      <c r="L8" s="2025"/>
      <c r="M8" s="2025"/>
      <c r="N8" s="2026"/>
      <c r="O8" s="2027"/>
      <c r="P8" s="2026"/>
      <c r="Q8" s="2026"/>
      <c r="R8" s="2026"/>
    </row>
    <row r="9" spans="1:19" ht="18" customHeight="1" thickBot="1">
      <c r="A9" s="2037" t="s">
        <v>1782</v>
      </c>
      <c r="B9" s="2053" t="s">
        <v>3049</v>
      </c>
      <c r="C9" s="2054"/>
      <c r="D9" s="3051"/>
      <c r="E9" s="2053"/>
      <c r="F9" s="2055"/>
      <c r="G9" s="2056"/>
      <c r="H9" s="2056"/>
      <c r="I9" s="2056"/>
      <c r="J9" s="2039"/>
      <c r="K9" s="2048"/>
      <c r="L9" s="2025"/>
      <c r="M9" s="2025"/>
      <c r="N9" s="2026"/>
      <c r="O9" s="2027"/>
      <c r="P9" s="2026"/>
      <c r="Q9" s="2026"/>
      <c r="R9" s="2026"/>
    </row>
    <row r="10" spans="1:19" ht="18" customHeight="1" thickTop="1">
      <c r="A10" s="2057" t="s">
        <v>1783</v>
      </c>
      <c r="B10" s="2058" t="s">
        <v>3237</v>
      </c>
      <c r="C10" s="2939"/>
      <c r="D10" s="2043"/>
      <c r="E10" s="2059" t="s">
        <v>1784</v>
      </c>
      <c r="F10" s="2972" t="s">
        <v>3238</v>
      </c>
      <c r="G10" s="2060"/>
      <c r="H10" s="2061"/>
      <c r="I10" s="2043"/>
      <c r="J10" s="2039"/>
      <c r="K10" s="2048"/>
      <c r="L10" s="2025"/>
      <c r="M10" s="2025"/>
      <c r="N10" s="2026"/>
      <c r="O10" s="2027"/>
      <c r="P10" s="2026"/>
      <c r="Q10" s="2026"/>
      <c r="R10" s="2026"/>
    </row>
    <row r="11" spans="1:19" ht="18" customHeight="1">
      <c r="A11" s="2062" t="s">
        <v>1785</v>
      </c>
      <c r="B11" s="2063" t="s">
        <v>3050</v>
      </c>
      <c r="C11" s="2064">
        <f>B7</f>
        <v>0</v>
      </c>
      <c r="D11" s="2065"/>
      <c r="E11" s="2039"/>
      <c r="F11" s="2039"/>
      <c r="G11" s="2039"/>
      <c r="H11" s="2039"/>
      <c r="I11" s="2039"/>
      <c r="J11" s="2039"/>
      <c r="K11" s="2048"/>
      <c r="L11" s="2025"/>
      <c r="M11" s="2025"/>
      <c r="N11" s="2026"/>
      <c r="O11" s="2027"/>
      <c r="P11" s="2026"/>
      <c r="Q11" s="2026"/>
      <c r="R11" s="2026"/>
    </row>
    <row r="12" spans="1:19" ht="18" customHeight="1">
      <c r="A12" s="2066" t="s">
        <v>1786</v>
      </c>
      <c r="B12" s="2063" t="s">
        <v>3051</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c r="E13" s="2072">
        <v>55219</v>
      </c>
      <c r="F13" s="2072">
        <v>58872</v>
      </c>
      <c r="G13" s="2072">
        <v>58872</v>
      </c>
      <c r="H13" s="2072"/>
      <c r="I13" s="1045"/>
      <c r="J13" s="2039"/>
      <c r="K13" s="2048"/>
      <c r="L13" s="2025"/>
      <c r="M13" s="2025"/>
      <c r="N13" s="2026"/>
      <c r="O13" s="2027"/>
      <c r="P13" s="2026"/>
      <c r="Q13" s="2026"/>
      <c r="R13" s="2026"/>
    </row>
    <row r="14" spans="1:19" ht="18" customHeight="1">
      <c r="A14" s="2069"/>
      <c r="B14" s="2070"/>
      <c r="C14" s="2071" t="s">
        <v>1795</v>
      </c>
      <c r="D14" s="1048">
        <v>70</v>
      </c>
      <c r="E14" s="1048">
        <v>40</v>
      </c>
      <c r="F14" s="1048">
        <v>50</v>
      </c>
      <c r="G14" s="1048">
        <v>50</v>
      </c>
      <c r="H14" s="1048"/>
      <c r="I14" s="1048"/>
      <c r="J14" s="2039"/>
      <c r="K14" s="2073"/>
      <c r="L14" s="2025"/>
      <c r="M14" s="2025"/>
      <c r="N14" s="2026"/>
      <c r="O14" s="2027"/>
      <c r="P14" s="2026"/>
      <c r="Q14" s="2026"/>
      <c r="R14" s="2026"/>
    </row>
    <row r="15" spans="1:19" ht="18" customHeight="1">
      <c r="A15" s="2057"/>
      <c r="B15" s="2074"/>
      <c r="C15" s="2071" t="s">
        <v>1796</v>
      </c>
      <c r="D15" s="1047" t="str">
        <f>IF(B12="出让",IF(D13="","",ROUNDDOWN(MIN((D13-$D$3)/365,D14),2)),D14)</f>
        <v/>
      </c>
      <c r="E15" s="1047">
        <f>IF(B12="出让",IF(E13="","",ROUNDDOWN(MIN((E13-$D$3)/365,E14),2)),E14)</f>
        <v>32</v>
      </c>
      <c r="F15" s="1047">
        <f>IF(B12="出让",IF(F13="","",ROUNDDOWN(MIN((F13-$D$3)/365,F14),2)),F14)</f>
        <v>42</v>
      </c>
      <c r="G15" s="1047">
        <f>IF(B12="出让",IF(G13="","",ROUNDDOWN(MIN((G13-$D$3)/365,G14),2)),G14)</f>
        <v>42</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59" t="s">
        <v>1797</v>
      </c>
      <c r="B16" s="3057" t="s">
        <v>3233</v>
      </c>
      <c r="C16" s="3058"/>
      <c r="D16" s="3059"/>
      <c r="E16" s="2078" t="s">
        <v>1798</v>
      </c>
      <c r="F16" s="3060" t="s">
        <v>3232</v>
      </c>
      <c r="G16" s="3061"/>
      <c r="H16" s="3061"/>
      <c r="I16" s="3062"/>
      <c r="J16" s="2026"/>
      <c r="K16" s="2075"/>
      <c r="L16" s="2076"/>
      <c r="M16" s="2076"/>
      <c r="N16" s="2077"/>
      <c r="O16" s="2076"/>
      <c r="P16" s="2077"/>
      <c r="Q16" s="2026"/>
      <c r="R16" s="2026"/>
    </row>
    <row r="17" spans="1:22" ht="18" customHeight="1">
      <c r="A17" s="2079" t="s">
        <v>1799</v>
      </c>
      <c r="B17" s="2032" t="s">
        <v>1800</v>
      </c>
      <c r="C17" s="1052">
        <f>'数据-汇总表'!E3</f>
        <v>22318.329999999998</v>
      </c>
      <c r="D17" s="2080" t="s">
        <v>1801</v>
      </c>
      <c r="E17" s="3063" t="s">
        <v>1802</v>
      </c>
      <c r="F17" s="3064"/>
      <c r="G17" s="3064"/>
      <c r="H17" s="3064"/>
      <c r="I17" s="3065"/>
      <c r="J17" s="2026"/>
      <c r="K17" s="2081"/>
      <c r="L17" s="2076"/>
      <c r="M17" s="2076"/>
      <c r="N17" s="2077"/>
      <c r="O17" s="2076"/>
      <c r="P17" s="2077"/>
      <c r="Q17" s="2026"/>
      <c r="R17" s="2026"/>
      <c r="S17" s="2026"/>
      <c r="T17" s="2026"/>
      <c r="U17" s="2026"/>
      <c r="V17" s="2026"/>
    </row>
    <row r="18" spans="1:22" ht="36" customHeight="1" thickBot="1">
      <c r="A18" s="2082" t="s">
        <v>1803</v>
      </c>
      <c r="B18" s="2035" t="s">
        <v>1804</v>
      </c>
      <c r="C18" s="1442">
        <f>'数据-汇总表'!D3</f>
        <v>0</v>
      </c>
      <c r="D18" s="2083" t="s">
        <v>1801</v>
      </c>
      <c r="E18" s="3066" t="s">
        <v>1805</v>
      </c>
      <c r="F18" s="3067"/>
      <c r="G18" s="3067"/>
      <c r="H18" s="3067"/>
      <c r="I18" s="3068"/>
      <c r="J18" s="2026"/>
      <c r="K18" s="2081"/>
      <c r="L18" s="2076"/>
      <c r="M18" s="2076"/>
      <c r="N18" s="2077"/>
      <c r="O18" s="2076"/>
      <c r="P18" s="2077"/>
      <c r="Q18" s="2026"/>
      <c r="R18" s="2026"/>
      <c r="S18" s="2026"/>
      <c r="T18" s="2026"/>
      <c r="U18" s="2026"/>
      <c r="V18" s="2026"/>
    </row>
    <row r="19" spans="1:22" ht="37.5" customHeight="1" thickTop="1" thickBot="1">
      <c r="A19" s="373" t="s">
        <v>1806</v>
      </c>
      <c r="B19" s="352" t="s">
        <v>1807</v>
      </c>
      <c r="C19" s="2084"/>
      <c r="D19" s="2085" t="s">
        <v>1808</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1809</v>
      </c>
      <c r="B20" s="3053" t="s">
        <v>1810</v>
      </c>
      <c r="C20" s="3054"/>
      <c r="D20" s="3055" t="s">
        <v>1811</v>
      </c>
      <c r="E20" s="3056"/>
      <c r="F20" s="2090" t="s">
        <v>1812</v>
      </c>
      <c r="G20" s="2039"/>
      <c r="H20" s="2039"/>
      <c r="I20" s="2039"/>
      <c r="J20" s="2039"/>
      <c r="K20" s="3052"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1814</v>
      </c>
      <c r="C21" s="2092" t="s">
        <v>1815</v>
      </c>
      <c r="D21" s="2093" t="s">
        <v>1816</v>
      </c>
      <c r="E21" s="2094" t="s">
        <v>1815</v>
      </c>
      <c r="F21" s="2095"/>
      <c r="G21" s="2039"/>
      <c r="H21" s="2039"/>
      <c r="I21" s="2039"/>
      <c r="J21" s="2039"/>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1817</v>
      </c>
      <c r="C22" s="2092" t="s">
        <v>1818</v>
      </c>
      <c r="D22" s="2023"/>
      <c r="E22" s="2023"/>
      <c r="F22" s="2097"/>
      <c r="G22" s="2039"/>
      <c r="H22" s="2039"/>
      <c r="I22" s="2039"/>
      <c r="J22" s="2039"/>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1819</v>
      </c>
      <c r="B23" s="183" t="s">
        <v>1820</v>
      </c>
      <c r="C23" s="2099"/>
      <c r="D23" s="2100" t="s">
        <v>1820</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1821</v>
      </c>
      <c r="C24" s="2104"/>
      <c r="D24" s="2098" t="s">
        <v>1821</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1822</v>
      </c>
      <c r="C25" s="2104"/>
      <c r="D25" s="2098" t="s">
        <v>1822</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1823</v>
      </c>
      <c r="C26" s="2108"/>
      <c r="D26" s="2109" t="s">
        <v>1824</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70" t="s">
        <v>1825</v>
      </c>
      <c r="B27" s="2057" t="s">
        <v>1826</v>
      </c>
      <c r="C27" s="2112" t="s">
        <v>3053</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70"/>
      <c r="B28" s="2032" t="s">
        <v>1827</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0"/>
      <c r="B29" s="2032" t="s">
        <v>1828</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1"/>
      <c r="B30" s="2032" t="s">
        <v>1829</v>
      </c>
      <c r="C30" s="3072"/>
      <c r="D30" s="3073"/>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4" t="s">
        <v>1830</v>
      </c>
      <c r="B31" s="2119" t="s">
        <v>3052</v>
      </c>
      <c r="C31" s="2120" t="str">
        <f>IF(B31="现房","成新及维护状况正常否",IF(B31="在建","工程状态是否正常",IF(B31="土地","是否闲置","-")))</f>
        <v>工程状态是否正常</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5"/>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5"/>
      <c r="B33" s="2123"/>
      <c r="C33" s="2062"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1831</v>
      </c>
      <c r="B34" s="2126"/>
      <c r="C34" s="2126"/>
      <c r="D34" s="2126"/>
      <c r="E34" s="2126"/>
      <c r="F34" s="2126"/>
      <c r="G34" s="2126"/>
      <c r="H34" s="2126"/>
      <c r="I34" s="2039"/>
      <c r="J34" s="2039"/>
      <c r="K34" s="1792">
        <f>COUNTIF(B34:H34,"——")</f>
        <v>0</v>
      </c>
      <c r="L34" s="2067" t="s">
        <v>1832</v>
      </c>
      <c r="M34" s="2067" t="s">
        <v>1833</v>
      </c>
      <c r="N34" s="2067" t="s">
        <v>1834</v>
      </c>
      <c r="O34" s="2067" t="s">
        <v>1835</v>
      </c>
      <c r="P34" s="2067" t="s">
        <v>1836</v>
      </c>
      <c r="Q34" s="2067" t="s">
        <v>1837</v>
      </c>
      <c r="R34" s="2067" t="s">
        <v>1838</v>
      </c>
      <c r="S34" s="3069" t="s">
        <v>1839</v>
      </c>
      <c r="T34" s="2127" t="str">
        <f>NUMBERSTRING(7-K34,1)&amp;"通"</f>
        <v>七通</v>
      </c>
      <c r="U34" s="2026"/>
      <c r="V34" s="2026"/>
    </row>
    <row r="35" spans="1:22" ht="18" customHeight="1">
      <c r="A35" s="2128"/>
      <c r="B35" s="3076" t="s">
        <v>1840</v>
      </c>
      <c r="C35" s="3076"/>
      <c r="D35" s="3076"/>
      <c r="E35" s="3076"/>
      <c r="F35" s="2129">
        <f>C10</f>
        <v>0</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2026"/>
      <c r="V35" s="2026"/>
    </row>
    <row r="36" spans="1:22" ht="18" customHeight="1">
      <c r="A36" s="2130"/>
      <c r="B36" s="2129" t="s">
        <v>1841</v>
      </c>
      <c r="C36" s="2129" t="s">
        <v>1842</v>
      </c>
      <c r="D36" s="2129" t="s">
        <v>1843</v>
      </c>
      <c r="E36" s="2129" t="s">
        <v>1844</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1845</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1846</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1848</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1849</v>
      </c>
      <c r="B42" s="1792" t="s">
        <v>1850</v>
      </c>
      <c r="C42" s="1792" t="s">
        <v>1851</v>
      </c>
      <c r="D42" s="1792" t="s">
        <v>1852</v>
      </c>
      <c r="E42" s="1792" t="s">
        <v>1853</v>
      </c>
      <c r="F42" s="1792" t="s">
        <v>1854</v>
      </c>
      <c r="G42" s="1792" t="s">
        <v>1855</v>
      </c>
      <c r="H42" s="1792" t="s">
        <v>1856</v>
      </c>
      <c r="I42" s="1792" t="s">
        <v>1857</v>
      </c>
      <c r="J42" s="2145" t="s">
        <v>1858</v>
      </c>
      <c r="K42" s="2068" t="s">
        <v>1859</v>
      </c>
      <c r="L42" s="2068" t="s">
        <v>1860</v>
      </c>
      <c r="M42" s="2068" t="s">
        <v>1861</v>
      </c>
      <c r="N42" s="1792" t="s">
        <v>1862</v>
      </c>
      <c r="O42" s="1792" t="s">
        <v>1863</v>
      </c>
      <c r="P42" s="1792" t="s">
        <v>1864</v>
      </c>
      <c r="Q42" s="2067" t="s">
        <v>1865</v>
      </c>
      <c r="R42" s="2067" t="s">
        <v>1866</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8.75" style="2152" customWidth="1"/>
    <col min="2" max="2" width="9.25" style="2152" customWidth="1"/>
    <col min="3" max="3" width="19.6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1872</v>
      </c>
      <c r="AZ2" s="1268"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22318.329999999998</v>
      </c>
      <c r="C3" s="2161" t="s">
        <v>1875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800"/>
      <c r="C5" s="1800"/>
      <c r="D5" s="1803"/>
      <c r="E5" s="16" t="s">
        <v>1</v>
      </c>
      <c r="F5" s="16">
        <f>SUM(F13:F587)</f>
        <v>0</v>
      </c>
      <c r="G5" s="16">
        <f>SUM(G13:G587)</f>
        <v>22318.329999999998</v>
      </c>
      <c r="H5" s="16">
        <f t="shared" ref="H5:AT5" si="0">SUM(H13:H656)</f>
        <v>22318.329999999998</v>
      </c>
      <c r="I5" s="16">
        <f t="shared" si="0"/>
        <v>17116.989999999998</v>
      </c>
      <c r="J5" s="16">
        <f t="shared" si="0"/>
        <v>0</v>
      </c>
      <c r="K5" s="16">
        <f t="shared" si="0"/>
        <v>2017.1399999999996</v>
      </c>
      <c r="L5" s="16">
        <f t="shared" si="0"/>
        <v>0</v>
      </c>
      <c r="M5" s="16">
        <f t="shared" si="0"/>
        <v>3184.2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22318.329999999998</v>
      </c>
      <c r="BA5" s="18">
        <f t="shared" si="1"/>
        <v>22318.329999999998</v>
      </c>
      <c r="BB5" s="18">
        <f t="shared" si="1"/>
        <v>17116.989999999998</v>
      </c>
      <c r="BC5" s="18">
        <f t="shared" si="1"/>
        <v>2017.1399999999996</v>
      </c>
      <c r="BD5" s="18">
        <f t="shared" si="1"/>
        <v>3184.2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1885</v>
      </c>
      <c r="AV7" s="23" t="s">
        <v>1886</v>
      </c>
      <c r="AW7" s="2159" t="s">
        <v>1887</v>
      </c>
      <c r="AX7" s="23" t="s">
        <v>1880</v>
      </c>
      <c r="AY7" s="1800"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5"/>
      <c r="K8" s="1815"/>
      <c r="L8" s="1815"/>
      <c r="M8" s="1815"/>
      <c r="N8" s="1815"/>
      <c r="O8" s="1815"/>
      <c r="P8" s="1815"/>
      <c r="Q8" s="1815"/>
      <c r="R8" s="1815"/>
      <c r="S8" s="1815"/>
      <c r="T8" s="1815"/>
      <c r="U8" s="1815"/>
      <c r="V8" s="2179"/>
      <c r="W8" s="1815"/>
      <c r="X8" s="1815"/>
      <c r="Y8" s="1815"/>
      <c r="Z8" s="1815"/>
      <c r="AA8" s="2179"/>
      <c r="AB8" s="2180"/>
      <c r="AC8" s="979" t="s">
        <v>1891</v>
      </c>
      <c r="AD8" s="2181"/>
      <c r="AE8" s="2173"/>
      <c r="AF8" s="1815"/>
      <c r="AG8" s="1815"/>
      <c r="AH8" s="1815"/>
      <c r="AI8" s="1815"/>
      <c r="AJ8" s="1815"/>
      <c r="AK8" s="1815"/>
      <c r="AL8" s="1815"/>
      <c r="AM8" s="1815"/>
      <c r="AN8" s="1815"/>
      <c r="AO8" s="1815"/>
      <c r="AP8" s="1815"/>
      <c r="AQ8" s="1815"/>
      <c r="AR8" s="1815"/>
      <c r="AS8" s="1815"/>
      <c r="AT8" s="1290" t="s">
        <v>1892</v>
      </c>
      <c r="AU8" s="2175" t="s">
        <v>1893</v>
      </c>
      <c r="AV8" s="1290"/>
      <c r="AW8" s="2158"/>
      <c r="AX8" s="1290"/>
      <c r="AY8" s="2159"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1896</v>
      </c>
      <c r="I9" s="2184" t="s">
        <v>3067</v>
      </c>
      <c r="J9" s="979"/>
      <c r="K9" s="2184" t="s">
        <v>3254</v>
      </c>
      <c r="L9" s="979"/>
      <c r="M9" s="2184" t="s">
        <v>3254</v>
      </c>
      <c r="N9" s="979"/>
      <c r="O9" s="2184"/>
      <c r="P9" s="979"/>
      <c r="Q9" s="2184"/>
      <c r="R9" s="979"/>
      <c r="S9" s="2184"/>
      <c r="T9" s="979"/>
      <c r="U9" s="2184"/>
      <c r="V9" s="979"/>
      <c r="W9" s="2184"/>
      <c r="X9" s="2185"/>
      <c r="Y9" s="2184"/>
      <c r="Z9" s="979"/>
      <c r="AA9" s="2184"/>
      <c r="AB9" s="979"/>
      <c r="AC9" s="2176"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6"/>
      <c r="AT9" s="2175"/>
      <c r="AU9" s="2175" t="s">
        <v>1899</v>
      </c>
      <c r="AV9" s="1290"/>
      <c r="AW9" s="2158"/>
      <c r="AX9" s="1290"/>
      <c r="AY9" s="28"/>
      <c r="AZ9" s="28" t="s">
        <v>1889</v>
      </c>
      <c r="BA9" s="2187" t="s">
        <v>1900</v>
      </c>
      <c r="BB9" s="2188"/>
      <c r="BC9" s="1336"/>
      <c r="BD9" s="1336"/>
      <c r="BE9" s="1336"/>
      <c r="BF9" s="1336"/>
      <c r="BG9" s="1336"/>
      <c r="BH9" s="1336"/>
      <c r="BI9" s="1336"/>
      <c r="BJ9" s="1336"/>
      <c r="BK9" s="2189"/>
      <c r="BL9" s="15" t="s">
        <v>1901</v>
      </c>
      <c r="BM9" s="1815"/>
      <c r="BN9" s="2178"/>
      <c r="BO9" s="1815"/>
      <c r="BP9" s="1815"/>
      <c r="BQ9" s="1815"/>
      <c r="BR9" s="1815"/>
      <c r="BS9" s="1815"/>
      <c r="BT9" s="26"/>
    </row>
    <row r="10" spans="1:72" s="2182" customFormat="1" ht="12.75">
      <c r="A10" s="2175"/>
      <c r="B10" s="2175"/>
      <c r="C10" s="2175"/>
      <c r="D10" s="2175"/>
      <c r="E10" s="2175"/>
      <c r="F10" s="2175"/>
      <c r="G10" s="1290"/>
      <c r="H10" s="28"/>
      <c r="I10" s="2184" t="s">
        <v>27</v>
      </c>
      <c r="J10" s="979"/>
      <c r="K10" s="2184" t="s">
        <v>1377</v>
      </c>
      <c r="L10" s="979"/>
      <c r="M10" s="2190" t="s">
        <v>3252</v>
      </c>
      <c r="N10" s="979"/>
      <c r="O10" s="2190"/>
      <c r="P10" s="979"/>
      <c r="Q10" s="2190"/>
      <c r="R10" s="979"/>
      <c r="S10" s="2190"/>
      <c r="T10" s="979"/>
      <c r="U10" s="2190"/>
      <c r="V10" s="979"/>
      <c r="W10" s="2190"/>
      <c r="X10" s="979"/>
      <c r="Y10" s="2190"/>
      <c r="Z10" s="979"/>
      <c r="AA10" s="2190"/>
      <c r="AB10" s="979"/>
      <c r="AC10" s="1290"/>
      <c r="AD10" s="15" t="s">
        <v>1902</v>
      </c>
      <c r="AE10" s="2191"/>
      <c r="AF10" s="15" t="s">
        <v>1902</v>
      </c>
      <c r="AG10" s="2191"/>
      <c r="AH10" s="15" t="s">
        <v>1903</v>
      </c>
      <c r="AI10" s="2191"/>
      <c r="AJ10" s="15" t="s">
        <v>1903</v>
      </c>
      <c r="AK10" s="2191"/>
      <c r="AL10" s="15" t="s">
        <v>1904</v>
      </c>
      <c r="AM10" s="1296"/>
      <c r="AN10" s="15" t="s">
        <v>1904</v>
      </c>
      <c r="AO10" s="1296"/>
      <c r="AP10" s="15" t="s">
        <v>1905</v>
      </c>
      <c r="AQ10" s="1296"/>
      <c r="AR10" s="15" t="s">
        <v>1905</v>
      </c>
      <c r="AS10" s="1296"/>
      <c r="AT10" s="2175"/>
      <c r="AU10" s="2175"/>
      <c r="AV10" s="1290"/>
      <c r="AW10" s="2158"/>
      <c r="AX10" s="1290"/>
      <c r="AY10" s="28"/>
      <c r="AZ10" s="28"/>
      <c r="BA10" s="2192" t="s">
        <v>1896</v>
      </c>
      <c r="BB10" s="2193"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t="s">
        <v>3253</v>
      </c>
      <c r="J11" s="2196"/>
      <c r="K11" s="2195" t="s">
        <v>1377</v>
      </c>
      <c r="L11" s="2196"/>
      <c r="M11" s="2195" t="s">
        <v>3252</v>
      </c>
      <c r="N11" s="2196"/>
      <c r="O11" s="2195"/>
      <c r="P11" s="2196"/>
      <c r="Q11" s="2195"/>
      <c r="R11" s="2196"/>
      <c r="S11" s="2195"/>
      <c r="T11" s="2196"/>
      <c r="U11" s="2195"/>
      <c r="V11" s="2196"/>
      <c r="W11" s="2195"/>
      <c r="X11" s="2196"/>
      <c r="Y11" s="2195"/>
      <c r="Z11" s="2196"/>
      <c r="AA11" s="2195"/>
      <c r="AB11" s="2196"/>
      <c r="AC11" s="1290"/>
      <c r="AD11" s="2197" t="s">
        <v>1906</v>
      </c>
      <c r="AE11" s="1816"/>
      <c r="AF11" s="2197" t="s">
        <v>1906</v>
      </c>
      <c r="AG11" s="1816"/>
      <c r="AH11" s="2197" t="s">
        <v>1907</v>
      </c>
      <c r="AI11" s="2198"/>
      <c r="AJ11" s="2197" t="s">
        <v>1907</v>
      </c>
      <c r="AK11" s="1816"/>
      <c r="AL11" s="1814"/>
      <c r="AM11" s="1816"/>
      <c r="AN11" s="1814"/>
      <c r="AO11" s="1816"/>
      <c r="AP11" s="1814"/>
      <c r="AQ11" s="1816"/>
      <c r="AR11" s="1814"/>
      <c r="AS11" s="1816"/>
      <c r="AT11" s="2158"/>
      <c r="AU11" s="2175"/>
      <c r="AV11" s="1290"/>
      <c r="AW11" s="2158"/>
      <c r="AX11" s="1290"/>
      <c r="AY11" s="28"/>
      <c r="AZ11" s="28"/>
      <c r="BA11" s="28"/>
      <c r="BB11" s="2180" t="str">
        <f>I10</f>
        <v>办公</v>
      </c>
      <c r="BC11" s="2180" t="str">
        <f>K10</f>
        <v>商业</v>
      </c>
      <c r="BD11" s="2180" t="str">
        <f>M10</f>
        <v>车库</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2"/>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办公楼</v>
      </c>
      <c r="BC12" s="2205" t="str">
        <f>K11</f>
        <v>商业</v>
      </c>
      <c r="BD12" s="2205" t="str">
        <f>M11</f>
        <v>车库</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t="s">
        <v>27</v>
      </c>
      <c r="C13" s="2950" t="s">
        <v>3239</v>
      </c>
      <c r="D13" s="2206" t="s">
        <v>3107</v>
      </c>
      <c r="E13" s="16">
        <f>IF($C$3="是",ROUND($A$3*G13/$B$3,2),ROUND($A$3*(G13-AT13)/$B$3,2))</f>
        <v>0</v>
      </c>
      <c r="F13" s="32"/>
      <c r="G13" s="33">
        <f>H13+AC13+AT13</f>
        <v>511.82999999999993</v>
      </c>
      <c r="H13" s="20">
        <f>SUMIF(I$12:AB$12,"总值",I13:AB13)</f>
        <v>511.82999999999993</v>
      </c>
      <c r="I13" s="2207">
        <v>511.82999999999993</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t="str">
        <f t="shared" si="6"/>
        <v>办公</v>
      </c>
      <c r="AX13" s="11" t="str">
        <f t="shared" si="6"/>
        <v>2层</v>
      </c>
      <c r="AY13" s="1803">
        <f>ROUND($AY$6*AZ13/$AZ$5,2)</f>
        <v>0</v>
      </c>
      <c r="AZ13" s="16">
        <f>BA13+BL13</f>
        <v>511.82999999999993</v>
      </c>
      <c r="BA13" s="16">
        <f>SUM(BB13:BK13)</f>
        <v>511.82999999999993</v>
      </c>
      <c r="BB13" s="16">
        <f>IF($D13="是",I13-J13,0)</f>
        <v>511.82999999999993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t="s">
        <v>27</v>
      </c>
      <c r="C14" s="2950" t="s">
        <v>3240</v>
      </c>
      <c r="D14" s="2206" t="s">
        <v>3107</v>
      </c>
      <c r="E14" s="16">
        <f>IF($C$3="是",ROUND($A$3*G14/$B$3,2),ROUND($A$3*(G14-AT14)/$B$3,2))</f>
        <v>0</v>
      </c>
      <c r="F14" s="32"/>
      <c r="G14" s="33">
        <f>H14+AC14+AT14</f>
        <v>936.87999999999988</v>
      </c>
      <c r="H14" s="20">
        <f>SUMIF(I$12:AB$12,"总值",I14:AB14)</f>
        <v>936.87999999999988</v>
      </c>
      <c r="I14" s="2207">
        <v>936.87999999999988</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办公</v>
      </c>
      <c r="AX14" s="11" t="str">
        <f t="shared" si="6"/>
        <v>3层</v>
      </c>
      <c r="AY14" s="1803">
        <f>ROUND($AY$6*AZ14/$AZ$5,2)</f>
        <v>0</v>
      </c>
      <c r="AZ14" s="16">
        <f>BA14+BL14</f>
        <v>936.87999999999988</v>
      </c>
      <c r="BA14" s="16">
        <f>SUM(BB14:BK14)</f>
        <v>936.87999999999988</v>
      </c>
      <c r="BB14" s="16">
        <f>IF($D14="是",I14-J14,0)</f>
        <v>936.87999999999988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t="s">
        <v>27</v>
      </c>
      <c r="C15" s="2950" t="s">
        <v>3241</v>
      </c>
      <c r="D15" s="2206" t="s">
        <v>3107</v>
      </c>
      <c r="E15" s="16">
        <f>IF($C$3="是",ROUND($A$3*G15/$B$3,2),ROUND($A$3*(G15-AT15)/$B$3,2))</f>
        <v>0</v>
      </c>
      <c r="F15" s="32"/>
      <c r="G15" s="33">
        <f>H15+AC15+AT15</f>
        <v>1620.9599999999998</v>
      </c>
      <c r="H15" s="20">
        <f>SUMIF(I$12:AB$12,"总值",I15:AB15)</f>
        <v>1620.9599999999998</v>
      </c>
      <c r="I15" s="2207">
        <v>1620.9599999999998</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办公</v>
      </c>
      <c r="AX15" s="11" t="str">
        <f t="shared" si="6"/>
        <v>4层</v>
      </c>
      <c r="AY15" s="1803">
        <f>ROUND($AY$6*AZ15/$AZ$5,2)</f>
        <v>0</v>
      </c>
      <c r="AZ15" s="16">
        <f>BA15+BL15</f>
        <v>1620.9599999999998</v>
      </c>
      <c r="BA15" s="16">
        <f>SUM(BB15:BK15)</f>
        <v>1620.9599999999998</v>
      </c>
      <c r="BB15" s="16">
        <f>IF($D15="是",I15-J15,0)</f>
        <v>1620.9599999999998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4.25" customHeight="1">
      <c r="A16" s="1270"/>
      <c r="B16" s="1270" t="s">
        <v>27</v>
      </c>
      <c r="C16" s="2950" t="s">
        <v>3242</v>
      </c>
      <c r="D16" s="2206" t="s">
        <v>3107</v>
      </c>
      <c r="E16" s="16">
        <f>IF($C$3="是",ROUND($A$3*G16/$B$3,2),ROUND($A$3*(G16-AT16)/$B$3,2))</f>
        <v>0</v>
      </c>
      <c r="F16" s="32"/>
      <c r="G16" s="33">
        <f>H16+AC16+AT16</f>
        <v>1620.9599999999998</v>
      </c>
      <c r="H16" s="20">
        <f>SUMIF(I$12:AB$12,"总值",I16:AB16)</f>
        <v>1620.9599999999998</v>
      </c>
      <c r="I16" s="2207">
        <v>1620.9599999999998</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办公</v>
      </c>
      <c r="AX16" s="11" t="str">
        <f t="shared" si="6"/>
        <v>5层</v>
      </c>
      <c r="AY16" s="1803">
        <f>ROUND($AY$6*AZ16/$AZ$5,2)</f>
        <v>0</v>
      </c>
      <c r="AZ16" s="16">
        <f>BA16+BL16</f>
        <v>1620.9599999999998</v>
      </c>
      <c r="BA16" s="16">
        <f>SUM(BB16:BK16)</f>
        <v>1620.9599999999998</v>
      </c>
      <c r="BB16" s="16">
        <f>IF($D16="是",I16-J16,0)</f>
        <v>1620.9599999999998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4.25" customHeight="1">
      <c r="A17" s="1270"/>
      <c r="B17" s="1270" t="s">
        <v>27</v>
      </c>
      <c r="C17" s="2950" t="s">
        <v>3243</v>
      </c>
      <c r="D17" s="2206" t="s">
        <v>3107</v>
      </c>
      <c r="E17" s="16">
        <f>IF($C$3="是",ROUND($A$3*G17/$B$3,2),ROUND($A$3*(G17-AT17)/$B$3,2))</f>
        <v>0</v>
      </c>
      <c r="F17" s="32"/>
      <c r="G17" s="33">
        <f>H17+AC17+AT17</f>
        <v>1620.9599999999998</v>
      </c>
      <c r="H17" s="20">
        <f>SUMIF(I$12:AB$12,"总值",I17:AB17)</f>
        <v>1620.9599999999998</v>
      </c>
      <c r="I17" s="2207">
        <v>1620.9599999999998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办公</v>
      </c>
      <c r="AX17" s="11" t="str">
        <f t="shared" si="6"/>
        <v>6层</v>
      </c>
      <c r="AY17" s="1803">
        <f>ROUND($AY$6*AZ17/$AZ$5,2)</f>
        <v>0</v>
      </c>
      <c r="AZ17" s="16">
        <f>BA17+BL17</f>
        <v>1620.9599999999998</v>
      </c>
      <c r="BA17" s="16">
        <f>SUM(BB17:BK17)</f>
        <v>1620.9599999999998</v>
      </c>
      <c r="BB17" s="16">
        <f>IF($D17="是",I17-J17,0)</f>
        <v>1620.9599999999998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1270" t="s">
        <v>27</v>
      </c>
      <c r="C18" s="2950" t="s">
        <v>3244</v>
      </c>
      <c r="D18" s="2206" t="s">
        <v>3107</v>
      </c>
      <c r="E18" s="35">
        <f t="shared" ref="E18:E112" si="7">IF($C$3="是",ROUND($A$3*G18/$B$3,2),ROUND($A$3*(G18-AT18)/$B$3,2))</f>
        <v>0</v>
      </c>
      <c r="F18" s="36"/>
      <c r="G18" s="37">
        <f t="shared" ref="G18:G109" si="8">H18+AC18+AT18</f>
        <v>1620.9599999999998</v>
      </c>
      <c r="H18" s="38">
        <f t="shared" ref="H18:H109" si="9">SUMIF(I$12:AB$12,"总值",I18:AB18)</f>
        <v>1620.9599999999998</v>
      </c>
      <c r="I18" s="2207">
        <v>1620.9599999999998</v>
      </c>
      <c r="J18" s="2207"/>
      <c r="K18" s="2207"/>
      <c r="L18" s="2207"/>
      <c r="M18" s="2207"/>
      <c r="N18" s="2207"/>
      <c r="O18" s="2207"/>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08"/>
      <c r="AM18" s="2208"/>
      <c r="AN18" s="2208"/>
      <c r="AO18" s="40"/>
      <c r="AP18" s="40"/>
      <c r="AQ18" s="40"/>
      <c r="AR18" s="40"/>
      <c r="AS18" s="40"/>
      <c r="AT18" s="41"/>
      <c r="AU18" s="2212"/>
      <c r="AV18" s="1792">
        <f t="shared" ref="AV18:AV112" si="11">A18</f>
        <v>0</v>
      </c>
      <c r="AW18" s="1792" t="str">
        <f t="shared" ref="AW18:AW112" si="12">B18</f>
        <v>办公</v>
      </c>
      <c r="AX18" s="1792" t="str">
        <f t="shared" ref="AX18:AX112" si="13">C18</f>
        <v>7层</v>
      </c>
      <c r="AY18" s="42">
        <f t="shared" ref="AY18:AY109" si="14">ROUND($AY$6*AZ18/$AZ$5,2)</f>
        <v>0</v>
      </c>
      <c r="AZ18" s="35">
        <f t="shared" ref="AZ18:AZ109" si="15">BA18+BL18</f>
        <v>1620.9599999999998</v>
      </c>
      <c r="BA18" s="35">
        <f t="shared" ref="BA18:BA109" si="16">SUM(BB18:BK18)</f>
        <v>1620.9599999999998</v>
      </c>
      <c r="BB18" s="35">
        <f t="shared" ref="BB18:BB109" si="17">IF($D18="是",I18-J18,0)</f>
        <v>1620.9599999999998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1270" t="s">
        <v>27</v>
      </c>
      <c r="C19" s="2950" t="s">
        <v>3245</v>
      </c>
      <c r="D19" s="2206" t="s">
        <v>3107</v>
      </c>
      <c r="E19" s="35">
        <f t="shared" si="7"/>
        <v>0</v>
      </c>
      <c r="F19" s="36"/>
      <c r="G19" s="37">
        <f t="shared" si="8"/>
        <v>1620.9599999999998</v>
      </c>
      <c r="H19" s="38">
        <f t="shared" si="9"/>
        <v>1620.9599999999998</v>
      </c>
      <c r="I19" s="2207">
        <v>1620.9599999999998</v>
      </c>
      <c r="J19" s="2207"/>
      <c r="K19" s="2207"/>
      <c r="L19" s="2207"/>
      <c r="M19" s="2207"/>
      <c r="N19" s="2207"/>
      <c r="O19" s="2207"/>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08"/>
      <c r="AM19" s="2208"/>
      <c r="AN19" s="2208"/>
      <c r="AO19" s="40"/>
      <c r="AP19" s="40"/>
      <c r="AQ19" s="40"/>
      <c r="AR19" s="40"/>
      <c r="AS19" s="40"/>
      <c r="AT19" s="41"/>
      <c r="AU19" s="2212"/>
      <c r="AV19" s="1792">
        <f t="shared" si="11"/>
        <v>0</v>
      </c>
      <c r="AW19" s="1792" t="str">
        <f t="shared" si="12"/>
        <v>办公</v>
      </c>
      <c r="AX19" s="1792" t="str">
        <f t="shared" si="13"/>
        <v>8层</v>
      </c>
      <c r="AY19" s="42">
        <f t="shared" si="14"/>
        <v>0</v>
      </c>
      <c r="AZ19" s="35">
        <f t="shared" si="15"/>
        <v>1620.9599999999998</v>
      </c>
      <c r="BA19" s="35">
        <f t="shared" si="16"/>
        <v>1620.9599999999998</v>
      </c>
      <c r="BB19" s="35">
        <f t="shared" si="17"/>
        <v>1620.9599999999998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1270" t="s">
        <v>27</v>
      </c>
      <c r="C20" s="2950" t="s">
        <v>3246</v>
      </c>
      <c r="D20" s="2206" t="s">
        <v>3107</v>
      </c>
      <c r="E20" s="35">
        <f t="shared" si="7"/>
        <v>0</v>
      </c>
      <c r="F20" s="36"/>
      <c r="G20" s="37">
        <f t="shared" si="8"/>
        <v>1532.1299999999997</v>
      </c>
      <c r="H20" s="38">
        <f t="shared" si="9"/>
        <v>1532.1299999999997</v>
      </c>
      <c r="I20" s="2207">
        <v>1532.1299999999997</v>
      </c>
      <c r="J20" s="2207"/>
      <c r="K20" s="2207"/>
      <c r="L20" s="2207"/>
      <c r="M20" s="2207"/>
      <c r="N20" s="2207"/>
      <c r="O20" s="2207"/>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2208"/>
      <c r="AM20" s="2208"/>
      <c r="AN20" s="2208"/>
      <c r="AO20" s="40"/>
      <c r="AP20" s="40"/>
      <c r="AQ20" s="40"/>
      <c r="AR20" s="40"/>
      <c r="AS20" s="40"/>
      <c r="AT20" s="41"/>
      <c r="AU20" s="2212"/>
      <c r="AV20" s="1792">
        <f t="shared" si="11"/>
        <v>0</v>
      </c>
      <c r="AW20" s="1792" t="str">
        <f t="shared" si="12"/>
        <v>办公</v>
      </c>
      <c r="AX20" s="1792" t="str">
        <f t="shared" si="13"/>
        <v>9层</v>
      </c>
      <c r="AY20" s="42">
        <f t="shared" si="14"/>
        <v>0</v>
      </c>
      <c r="AZ20" s="35">
        <f t="shared" si="15"/>
        <v>1532.1299999999997</v>
      </c>
      <c r="BA20" s="35">
        <f t="shared" si="16"/>
        <v>1532.1299999999997</v>
      </c>
      <c r="BB20" s="35">
        <f t="shared" si="17"/>
        <v>1532.1299999999997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70" t="s">
        <v>27</v>
      </c>
      <c r="C21" s="2950" t="s">
        <v>3247</v>
      </c>
      <c r="D21" s="2206" t="s">
        <v>3107</v>
      </c>
      <c r="E21" s="35">
        <f t="shared" si="7"/>
        <v>0</v>
      </c>
      <c r="F21" s="36"/>
      <c r="G21" s="37">
        <f t="shared" si="8"/>
        <v>1532.29</v>
      </c>
      <c r="H21" s="38">
        <f t="shared" si="9"/>
        <v>1532.29</v>
      </c>
      <c r="I21" s="2207">
        <v>1532.29</v>
      </c>
      <c r="J21" s="2207"/>
      <c r="K21" s="2207"/>
      <c r="L21" s="2207"/>
      <c r="M21" s="2207"/>
      <c r="N21" s="2207"/>
      <c r="O21" s="2207"/>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208"/>
      <c r="AM21" s="2208"/>
      <c r="AN21" s="2208"/>
      <c r="AO21" s="40"/>
      <c r="AP21" s="40"/>
      <c r="AQ21" s="40"/>
      <c r="AR21" s="40"/>
      <c r="AS21" s="40"/>
      <c r="AT21" s="41"/>
      <c r="AU21" s="2212"/>
      <c r="AV21" s="1792">
        <f t="shared" si="11"/>
        <v>0</v>
      </c>
      <c r="AW21" s="1792" t="str">
        <f t="shared" si="12"/>
        <v>办公</v>
      </c>
      <c r="AX21" s="1792" t="str">
        <f t="shared" si="13"/>
        <v>10层</v>
      </c>
      <c r="AY21" s="42">
        <f t="shared" si="14"/>
        <v>0</v>
      </c>
      <c r="AZ21" s="35">
        <f t="shared" si="15"/>
        <v>1532.29</v>
      </c>
      <c r="BA21" s="35">
        <f t="shared" si="16"/>
        <v>1532.29</v>
      </c>
      <c r="BB21" s="35">
        <f t="shared" si="17"/>
        <v>1532.29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70" t="s">
        <v>27</v>
      </c>
      <c r="C22" s="2950" t="s">
        <v>3248</v>
      </c>
      <c r="D22" s="2206" t="s">
        <v>3107</v>
      </c>
      <c r="E22" s="35">
        <f t="shared" si="7"/>
        <v>0</v>
      </c>
      <c r="F22" s="36"/>
      <c r="G22" s="37">
        <f t="shared" si="8"/>
        <v>1532.29</v>
      </c>
      <c r="H22" s="38">
        <f t="shared" si="9"/>
        <v>1532.29</v>
      </c>
      <c r="I22" s="2207">
        <v>1532.29</v>
      </c>
      <c r="J22" s="2207"/>
      <c r="K22" s="2207"/>
      <c r="L22" s="2207"/>
      <c r="M22" s="2207"/>
      <c r="N22" s="2207"/>
      <c r="O22" s="2207"/>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2208"/>
      <c r="AM22" s="2208"/>
      <c r="AN22" s="2208"/>
      <c r="AO22" s="40"/>
      <c r="AP22" s="40"/>
      <c r="AQ22" s="40"/>
      <c r="AR22" s="40"/>
      <c r="AS22" s="40"/>
      <c r="AT22" s="41"/>
      <c r="AU22" s="2212"/>
      <c r="AV22" s="1792">
        <f t="shared" si="11"/>
        <v>0</v>
      </c>
      <c r="AW22" s="1792" t="str">
        <f t="shared" si="12"/>
        <v>办公</v>
      </c>
      <c r="AX22" s="1792" t="str">
        <f t="shared" si="13"/>
        <v>11层</v>
      </c>
      <c r="AY22" s="42">
        <f t="shared" si="14"/>
        <v>0</v>
      </c>
      <c r="AZ22" s="35">
        <f t="shared" si="15"/>
        <v>1532.29</v>
      </c>
      <c r="BA22" s="35">
        <f t="shared" si="16"/>
        <v>1532.29</v>
      </c>
      <c r="BB22" s="35">
        <f t="shared" si="17"/>
        <v>1532.29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0" t="s">
        <v>27</v>
      </c>
      <c r="C23" s="1270" t="s">
        <v>3249</v>
      </c>
      <c r="D23" s="2206" t="s">
        <v>3107</v>
      </c>
      <c r="E23" s="35">
        <f t="shared" si="7"/>
        <v>0</v>
      </c>
      <c r="F23" s="36"/>
      <c r="G23" s="37">
        <f t="shared" si="8"/>
        <v>1532.29</v>
      </c>
      <c r="H23" s="38">
        <f t="shared" si="9"/>
        <v>1532.29</v>
      </c>
      <c r="I23" s="2207">
        <v>1532.29</v>
      </c>
      <c r="J23" s="2207"/>
      <c r="K23" s="2207"/>
      <c r="L23" s="2207"/>
      <c r="M23" s="2207"/>
      <c r="N23" s="2207"/>
      <c r="O23" s="2207"/>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办公</v>
      </c>
      <c r="AX23" s="1792" t="str">
        <f t="shared" si="13"/>
        <v>12层</v>
      </c>
      <c r="AY23" s="42">
        <f t="shared" si="14"/>
        <v>0</v>
      </c>
      <c r="AZ23" s="35">
        <f t="shared" si="15"/>
        <v>1532.29</v>
      </c>
      <c r="BA23" s="35">
        <f t="shared" si="16"/>
        <v>1532.29</v>
      </c>
      <c r="BB23" s="35">
        <f t="shared" si="17"/>
        <v>1532.29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0" t="s">
        <v>27</v>
      </c>
      <c r="C24" s="1270" t="s">
        <v>3250</v>
      </c>
      <c r="D24" s="2206" t="s">
        <v>3107</v>
      </c>
      <c r="E24" s="35">
        <f t="shared" si="7"/>
        <v>0</v>
      </c>
      <c r="F24" s="36"/>
      <c r="G24" s="37">
        <f t="shared" si="8"/>
        <v>1434.4800000000002</v>
      </c>
      <c r="H24" s="38">
        <f t="shared" si="9"/>
        <v>1434.4800000000002</v>
      </c>
      <c r="I24" s="2207">
        <v>1434.4800000000002</v>
      </c>
      <c r="J24" s="2207"/>
      <c r="K24" s="2207"/>
      <c r="L24" s="2207"/>
      <c r="M24" s="2207"/>
      <c r="N24" s="2207"/>
      <c r="O24" s="2207"/>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办公</v>
      </c>
      <c r="AX24" s="1792" t="str">
        <f t="shared" si="13"/>
        <v>13层</v>
      </c>
      <c r="AY24" s="42">
        <f t="shared" si="14"/>
        <v>0</v>
      </c>
      <c r="AZ24" s="35">
        <f t="shared" si="15"/>
        <v>1434.4800000000002</v>
      </c>
      <c r="BA24" s="35">
        <f t="shared" si="16"/>
        <v>1434.4800000000002</v>
      </c>
      <c r="BB24" s="35">
        <f t="shared" si="17"/>
        <v>1434.4800000000002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0" t="s">
        <v>1377</v>
      </c>
      <c r="C25" s="1270" t="s">
        <v>3251</v>
      </c>
      <c r="D25" s="2206" t="s">
        <v>3107</v>
      </c>
      <c r="E25" s="35">
        <f t="shared" si="7"/>
        <v>0</v>
      </c>
      <c r="F25" s="36"/>
      <c r="G25" s="37">
        <f t="shared" si="8"/>
        <v>2017.1399999999996</v>
      </c>
      <c r="H25" s="38">
        <f t="shared" si="9"/>
        <v>2017.1399999999996</v>
      </c>
      <c r="I25" s="2207"/>
      <c r="J25" s="2207"/>
      <c r="K25" s="2207">
        <v>2017.1399999999996</v>
      </c>
      <c r="L25" s="2207"/>
      <c r="M25" s="2207"/>
      <c r="N25" s="2207"/>
      <c r="O25" s="2207"/>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商业</v>
      </c>
      <c r="AX25" s="1792" t="str">
        <f t="shared" si="13"/>
        <v>地下-1层</v>
      </c>
      <c r="AY25" s="42">
        <f t="shared" si="14"/>
        <v>0</v>
      </c>
      <c r="AZ25" s="35">
        <f t="shared" si="15"/>
        <v>2017.1399999999996</v>
      </c>
      <c r="BA25" s="35">
        <f t="shared" si="16"/>
        <v>2017.1399999999996</v>
      </c>
      <c r="BB25" s="35">
        <f t="shared" si="17"/>
        <v>0</v>
      </c>
      <c r="BC25" s="35">
        <f t="shared" si="18"/>
        <v>2017.1399999999996</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t="s">
        <v>3252</v>
      </c>
      <c r="C26" s="2950" t="s">
        <v>3251</v>
      </c>
      <c r="D26" s="2206" t="s">
        <v>3107</v>
      </c>
      <c r="E26" s="35">
        <f t="shared" si="7"/>
        <v>0</v>
      </c>
      <c r="F26" s="36"/>
      <c r="G26" s="37">
        <f t="shared" si="8"/>
        <v>3184.2</v>
      </c>
      <c r="H26" s="38">
        <f t="shared" si="9"/>
        <v>3184.2</v>
      </c>
      <c r="I26" s="2207"/>
      <c r="J26" s="2207"/>
      <c r="K26" s="2207"/>
      <c r="L26" s="2207"/>
      <c r="M26" s="2207">
        <v>3184.2</v>
      </c>
      <c r="N26" s="2207"/>
      <c r="O26" s="2207"/>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t="str">
        <f t="shared" si="12"/>
        <v>车库</v>
      </c>
      <c r="AX26" s="1792" t="str">
        <f t="shared" si="13"/>
        <v>地下-1层</v>
      </c>
      <c r="AY26" s="42">
        <f t="shared" si="14"/>
        <v>0</v>
      </c>
      <c r="AZ26" s="35">
        <f t="shared" si="15"/>
        <v>3184.2</v>
      </c>
      <c r="BA26" s="35">
        <f t="shared" si="16"/>
        <v>3184.2</v>
      </c>
      <c r="BB26" s="35">
        <f t="shared" si="17"/>
        <v>0</v>
      </c>
      <c r="BC26" s="35">
        <f t="shared" si="18"/>
        <v>0</v>
      </c>
      <c r="BD26" s="35">
        <f t="shared" si="19"/>
        <v>3184.2</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06"/>
      <c r="E27" s="35">
        <f t="shared" si="7"/>
        <v>0</v>
      </c>
      <c r="F27" s="36"/>
      <c r="G27" s="37">
        <f t="shared" si="8"/>
        <v>0</v>
      </c>
      <c r="H27" s="38">
        <f t="shared" si="9"/>
        <v>0</v>
      </c>
      <c r="I27" s="2207"/>
      <c r="J27" s="2207"/>
      <c r="K27" s="2207"/>
      <c r="L27" s="2207"/>
      <c r="M27" s="2207"/>
      <c r="N27" s="2207"/>
      <c r="O27" s="2207"/>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2207"/>
      <c r="J28" s="2207"/>
      <c r="K28" s="2207"/>
      <c r="L28" s="2207"/>
      <c r="M28" s="2207"/>
      <c r="N28" s="2207"/>
      <c r="O28" s="2207"/>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6" sqref="K26"/>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90"/>
      <c r="C1" s="1390"/>
      <c r="D1" s="1390"/>
      <c r="E1" s="1390"/>
      <c r="F1" s="1390"/>
      <c r="G1" s="1390"/>
      <c r="H1" s="1390"/>
      <c r="I1" s="1390"/>
      <c r="J1" s="1390"/>
      <c r="K1" s="1390"/>
      <c r="L1" s="1390"/>
      <c r="M1" s="1390"/>
      <c r="N1" s="1390"/>
      <c r="O1" s="1390"/>
      <c r="P1" s="1390"/>
    </row>
    <row r="2" spans="1:16" ht="15">
      <c r="A2" s="3088" t="s">
        <v>1936</v>
      </c>
      <c r="B2" s="3088"/>
      <c r="C2" s="3088"/>
      <c r="D2" s="965" t="s">
        <v>1912</v>
      </c>
      <c r="E2" s="2220" t="s">
        <v>1913</v>
      </c>
      <c r="F2" s="1390"/>
      <c r="G2" s="2221"/>
      <c r="H2" s="2222"/>
      <c r="I2" s="2223" t="s">
        <v>1937</v>
      </c>
      <c r="J2" s="1390"/>
      <c r="K2" s="1390"/>
      <c r="L2" s="1390"/>
      <c r="M2" s="1390"/>
      <c r="N2" s="1425"/>
      <c r="O2" s="1390"/>
      <c r="P2" s="1390"/>
    </row>
    <row r="3" spans="1:16" ht="15.75" thickBot="1">
      <c r="A3" s="3089" t="s">
        <v>1910</v>
      </c>
      <c r="B3" s="3089"/>
      <c r="C3" s="3089"/>
      <c r="D3" s="46">
        <f>'数据-基础表'!AY6</f>
        <v>0</v>
      </c>
      <c r="E3" s="46">
        <f>'数据-基础表'!AZ5</f>
        <v>22318.329999999998</v>
      </c>
      <c r="F3" s="1390"/>
      <c r="G3" s="1397"/>
      <c r="H3" s="1245" t="s">
        <v>1911</v>
      </c>
      <c r="I3" s="55" t="e">
        <f>ROUND('数据-基础表'!B3/'数据-基础表'!A3,2)</f>
        <v>#DIV/0!</v>
      </c>
      <c r="J3" s="1390"/>
      <c r="K3" s="1390"/>
      <c r="L3" s="1390"/>
      <c r="M3" s="1390"/>
      <c r="N3" s="1425"/>
      <c r="O3" s="1390"/>
      <c r="P3" s="1390"/>
    </row>
    <row r="4" spans="1:16" ht="15">
      <c r="A4" s="3090"/>
      <c r="B4" s="3091"/>
      <c r="C4" s="3092"/>
      <c r="D4" s="2224" t="s">
        <v>1912</v>
      </c>
      <c r="E4" s="2225" t="s">
        <v>1913</v>
      </c>
      <c r="F4" s="1390"/>
      <c r="G4" s="2226" t="s">
        <v>1938</v>
      </c>
      <c r="H4" s="1245" t="s">
        <v>1918</v>
      </c>
      <c r="I4" s="55" t="e">
        <f>ROUND(SUMIF('数据-基础表'!I9:AS9,"地上",'数据-基础表'!I5:AS5)/'数据-基础表'!A3,2)</f>
        <v>#DIV/0!</v>
      </c>
      <c r="J4" s="1390"/>
      <c r="K4" s="1390"/>
      <c r="L4" s="1390"/>
      <c r="M4" s="1390"/>
      <c r="N4" s="1425"/>
      <c r="O4" s="1390"/>
      <c r="P4" s="1390"/>
    </row>
    <row r="5" spans="1:16">
      <c r="A5" s="47" t="s">
        <v>1914</v>
      </c>
      <c r="B5" s="3093" t="s">
        <v>1915</v>
      </c>
      <c r="C5" s="3093"/>
      <c r="D5" s="48">
        <f>ROUND($D$3*E5/$E$3,2)</f>
        <v>0</v>
      </c>
      <c r="E5" s="49">
        <f>SUMIF('数据-基础表'!$11:$11,"住宅",'数据-基础表'!$5:$5)</f>
        <v>0</v>
      </c>
      <c r="F5" s="1390"/>
      <c r="G5" s="1397"/>
      <c r="H5" s="1245" t="s">
        <v>1911</v>
      </c>
      <c r="I5" s="55" t="e">
        <f>ROUND(E31/D31,2)</f>
        <v>#DIV/0!</v>
      </c>
      <c r="J5" s="1390"/>
      <c r="K5" s="1390"/>
      <c r="L5" s="1390"/>
      <c r="M5" s="1390"/>
      <c r="N5" s="1390"/>
      <c r="O5" s="1390"/>
      <c r="P5" s="1390"/>
    </row>
    <row r="6" spans="1:16" ht="15" thickBot="1">
      <c r="A6" s="2227"/>
      <c r="B6" s="3093" t="s">
        <v>1916</v>
      </c>
      <c r="C6" s="3093"/>
      <c r="D6" s="48">
        <f>ROUND($D$3*E6/$E$3,2)</f>
        <v>0</v>
      </c>
      <c r="E6" s="49">
        <f>E3-E5</f>
        <v>22318.329999999998</v>
      </c>
      <c r="F6" s="1390"/>
      <c r="G6" s="2228" t="s">
        <v>1917</v>
      </c>
      <c r="H6" s="1397" t="s">
        <v>1918</v>
      </c>
      <c r="I6" s="937" t="e">
        <f>ROUND(F31/D31,2)</f>
        <v>#DIV/0!</v>
      </c>
      <c r="J6" s="1390"/>
      <c r="K6" s="1390"/>
      <c r="L6" s="1390"/>
      <c r="M6" s="1390"/>
      <c r="N6" s="1390"/>
      <c r="O6" s="1390"/>
      <c r="P6" s="1390"/>
    </row>
    <row r="7" spans="1:16" ht="15">
      <c r="A7" s="3085"/>
      <c r="B7" s="3086"/>
      <c r="C7" s="3087"/>
      <c r="D7" s="2224" t="s">
        <v>1912</v>
      </c>
      <c r="E7" s="2229" t="s">
        <v>1919</v>
      </c>
      <c r="F7" s="1390"/>
      <c r="G7" s="2221" t="s">
        <v>1920</v>
      </c>
      <c r="H7" s="64"/>
      <c r="I7" s="2962" t="e">
        <f>80480/'数据-基础表'!A3</f>
        <v>#DIV/0!</v>
      </c>
      <c r="J7" s="1390"/>
      <c r="K7" s="1390"/>
      <c r="L7" s="1390"/>
      <c r="M7" s="1390"/>
      <c r="N7" s="1390"/>
      <c r="O7" s="1390"/>
      <c r="P7" s="1390"/>
    </row>
    <row r="8" spans="1:16">
      <c r="A8" s="47" t="s">
        <v>1921</v>
      </c>
      <c r="B8" s="50" t="s">
        <v>1922</v>
      </c>
      <c r="C8" s="48" t="s">
        <v>1923</v>
      </c>
      <c r="D8" s="48">
        <f t="shared" ref="D8:D15" si="0">ROUND($D$3*E8/$E$3,2)</f>
        <v>0</v>
      </c>
      <c r="E8" s="51">
        <f>SUMIF('数据-基础表'!BB10:BK10,"地上",'数据-基础表'!BB5:BK5)</f>
        <v>17116.989999999998</v>
      </c>
      <c r="F8" s="1390"/>
      <c r="G8" s="2230"/>
      <c r="H8" s="2230"/>
      <c r="I8" s="1390"/>
      <c r="J8" s="1390"/>
      <c r="K8" s="1390"/>
      <c r="L8" s="1390"/>
      <c r="M8" s="1390"/>
      <c r="N8" s="1390"/>
      <c r="O8" s="1390"/>
      <c r="P8" s="1390"/>
    </row>
    <row r="9" spans="1:16">
      <c r="A9" s="2231"/>
      <c r="B9" s="2232"/>
      <c r="C9" s="48" t="s">
        <v>1924</v>
      </c>
      <c r="D9" s="48">
        <f t="shared" si="0"/>
        <v>0</v>
      </c>
      <c r="E9" s="52">
        <v>0</v>
      </c>
      <c r="F9" s="1390"/>
      <c r="G9" s="2230"/>
      <c r="H9" s="2230"/>
      <c r="I9" s="1390"/>
      <c r="J9" s="1390"/>
      <c r="K9" s="1390"/>
      <c r="L9" s="1390"/>
      <c r="M9" s="1390"/>
      <c r="N9" s="1390"/>
      <c r="O9" s="1390"/>
      <c r="P9" s="1390"/>
    </row>
    <row r="10" spans="1:16">
      <c r="A10" s="2231"/>
      <c r="B10" s="2232"/>
      <c r="C10" s="48" t="s">
        <v>1933</v>
      </c>
      <c r="D10" s="48">
        <f t="shared" si="0"/>
        <v>0</v>
      </c>
      <c r="E10" s="51">
        <f>SUMPRODUCT(('数据-基础表'!BB10:BK10="地下")*('数据-基础表'!BB11:BK11="商业")*('数据-基础表'!BB5:BK5))</f>
        <v>2017.1399999999996</v>
      </c>
      <c r="F10" s="1390"/>
      <c r="G10" s="2230"/>
      <c r="H10" s="2230"/>
      <c r="I10" s="1390"/>
      <c r="J10" s="1390"/>
      <c r="K10" s="1390"/>
      <c r="L10" s="1390"/>
      <c r="M10" s="1390"/>
      <c r="N10" s="1390"/>
      <c r="O10" s="1390"/>
      <c r="P10" s="1390"/>
    </row>
    <row r="11" spans="1:16">
      <c r="A11" s="2231"/>
      <c r="B11" s="2232"/>
      <c r="C11" s="48" t="s">
        <v>1925</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1926</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1927</v>
      </c>
      <c r="D13" s="48">
        <f t="shared" si="0"/>
        <v>0</v>
      </c>
      <c r="E13" s="51">
        <f>SUMPRODUCT(('数据-基础表'!BB10:BK10="地下")*('数据-基础表'!BB11:BK11="车库")*('数据-基础表'!BB5:BK5))</f>
        <v>3184.2</v>
      </c>
      <c r="F13" s="1390"/>
      <c r="G13" s="2230"/>
      <c r="H13" s="2230"/>
      <c r="I13" s="1390"/>
      <c r="J13" s="1390"/>
      <c r="K13" s="1390"/>
      <c r="L13" s="1390"/>
      <c r="M13" s="1390"/>
      <c r="N13" s="1390"/>
      <c r="O13" s="1390"/>
      <c r="P13" s="1390"/>
    </row>
    <row r="14" spans="1:16">
      <c r="A14" s="2231"/>
      <c r="B14" s="2232"/>
      <c r="C14" s="48" t="s">
        <v>1939</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1934</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1928</v>
      </c>
      <c r="D16" s="50">
        <f>SUM(D8:D15)</f>
        <v>0</v>
      </c>
      <c r="E16" s="53">
        <f>SUM(E8:E15)</f>
        <v>22318.329999999998</v>
      </c>
      <c r="F16" s="1390"/>
      <c r="G16" s="2230"/>
      <c r="H16" s="2233" t="s">
        <v>1940</v>
      </c>
      <c r="I16" s="2234"/>
      <c r="J16" s="1390"/>
      <c r="K16" s="3082" t="s">
        <v>1940</v>
      </c>
      <c r="L16" s="3083"/>
      <c r="M16" s="3083"/>
      <c r="N16" s="3083"/>
      <c r="O16" s="3083"/>
      <c r="P16" s="3084"/>
    </row>
    <row r="17" spans="1:19" ht="15">
      <c r="A17" s="2235" t="s">
        <v>1941</v>
      </c>
      <c r="B17" s="2236" t="s">
        <v>1942</v>
      </c>
      <c r="C17" s="2237" t="s">
        <v>1943</v>
      </c>
      <c r="D17" s="2238" t="s">
        <v>1931</v>
      </c>
      <c r="E17" s="2239" t="s">
        <v>1932</v>
      </c>
      <c r="F17" s="2240"/>
      <c r="G17" s="2241"/>
      <c r="H17" s="2242" t="s">
        <v>1944</v>
      </c>
      <c r="I17" s="2243" t="s">
        <v>1929</v>
      </c>
      <c r="J17" s="1390"/>
      <c r="K17" s="3079" t="s">
        <v>1945</v>
      </c>
      <c r="L17" s="3080"/>
      <c r="M17" s="3081"/>
      <c r="N17" s="3079" t="s">
        <v>1946</v>
      </c>
      <c r="O17" s="3080"/>
      <c r="P17" s="3081"/>
      <c r="R17" s="2221" t="s">
        <v>1947</v>
      </c>
      <c r="S17" s="64"/>
    </row>
    <row r="18" spans="1:19" ht="15">
      <c r="A18" s="2231"/>
      <c r="B18" s="2244"/>
      <c r="C18" s="2245"/>
      <c r="D18" s="2246"/>
      <c r="E18" s="2247" t="s">
        <v>1948</v>
      </c>
      <c r="F18" s="2248" t="s">
        <v>1949</v>
      </c>
      <c r="G18" s="2249" t="s">
        <v>1950</v>
      </c>
      <c r="H18" s="1260" t="s">
        <v>1951</v>
      </c>
      <c r="I18" s="2250" t="s">
        <v>1952</v>
      </c>
      <c r="J18" s="1390"/>
      <c r="K18" s="1260" t="s">
        <v>1953</v>
      </c>
      <c r="L18" s="2251" t="s">
        <v>1954</v>
      </c>
      <c r="M18" s="1044" t="s">
        <v>1955</v>
      </c>
      <c r="N18" s="1260" t="s">
        <v>1953</v>
      </c>
      <c r="O18" s="2251" t="s">
        <v>1954</v>
      </c>
      <c r="P18" s="1044" t="s">
        <v>1955</v>
      </c>
      <c r="R18" s="1245" t="s">
        <v>1956</v>
      </c>
      <c r="S18" s="1245" t="s">
        <v>1957</v>
      </c>
    </row>
    <row r="19" spans="1:19">
      <c r="A19" s="2252"/>
      <c r="B19" s="50" t="s">
        <v>1930</v>
      </c>
      <c r="C19" s="2951" t="s">
        <v>3255</v>
      </c>
      <c r="D19" s="48">
        <f>ROUND($D$3*E19/$E$3,2)</f>
        <v>0</v>
      </c>
      <c r="E19" s="56">
        <f t="shared" ref="E19:E26" si="1">SUM(F19:G19)</f>
        <v>17116.989999999998</v>
      </c>
      <c r="F19" s="57">
        <f>'数据-基础表'!I5</f>
        <v>17116.989999999998</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3"/>
      <c r="O19" s="2254"/>
      <c r="P19" s="1401">
        <f>N19+O19</f>
        <v>0</v>
      </c>
      <c r="R19" s="1245">
        <f t="shared" ref="R19:S26" si="5">D19+H19</f>
        <v>0</v>
      </c>
      <c r="S19" s="1246">
        <f t="shared" si="5"/>
        <v>17116.989999999998</v>
      </c>
    </row>
    <row r="20" spans="1:19">
      <c r="A20" s="2255"/>
      <c r="B20" s="50" t="s">
        <v>1958</v>
      </c>
      <c r="C20" s="2951" t="s">
        <v>3256</v>
      </c>
      <c r="D20" s="48">
        <f t="shared" ref="D20:D26" si="6">ROUND($D$3*E20/$E$3,2)</f>
        <v>0</v>
      </c>
      <c r="E20" s="56">
        <f t="shared" si="1"/>
        <v>2017.1399999999996</v>
      </c>
      <c r="F20" s="57">
        <f>'数据-基础表'!K13</f>
        <v>0</v>
      </c>
      <c r="G20" s="58">
        <f>'数据-基础表'!K5</f>
        <v>2017.1399999999996</v>
      </c>
      <c r="H20" s="722">
        <f t="shared" ref="H20:H26" si="7">ROUND($D$3*I20/$E$3,2)</f>
        <v>0</v>
      </c>
      <c r="I20" s="51">
        <f t="shared" si="2"/>
        <v>0</v>
      </c>
      <c r="J20" s="1390"/>
      <c r="K20" s="1389">
        <f t="shared" si="3"/>
        <v>0</v>
      </c>
      <c r="L20" s="1245">
        <f t="shared" si="4"/>
        <v>0</v>
      </c>
      <c r="M20" s="1401">
        <f t="shared" ref="M20:M26" si="8">K20+L20</f>
        <v>0</v>
      </c>
      <c r="N20" s="2253"/>
      <c r="O20" s="2254"/>
      <c r="P20" s="1401">
        <f t="shared" ref="P20:P26" si="9">N20+O20</f>
        <v>0</v>
      </c>
      <c r="R20" s="1245">
        <f t="shared" si="5"/>
        <v>0</v>
      </c>
      <c r="S20" s="1246">
        <f t="shared" si="5"/>
        <v>2017.1399999999996</v>
      </c>
    </row>
    <row r="21" spans="1:19">
      <c r="A21" s="2255"/>
      <c r="B21" s="50" t="s">
        <v>1958</v>
      </c>
      <c r="C21" s="2951" t="s">
        <v>3257</v>
      </c>
      <c r="D21" s="48">
        <f t="shared" si="6"/>
        <v>0</v>
      </c>
      <c r="E21" s="56">
        <f t="shared" si="1"/>
        <v>3184.2</v>
      </c>
      <c r="F21" s="57">
        <f>'数据-基础表'!M15</f>
        <v>0</v>
      </c>
      <c r="G21" s="58">
        <f>'数据-基础表'!M5</f>
        <v>3184.2</v>
      </c>
      <c r="H21" s="722">
        <f t="shared" si="7"/>
        <v>0</v>
      </c>
      <c r="I21" s="51">
        <f t="shared" si="2"/>
        <v>0</v>
      </c>
      <c r="J21" s="1390"/>
      <c r="K21" s="1389">
        <f t="shared" si="3"/>
        <v>0</v>
      </c>
      <c r="L21" s="1245">
        <f t="shared" si="4"/>
        <v>0</v>
      </c>
      <c r="M21" s="1401">
        <f t="shared" si="8"/>
        <v>0</v>
      </c>
      <c r="N21" s="2253"/>
      <c r="O21" s="2254"/>
      <c r="P21" s="1401">
        <f t="shared" si="9"/>
        <v>0</v>
      </c>
      <c r="R21" s="1245">
        <f t="shared" si="5"/>
        <v>0</v>
      </c>
      <c r="S21" s="1246">
        <f t="shared" si="5"/>
        <v>3184.2</v>
      </c>
    </row>
    <row r="22" spans="1:19">
      <c r="A22" s="2255"/>
      <c r="B22" s="50" t="s">
        <v>1958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3"/>
      <c r="O22" s="2254"/>
      <c r="P22" s="1401">
        <f t="shared" si="9"/>
        <v>0</v>
      </c>
      <c r="R22" s="1245">
        <f t="shared" si="5"/>
        <v>0</v>
      </c>
      <c r="S22" s="1246">
        <f t="shared" si="5"/>
        <v>0</v>
      </c>
    </row>
    <row r="23" spans="1:19">
      <c r="A23" s="2255"/>
      <c r="B23" s="50" t="s">
        <v>1958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3"/>
      <c r="O23" s="2254"/>
      <c r="P23" s="1401">
        <f t="shared" si="9"/>
        <v>0</v>
      </c>
      <c r="R23" s="1245">
        <f t="shared" si="5"/>
        <v>0</v>
      </c>
      <c r="S23" s="1246">
        <f t="shared" si="5"/>
        <v>0</v>
      </c>
    </row>
    <row r="24" spans="1:19">
      <c r="A24" s="2255"/>
      <c r="B24" s="50" t="s">
        <v>1958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3"/>
      <c r="O24" s="2254"/>
      <c r="P24" s="1401">
        <f t="shared" si="9"/>
        <v>0</v>
      </c>
      <c r="R24" s="1245">
        <f t="shared" si="5"/>
        <v>0</v>
      </c>
      <c r="S24" s="1246">
        <f t="shared" si="5"/>
        <v>0</v>
      </c>
    </row>
    <row r="25" spans="1:19">
      <c r="A25" s="2255"/>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3"/>
      <c r="O25" s="2254"/>
      <c r="P25" s="1401">
        <f t="shared" si="9"/>
        <v>0</v>
      </c>
      <c r="R25" s="1245">
        <f t="shared" si="5"/>
        <v>0</v>
      </c>
      <c r="S25" s="1246">
        <f t="shared" si="5"/>
        <v>0</v>
      </c>
    </row>
    <row r="26" spans="1:19">
      <c r="A26" s="2255"/>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6"/>
      <c r="O26" s="2257"/>
      <c r="P26" s="67">
        <f t="shared" si="9"/>
        <v>0</v>
      </c>
      <c r="R26" s="1245">
        <f t="shared" si="5"/>
        <v>0</v>
      </c>
      <c r="S26" s="1246">
        <f t="shared" si="5"/>
        <v>0</v>
      </c>
    </row>
    <row r="27" spans="1:19" ht="15.75" thickBot="1">
      <c r="A27" s="2255"/>
      <c r="B27" s="48"/>
      <c r="C27" s="2258" t="s">
        <v>1959</v>
      </c>
      <c r="D27" s="1391">
        <f>SUM(D19:D26)</f>
        <v>0</v>
      </c>
      <c r="E27" s="1392">
        <f>IF(SUM(E19:E26)='数据-基础表'!BA5,SUM(E19:E26),IF(F27="地上面积有误","面积有误","地下面积有误"))</f>
        <v>22318.329999999998</v>
      </c>
      <c r="F27" s="1391">
        <f>IF(SUM(F19:F26)=E8,SUM(F19:F26),"地上面积有误")</f>
        <v>17116.989999999998</v>
      </c>
      <c r="G27" s="1393">
        <f>SUM(G19:G26)</f>
        <v>5201.3399999999992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22318.329999999998</v>
      </c>
    </row>
    <row r="28" spans="1:19">
      <c r="A28" s="2255"/>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5"/>
      <c r="B29" s="50" t="s">
        <v>1960</v>
      </c>
      <c r="C29" s="2259"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5"/>
      <c r="B30" s="50"/>
      <c r="C30" s="2260"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1"/>
      <c r="B31" s="2262"/>
      <c r="C31" s="1005" t="s">
        <v>1963</v>
      </c>
      <c r="D31" s="728">
        <f>D27+D30</f>
        <v>0</v>
      </c>
      <c r="E31" s="728">
        <f>E27+E30</f>
        <v>22318.329999999998</v>
      </c>
      <c r="F31" s="729">
        <f>F27+F30</f>
        <v>17116.989999999998</v>
      </c>
      <c r="G31" s="730">
        <f>G27+G30</f>
        <v>5201.3399999999992</v>
      </c>
      <c r="H31" s="1390"/>
      <c r="I31" s="1390"/>
      <c r="J31" s="1390"/>
      <c r="K31" s="1390"/>
      <c r="L31" s="1390"/>
      <c r="M31" s="1390"/>
      <c r="N31" s="1390"/>
      <c r="O31" s="1390"/>
      <c r="P31" s="1390"/>
    </row>
    <row r="32" spans="1:19">
      <c r="A32" s="2226"/>
      <c r="B32" s="2226" t="s">
        <v>1964</v>
      </c>
      <c r="C32" s="2226"/>
      <c r="D32" s="2226"/>
      <c r="E32" s="1272">
        <f>SUMIF(C19:C26,"*住宅*",E19:E26)</f>
        <v>0</v>
      </c>
      <c r="F32" s="2226"/>
      <c r="G32" s="2226"/>
      <c r="H32" s="1390"/>
      <c r="I32" s="1390"/>
      <c r="J32" s="1390"/>
      <c r="K32" s="1390"/>
      <c r="L32" s="1390"/>
      <c r="M32" s="1390"/>
      <c r="N32" s="1390"/>
      <c r="O32" s="1390"/>
      <c r="P32" s="1390"/>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3" width="7.25" style="2267" customWidth="1"/>
    <col min="34" max="34" width="9.625" style="2267" bestFit="1"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1965</v>
      </c>
      <c r="B1" s="731"/>
      <c r="C1" s="1578"/>
      <c r="D1" s="2265"/>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1966</v>
      </c>
      <c r="B2" s="1264">
        <f>项目基本情况!D3</f>
        <v>43539</v>
      </c>
      <c r="C2" s="2269"/>
      <c r="D2" s="2270"/>
      <c r="E2" s="2269"/>
      <c r="F2" s="2269"/>
      <c r="G2" s="2269"/>
      <c r="H2" s="2269"/>
      <c r="I2" s="2269"/>
      <c r="J2" s="2269"/>
      <c r="K2" s="1425"/>
      <c r="L2" s="1425"/>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5"/>
      <c r="L3" s="1425"/>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8" t="s">
        <v>1967</v>
      </c>
      <c r="B4" s="2273"/>
      <c r="C4" s="2274"/>
      <c r="D4" s="2275"/>
      <c r="E4" s="2274" t="s">
        <v>1968</v>
      </c>
      <c r="F4" s="2274"/>
      <c r="G4" s="2274"/>
      <c r="H4" s="2274"/>
      <c r="I4" s="2274"/>
      <c r="J4" s="2276"/>
      <c r="K4" s="2277"/>
      <c r="L4" s="2278"/>
      <c r="M4" s="2274"/>
      <c r="N4" s="2274" t="s">
        <v>1969</v>
      </c>
      <c r="O4" s="2274"/>
      <c r="P4" s="2274"/>
      <c r="Q4" s="2274"/>
      <c r="R4" s="2274"/>
      <c r="S4" s="2276"/>
      <c r="T4" s="2279" t="str">
        <f>'数据-汇总表'!I17</f>
        <v>按面积比例</v>
      </c>
      <c r="U4" s="2273" t="s">
        <v>1970</v>
      </c>
      <c r="V4" s="2274"/>
      <c r="W4" s="2274"/>
      <c r="X4" s="2274"/>
      <c r="Y4" s="2276"/>
      <c r="Z4" s="2237" t="s">
        <v>1971</v>
      </c>
      <c r="AA4" s="2237"/>
      <c r="AB4" s="2237"/>
      <c r="AC4" s="2237"/>
      <c r="AD4" s="2237"/>
      <c r="AE4" s="2235" t="s">
        <v>1972</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1973</v>
      </c>
      <c r="B5" s="2282" t="s">
        <v>1974</v>
      </c>
      <c r="C5" s="2283" t="s">
        <v>1975</v>
      </c>
      <c r="D5" s="2284" t="s">
        <v>1976</v>
      </c>
      <c r="E5" s="1266" t="s">
        <v>1977</v>
      </c>
      <c r="F5" s="2285" t="s">
        <v>1978</v>
      </c>
      <c r="G5" s="1266" t="s">
        <v>1979</v>
      </c>
      <c r="H5" s="1266" t="s">
        <v>1980</v>
      </c>
      <c r="I5" s="1266" t="s">
        <v>1981</v>
      </c>
      <c r="J5" s="2286" t="s">
        <v>1982</v>
      </c>
      <c r="K5" s="2287" t="s">
        <v>1983</v>
      </c>
      <c r="L5" s="2288" t="s">
        <v>1984</v>
      </c>
      <c r="M5" s="2289" t="s">
        <v>1985</v>
      </c>
      <c r="N5" s="2290" t="s">
        <v>3258</v>
      </c>
      <c r="O5" s="2288" t="s">
        <v>1986</v>
      </c>
      <c r="P5" s="2291" t="s">
        <v>1987</v>
      </c>
      <c r="Q5" s="69" t="s">
        <v>1988</v>
      </c>
      <c r="R5" s="2292" t="s">
        <v>1989</v>
      </c>
      <c r="S5" s="2293" t="s">
        <v>1990</v>
      </c>
      <c r="T5" s="2294" t="s">
        <v>1991</v>
      </c>
      <c r="U5" s="1265" t="s">
        <v>1992</v>
      </c>
      <c r="V5" s="1266" t="s">
        <v>1993</v>
      </c>
      <c r="W5" s="1266" t="s">
        <v>1994</v>
      </c>
      <c r="X5" s="71"/>
      <c r="Y5" s="70" t="s">
        <v>1995</v>
      </c>
      <c r="Z5" s="2295" t="s">
        <v>1992</v>
      </c>
      <c r="AA5" s="1266" t="s">
        <v>1993</v>
      </c>
      <c r="AB5" s="1266" t="s">
        <v>1994</v>
      </c>
      <c r="AC5" s="71"/>
      <c r="AD5" s="71" t="s">
        <v>1995</v>
      </c>
      <c r="AE5" s="1265" t="s">
        <v>1996</v>
      </c>
      <c r="AF5" s="1266" t="s">
        <v>1997</v>
      </c>
      <c r="AG5" s="70" t="s">
        <v>1998</v>
      </c>
      <c r="AH5" s="1265" t="s">
        <v>1999</v>
      </c>
      <c r="AI5" s="2295" t="s">
        <v>2000</v>
      </c>
      <c r="AJ5" s="2295" t="s">
        <v>2001</v>
      </c>
      <c r="AK5" s="1266" t="s">
        <v>2002</v>
      </c>
      <c r="AL5" s="1266" t="s">
        <v>2003</v>
      </c>
      <c r="AM5" s="70" t="s">
        <v>2004</v>
      </c>
      <c r="AN5" s="2296" t="s">
        <v>2005</v>
      </c>
      <c r="AO5" s="2067" t="s">
        <v>2006</v>
      </c>
      <c r="AP5" s="1247" t="s">
        <v>2007</v>
      </c>
      <c r="AQ5" s="2297" t="s">
        <v>2008</v>
      </c>
      <c r="AR5" s="2297"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8" t="str">
        <f>'数据-汇总表'!C19</f>
        <v>办公</v>
      </c>
      <c r="B6" s="2299" t="str">
        <f>IF(A6=0,"","经营性")</f>
        <v>经营性</v>
      </c>
      <c r="C6" s="2300" t="s">
        <v>27</v>
      </c>
      <c r="D6" s="1049">
        <f>SUMIF(项目基本情况!D$12:I$12,C6,项目基本情况!D$14:I$14)</f>
        <v>50</v>
      </c>
      <c r="E6" s="1046">
        <f>IF(B6="","",SUMIF(项目基本情况!D$12:I$12,C6,项目基本情况!D$13:I$13))</f>
        <v>58872</v>
      </c>
      <c r="F6" s="72">
        <f>SUMIF(项目基本情况!D$12:I$12,C6,项目基本情况!D$15:I$15)</f>
        <v>42</v>
      </c>
      <c r="G6" s="73">
        <f>IF(ISERROR(ROUND(POWER(1+H6,D6-F6)*(POWER(1+H6,F6)-1)/(POWER(1+H6,D6)-1),3)),0,ROUND(POWER(1+H6,D6-F6)*(POWER(1+H6,F6)-1)/(POWER(1+H6,D6)-1),3))</f>
        <v>0.95399999999999996</v>
      </c>
      <c r="H6" s="801">
        <v>0.05</v>
      </c>
      <c r="I6" s="801">
        <v>5.5E-2</v>
      </c>
      <c r="J6" s="74">
        <v>0.08</v>
      </c>
      <c r="K6" s="1249">
        <f>SUMIF('数据-汇总表'!C$19:C$33,A6,'数据-汇总表'!E$19:E$33)</f>
        <v>17116.989999999998</v>
      </c>
      <c r="L6" s="802">
        <v>3000</v>
      </c>
      <c r="M6" s="75">
        <f t="shared" ref="M6:M14" si="0">ROUND(K6*L6/10000,0)</f>
        <v>5135</v>
      </c>
      <c r="N6" s="2993">
        <v>0.95</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5</v>
      </c>
      <c r="V6" s="79">
        <v>0.03</v>
      </c>
      <c r="W6" s="79">
        <v>0.1</v>
      </c>
      <c r="X6" s="1259"/>
      <c r="Y6" s="80">
        <f>N6</f>
        <v>0.95</v>
      </c>
      <c r="Z6" s="81"/>
      <c r="AA6" s="74"/>
      <c r="AB6" s="74"/>
      <c r="AC6" s="1259"/>
      <c r="AD6" s="82"/>
      <c r="AE6" s="1260">
        <f ca="1">IF(AN6="",0,SUMIF(INDIRECT("'"&amp;AN6&amp;"'"&amp;"!E:E"),$AE$5,INDIRECT("'"&amp;AN6&amp;"'"&amp;"!F:F")))</f>
        <v>42</v>
      </c>
      <c r="AF6" s="1801"/>
      <c r="AG6" s="147">
        <f>IF(AF6="",0,AE6-AF6)</f>
        <v>0</v>
      </c>
      <c r="AH6" s="2994">
        <f>K6</f>
        <v>17116.989999999998</v>
      </c>
      <c r="AI6" s="85">
        <v>365</v>
      </c>
      <c r="AJ6" s="86"/>
      <c r="AK6" s="87">
        <v>1.4999999999999999E-2</v>
      </c>
      <c r="AL6" s="88">
        <v>1.5E-3</v>
      </c>
      <c r="AM6" s="89">
        <v>0.01</v>
      </c>
      <c r="AN6" s="2301" t="s">
        <v>3259</v>
      </c>
      <c r="AO6" s="55">
        <f ca="1">SUMIF(INDIRECT("'"&amp;AN6&amp;"'"&amp;"!A:A"),"总价",INDIRECT("'"&amp;AN6&amp;"'"&amp;"!B:B"))</f>
        <v>55225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地下商业</v>
      </c>
      <c r="B7" s="2299" t="str">
        <f t="shared" ref="B7:B13" si="1">IF(A7=0,"","经营性")</f>
        <v>经营性</v>
      </c>
      <c r="C7" s="2300" t="s">
        <v>1377</v>
      </c>
      <c r="D7" s="1049">
        <f>SUMIF(项目基本情况!D$12:I$12,C7,项目基本情况!D$14:I$14)</f>
        <v>40</v>
      </c>
      <c r="E7" s="1046">
        <f>IF(B7="","",SUMIF(项目基本情况!D$12:I$12,C7,项目基本情况!D$13:I$13))</f>
        <v>55219</v>
      </c>
      <c r="F7" s="72">
        <f>SUMIF(项目基本情况!D$12:I$12,C7,项目基本情况!D$15:I$15)</f>
        <v>32</v>
      </c>
      <c r="G7" s="73">
        <f t="shared" ref="G7:G11" si="2">IF(ISERROR(ROUND(POWER(1+H7,D7-F7)*(POWER(1+H7,F7)-1)/(POWER(1+H7,D7)-1),3)),0,ROUND(POWER(1+H7,D7-F7)*(POWER(1+H7,F7)-1)/(POWER(1+H7,D7)-1),3))</f>
        <v>0.92100000000000004</v>
      </c>
      <c r="H7" s="801">
        <v>0.05</v>
      </c>
      <c r="I7" s="801">
        <v>5.5E-2</v>
      </c>
      <c r="J7" s="74">
        <v>0.08</v>
      </c>
      <c r="K7" s="1249">
        <f>SUMIF('数据-汇总表'!C$19:C$33,A7,'数据-汇总表'!E$19:E$33)</f>
        <v>2017.1399999999996</v>
      </c>
      <c r="L7" s="802">
        <f>L6</f>
        <v>3000</v>
      </c>
      <c r="M7" s="75">
        <f t="shared" si="0"/>
        <v>605</v>
      </c>
      <c r="N7" s="800">
        <f>N6</f>
        <v>0.95</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f t="shared" ref="Y7:Y8" si="6">N7</f>
        <v>0.95</v>
      </c>
      <c r="Z7" s="81"/>
      <c r="AA7" s="74"/>
      <c r="AB7" s="74"/>
      <c r="AC7" s="1259"/>
      <c r="AD7" s="82"/>
      <c r="AE7" s="1260">
        <f t="shared" ref="AE7:AE13" ca="1" si="7">IF(AN7="",0,SUMIF(INDIRECT("'"&amp;AN7&amp;"'"&amp;"!E:E"),$AE$5,INDIRECT("'"&amp;AN7&amp;"'"&amp;"!F:F")))</f>
        <v>0</v>
      </c>
      <c r="AF7" s="1801"/>
      <c r="AG7" s="147">
        <f t="shared" ref="AG7:AG13" si="8">IF(AF7="",0,AE7-AF7)</f>
        <v>0</v>
      </c>
      <c r="AH7" s="83"/>
      <c r="AI7" s="85"/>
      <c r="AJ7" s="86"/>
      <c r="AK7" s="87"/>
      <c r="AL7" s="88"/>
      <c r="AM7" s="89"/>
      <c r="AN7" s="2301"/>
      <c r="AO7" s="55" t="e">
        <f t="shared" ref="AO7:AO13" ca="1" si="9">SUMIF(INDIRECT("'"&amp;AN7&amp;"'"&amp;"!A:A"),"总价",INDIRECT("'"&amp;AN7&amp;"'"&amp;"!B:B"))</f>
        <v>#REF!</v>
      </c>
      <c r="AP7" s="2302">
        <f t="shared" ref="AP7:AP13" si="10">IF(C7="住宅",K7*L7,0)</f>
        <v>0</v>
      </c>
      <c r="AQ7" s="55">
        <f t="shared" ref="AQ7:AQ13" si="11">ROUND($L$14*$N$14*S7/10000,0)</f>
        <v>0</v>
      </c>
      <c r="AR7" s="55">
        <f t="shared" ref="AR7:AR13" si="12">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c r="A8" s="2298" t="str">
        <f>'数据-汇总表'!C21</f>
        <v>地下车库</v>
      </c>
      <c r="B8" s="2299" t="str">
        <f t="shared" si="1"/>
        <v>经营性</v>
      </c>
      <c r="C8" s="2300" t="s">
        <v>3252</v>
      </c>
      <c r="D8" s="1049">
        <f>SUMIF(项目基本情况!D$12:I$12,C8,项目基本情况!D$14:I$14)</f>
        <v>50</v>
      </c>
      <c r="E8" s="1046">
        <f>IF(B8="","",SUMIF(项目基本情况!D$12:I$12,C8,项目基本情况!D$13:I$13))</f>
        <v>58872</v>
      </c>
      <c r="F8" s="72">
        <f>SUMIF(项目基本情况!D$12:I$12,C8,项目基本情况!D$15:I$15)</f>
        <v>42</v>
      </c>
      <c r="G8" s="73">
        <f t="shared" si="2"/>
        <v>0.94699999999999995</v>
      </c>
      <c r="H8" s="801">
        <v>4.4999999999999998E-2</v>
      </c>
      <c r="I8" s="801">
        <v>0.05</v>
      </c>
      <c r="J8" s="74">
        <v>0.08</v>
      </c>
      <c r="K8" s="1249">
        <f>SUMIF('数据-汇总表'!C$19:C$33,A8,'数据-汇总表'!E$19:E$33)</f>
        <v>3184.2</v>
      </c>
      <c r="L8" s="802">
        <f>L6</f>
        <v>3000</v>
      </c>
      <c r="M8" s="75">
        <f>ROUND(K8*L8/10000,0)</f>
        <v>955</v>
      </c>
      <c r="N8" s="800">
        <f>N6</f>
        <v>0.95</v>
      </c>
      <c r="O8" s="75" t="str">
        <f t="shared" si="3"/>
        <v>——</v>
      </c>
      <c r="P8" s="76" t="str">
        <f t="shared" si="4"/>
        <v>——</v>
      </c>
      <c r="Q8" s="803">
        <v>0.1</v>
      </c>
      <c r="R8" s="77">
        <f ca="1">SUMIF('数据-汇总表'!C$19:C$33,A8,'数据-汇总表'!R$19:R$27)</f>
        <v>0</v>
      </c>
      <c r="S8" s="54">
        <f>IF('数据-汇总表'!$I$17="按面积比例",SUMIF('数据-汇总表'!C$19:C$33,A8,'数据-汇总表'!K$19:K$33),SUMIF('数据-汇总表'!C$19:C$33,A8,'数据-汇总表'!N$19:N$33))</f>
        <v>0</v>
      </c>
      <c r="T8" s="1441">
        <f t="shared" si="5"/>
        <v>0</v>
      </c>
      <c r="U8" s="804">
        <v>1500</v>
      </c>
      <c r="V8" s="805">
        <v>0.03</v>
      </c>
      <c r="W8" s="805">
        <v>0.1</v>
      </c>
      <c r="X8" s="1259"/>
      <c r="Y8" s="80">
        <f t="shared" si="6"/>
        <v>0.95</v>
      </c>
      <c r="Z8" s="81"/>
      <c r="AA8" s="74"/>
      <c r="AB8" s="74"/>
      <c r="AC8" s="1259"/>
      <c r="AD8" s="82"/>
      <c r="AE8" s="1260">
        <f t="shared" ca="1" si="7"/>
        <v>42</v>
      </c>
      <c r="AF8" s="1801"/>
      <c r="AG8" s="147">
        <f t="shared" si="8"/>
        <v>0</v>
      </c>
      <c r="AH8" s="806">
        <v>77</v>
      </c>
      <c r="AI8" s="85">
        <v>12</v>
      </c>
      <c r="AJ8" s="86"/>
      <c r="AK8" s="87">
        <v>1.4999999999999999E-2</v>
      </c>
      <c r="AL8" s="88">
        <v>1.5E-3</v>
      </c>
      <c r="AM8" s="89">
        <v>0.01</v>
      </c>
      <c r="AN8" s="2301" t="s">
        <v>3262</v>
      </c>
      <c r="AO8" s="55">
        <f t="shared" ca="1" si="9"/>
        <v>2327</v>
      </c>
      <c r="AP8" s="2302">
        <f t="shared" si="10"/>
        <v>0</v>
      </c>
      <c r="AQ8" s="55">
        <f t="shared" si="11"/>
        <v>0</v>
      </c>
      <c r="AR8" s="55">
        <f t="shared" si="12"/>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c r="A9" s="2298">
        <f>'数据-汇总表'!C22</f>
        <v>0</v>
      </c>
      <c r="B9" s="2299" t="str">
        <f t="shared" si="1"/>
        <v/>
      </c>
      <c r="C9" s="230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7"/>
        <v>0</v>
      </c>
      <c r="AF9" s="1801"/>
      <c r="AG9" s="147">
        <f t="shared" si="8"/>
        <v>0</v>
      </c>
      <c r="AH9" s="83"/>
      <c r="AI9" s="85"/>
      <c r="AJ9" s="86"/>
      <c r="AK9" s="87"/>
      <c r="AL9" s="88"/>
      <c r="AM9" s="89"/>
      <c r="AN9" s="2301"/>
      <c r="AO9" s="55" t="e">
        <f t="shared" ca="1" si="9"/>
        <v>#REF!</v>
      </c>
      <c r="AP9" s="2302">
        <f t="shared" si="10"/>
        <v>0</v>
      </c>
      <c r="AQ9" s="55">
        <f t="shared" si="11"/>
        <v>0</v>
      </c>
      <c r="AR9" s="55">
        <f t="shared" si="12"/>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7"/>
        <v>0</v>
      </c>
      <c r="AF10" s="1801"/>
      <c r="AG10" s="147">
        <f t="shared" si="8"/>
        <v>0</v>
      </c>
      <c r="AH10" s="83"/>
      <c r="AI10" s="85"/>
      <c r="AJ10" s="86"/>
      <c r="AK10" s="87"/>
      <c r="AL10" s="88"/>
      <c r="AM10" s="89"/>
      <c r="AN10" s="2301"/>
      <c r="AO10" s="55" t="e">
        <f t="shared" ca="1" si="9"/>
        <v>#REF!</v>
      </c>
      <c r="AP10" s="2302">
        <f t="shared" si="10"/>
        <v>0</v>
      </c>
      <c r="AQ10" s="55">
        <f t="shared" si="11"/>
        <v>0</v>
      </c>
      <c r="AR10" s="55">
        <f t="shared" si="12"/>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7"/>
        <v>0</v>
      </c>
      <c r="AF11" s="1801"/>
      <c r="AG11" s="147">
        <f t="shared" si="8"/>
        <v>0</v>
      </c>
      <c r="AH11" s="83"/>
      <c r="AI11" s="85"/>
      <c r="AJ11" s="86"/>
      <c r="AK11" s="94"/>
      <c r="AL11" s="95"/>
      <c r="AM11" s="96"/>
      <c r="AN11" s="2301"/>
      <c r="AO11" s="55" t="e">
        <f t="shared" ca="1" si="9"/>
        <v>#REF!</v>
      </c>
      <c r="AP11" s="2302">
        <f t="shared" si="10"/>
        <v>0</v>
      </c>
      <c r="AQ11" s="55">
        <f t="shared" si="11"/>
        <v>0</v>
      </c>
      <c r="AR11" s="55">
        <f t="shared" si="12"/>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7"/>
        <v>0</v>
      </c>
      <c r="AF12" s="1801"/>
      <c r="AG12" s="147">
        <f t="shared" si="8"/>
        <v>0</v>
      </c>
      <c r="AH12" s="83"/>
      <c r="AI12" s="85"/>
      <c r="AJ12" s="86"/>
      <c r="AK12" s="94"/>
      <c r="AL12" s="95"/>
      <c r="AM12" s="96"/>
      <c r="AN12" s="2301"/>
      <c r="AO12" s="55" t="e">
        <f t="shared" ca="1" si="9"/>
        <v>#REF!</v>
      </c>
      <c r="AP12" s="2302">
        <f t="shared" si="10"/>
        <v>0</v>
      </c>
      <c r="AQ12" s="55">
        <f t="shared" si="11"/>
        <v>0</v>
      </c>
      <c r="AR12" s="55">
        <f t="shared" si="12"/>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7"/>
        <v>0</v>
      </c>
      <c r="AF13" s="1801"/>
      <c r="AG13" s="147">
        <f t="shared" si="8"/>
        <v>0</v>
      </c>
      <c r="AH13" s="83"/>
      <c r="AI13" s="85"/>
      <c r="AJ13" s="86"/>
      <c r="AK13" s="87"/>
      <c r="AL13" s="88"/>
      <c r="AM13" s="89"/>
      <c r="AN13" s="2301"/>
      <c r="AO13" s="55" t="e">
        <f t="shared" ca="1" si="9"/>
        <v>#REF!</v>
      </c>
      <c r="AP13" s="2302">
        <f t="shared" si="10"/>
        <v>0</v>
      </c>
      <c r="AQ13" s="55">
        <f t="shared" si="11"/>
        <v>0</v>
      </c>
      <c r="AR13" s="55">
        <f t="shared" si="12"/>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2010</v>
      </c>
      <c r="B14" s="2299" t="s">
        <v>2011</v>
      </c>
      <c r="C14" s="2304" t="s">
        <v>2010</v>
      </c>
      <c r="D14" s="1049"/>
      <c r="E14" s="1046"/>
      <c r="F14" s="72"/>
      <c r="G14" s="73"/>
      <c r="H14" s="1248"/>
      <c r="I14" s="1248"/>
      <c r="J14" s="1248"/>
      <c r="K14" s="1249">
        <f>SUMIF('数据-汇总表'!C$19:C$33,A14,'数据-汇总表'!E$19:E$33)</f>
        <v>0</v>
      </c>
      <c r="L14" s="91">
        <f>L8</f>
        <v>3000</v>
      </c>
      <c r="M14" s="75">
        <f t="shared" si="0"/>
        <v>0</v>
      </c>
      <c r="N14" s="92">
        <f>N6</f>
        <v>0.95</v>
      </c>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2"/>
      <c r="AJ14" s="772"/>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2012</v>
      </c>
      <c r="B15" s="2299" t="s">
        <v>2011</v>
      </c>
      <c r="C15" s="2304"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2"/>
      <c r="AJ15" s="772"/>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2014</v>
      </c>
      <c r="B16" s="97"/>
      <c r="C16" s="1003"/>
      <c r="D16" s="2306"/>
      <c r="E16" s="97"/>
      <c r="F16" s="97"/>
      <c r="G16" s="98">
        <f>ROUND(SUMPRODUCT(G6:G13,K6:K13)/SUMPRODUCT((G6:G13&gt;0)*(K6:K13)),3)</f>
        <v>0.95</v>
      </c>
      <c r="H16" s="99">
        <f>ROUND(SUMPRODUCT(H6:H13,K6:K13)/SUMPRODUCT((H6:H13&gt;0)*(K6:K13)),3)</f>
        <v>4.9000000000000002E-2</v>
      </c>
      <c r="I16" s="100"/>
      <c r="J16" s="100"/>
      <c r="K16" s="101">
        <f>SUM(K6:K15)</f>
        <v>22318.329999999998</v>
      </c>
      <c r="L16" s="102">
        <f>ROUND(M16*10000/SUM(K6:K14),0)</f>
        <v>3000</v>
      </c>
      <c r="M16" s="102">
        <f>SUM(M6:M14)</f>
        <v>6695</v>
      </c>
      <c r="N16" s="103">
        <f>ROUND(SUMPRODUCT(M6:M14,N6:N14)/M16,3)</f>
        <v>0.95</v>
      </c>
      <c r="O16" s="102">
        <f>SUM(O6:O14)</f>
        <v>0</v>
      </c>
      <c r="P16" s="102">
        <f>SUM(P6:P14)</f>
        <v>0</v>
      </c>
      <c r="Q16" s="104">
        <f>ROUND(SUMPRODUCT(Q6:Q13,K6:K13)/SUMPRODUCT((Q6:Q13&gt;0)*(K6:K13)),2)</f>
        <v>0.14000000000000001</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8"/>
      <c r="D17" s="2265"/>
      <c r="E17" s="2265"/>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2"/>
      <c r="C18" s="2269"/>
      <c r="D18" s="2270"/>
      <c r="E18" s="2269"/>
      <c r="F18" s="2269"/>
      <c r="G18" s="2269"/>
      <c r="H18" s="2269"/>
      <c r="I18" s="2269"/>
      <c r="J18" s="2269"/>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2016</v>
      </c>
      <c r="B19" s="112">
        <v>0</v>
      </c>
      <c r="C19" s="2269" t="s">
        <v>2017</v>
      </c>
      <c r="D19" s="2270"/>
      <c r="E19" s="2269"/>
      <c r="F19" s="2269"/>
      <c r="G19" s="2269"/>
      <c r="H19" s="2269"/>
      <c r="I19" s="2269"/>
      <c r="J19" s="2269"/>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2018</v>
      </c>
      <c r="B20" s="113">
        <v>2</v>
      </c>
      <c r="C20" s="2269" t="s">
        <v>2019</v>
      </c>
      <c r="D20" s="2270"/>
      <c r="E20" s="2269"/>
      <c r="F20" s="2269"/>
      <c r="G20" s="2269"/>
      <c r="H20" s="2269"/>
      <c r="I20" s="2269"/>
      <c r="J20" s="2269"/>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2020</v>
      </c>
      <c r="B21" s="113">
        <f>B20</f>
        <v>2</v>
      </c>
      <c r="C21" s="2269"/>
      <c r="D21" s="2270"/>
      <c r="E21" s="2269"/>
      <c r="F21" s="2269"/>
      <c r="G21" s="2269"/>
      <c r="H21" s="2269"/>
      <c r="I21" s="2269"/>
      <c r="J21" s="2269"/>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2021</v>
      </c>
      <c r="B22" s="114">
        <f>B19+B20</f>
        <v>2</v>
      </c>
      <c r="C22" s="2269"/>
      <c r="D22" s="2270"/>
      <c r="E22" s="2269"/>
      <c r="F22" s="2269"/>
      <c r="G22" s="2269"/>
      <c r="H22" s="2269"/>
      <c r="I22" s="2269"/>
      <c r="J22" s="2269"/>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2022</v>
      </c>
      <c r="B23" s="114">
        <f>B19+B21</f>
        <v>2</v>
      </c>
      <c r="C23" s="2269"/>
      <c r="D23" s="2270"/>
      <c r="E23" s="2269"/>
      <c r="F23" s="2269"/>
      <c r="G23" s="2269"/>
      <c r="H23" s="2269"/>
      <c r="I23" s="2269"/>
      <c r="J23" s="2269"/>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2023</v>
      </c>
      <c r="B24" s="115">
        <f>B20-B21</f>
        <v>0</v>
      </c>
      <c r="C24" s="2269"/>
      <c r="D24" s="2270"/>
      <c r="E24" s="2269"/>
      <c r="F24" s="2269"/>
      <c r="G24" s="2269"/>
      <c r="H24" s="2269"/>
      <c r="I24" s="2269"/>
      <c r="J24" s="2269"/>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2024</v>
      </c>
      <c r="B26" s="2312" t="s">
        <v>2025</v>
      </c>
      <c r="C26" s="2313" t="s">
        <v>2026</v>
      </c>
      <c r="D26" s="2270"/>
      <c r="E26" s="2269"/>
      <c r="F26" s="2269"/>
      <c r="G26" s="2269"/>
      <c r="H26" s="2269"/>
      <c r="I26" s="2269"/>
      <c r="J26" s="2269"/>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2027</v>
      </c>
      <c r="B27" s="116">
        <v>200</v>
      </c>
      <c r="C27" s="1761" t="s">
        <v>2028</v>
      </c>
      <c r="D27" s="2315"/>
      <c r="E27" s="1425"/>
      <c r="F27" s="1425"/>
      <c r="G27" s="2269"/>
      <c r="H27" s="2269"/>
      <c r="I27" s="2269"/>
      <c r="J27" s="2269"/>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2029</v>
      </c>
      <c r="B28" s="119">
        <v>200</v>
      </c>
      <c r="C28" s="2318"/>
      <c r="D28" s="2315"/>
      <c r="E28" s="1425"/>
      <c r="F28" s="1425"/>
      <c r="G28" s="2269"/>
      <c r="H28" s="2269"/>
      <c r="I28" s="2269"/>
      <c r="J28" s="2269"/>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2030</v>
      </c>
      <c r="B29" s="121">
        <f>B28*K16/10000</f>
        <v>446.36660000000001</v>
      </c>
      <c r="C29" s="1761" t="s">
        <v>2031</v>
      </c>
      <c r="D29" s="2315"/>
      <c r="E29" s="1425"/>
      <c r="F29" s="1425"/>
      <c r="G29" s="2269"/>
      <c r="H29" s="2269"/>
      <c r="I29" s="2269"/>
      <c r="J29" s="2269"/>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2032</v>
      </c>
      <c r="B30" s="723">
        <v>200</v>
      </c>
      <c r="C30" s="2318"/>
      <c r="D30" s="2315"/>
      <c r="E30" s="1425"/>
      <c r="F30" s="1425"/>
      <c r="G30" s="2269"/>
      <c r="H30" s="2269"/>
      <c r="I30" s="2269"/>
      <c r="J30" s="2269"/>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2033</v>
      </c>
      <c r="B31" s="120">
        <f>B30-B32</f>
        <v>200</v>
      </c>
      <c r="C31" s="1761"/>
      <c r="D31" s="2315"/>
      <c r="E31" s="1425"/>
      <c r="F31" s="1425"/>
      <c r="G31" s="2269"/>
      <c r="H31" s="2269"/>
      <c r="I31" s="2269"/>
      <c r="J31" s="2269"/>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2034</v>
      </c>
      <c r="B32" s="724">
        <v>0</v>
      </c>
      <c r="C32" s="2318"/>
      <c r="D32" s="2270"/>
      <c r="E32" s="2269"/>
      <c r="F32" s="2269"/>
      <c r="G32" s="2269"/>
      <c r="H32" s="2269"/>
      <c r="I32" s="2269"/>
      <c r="J32" s="2269"/>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2035</v>
      </c>
      <c r="B33" s="725">
        <v>0.03</v>
      </c>
      <c r="C33" s="1760" t="s">
        <v>2036</v>
      </c>
      <c r="D33" s="2270"/>
      <c r="E33" s="2269"/>
      <c r="F33" s="2269"/>
      <c r="G33" s="2269"/>
      <c r="H33" s="2269"/>
      <c r="I33" s="2269"/>
      <c r="J33" s="2269"/>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2037</v>
      </c>
      <c r="B34" s="122">
        <v>0.05</v>
      </c>
      <c r="C34" s="1760" t="s">
        <v>2038</v>
      </c>
      <c r="D34" s="2270" t="s">
        <v>2039</v>
      </c>
      <c r="E34" s="731"/>
      <c r="F34" s="2269"/>
      <c r="G34" s="2269"/>
      <c r="H34" s="2269"/>
      <c r="I34" s="2269"/>
      <c r="J34" s="2269"/>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2040</v>
      </c>
      <c r="B35" s="119">
        <f>B30</f>
        <v>200</v>
      </c>
      <c r="C35" s="1760" t="s">
        <v>2041</v>
      </c>
      <c r="D35" s="2315"/>
      <c r="E35" s="1425"/>
      <c r="F35" s="1425"/>
      <c r="G35" s="2269"/>
      <c r="H35" s="2269"/>
      <c r="I35" s="2269"/>
      <c r="J35" s="2269"/>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2042</v>
      </c>
      <c r="B36" s="123">
        <v>1.4999999999999999E-2</v>
      </c>
      <c r="C36" s="1760" t="s">
        <v>2043</v>
      </c>
      <c r="D36" s="2270"/>
      <c r="E36" s="2269"/>
      <c r="F36" s="2269"/>
      <c r="G36" s="2269"/>
      <c r="H36" s="2269"/>
      <c r="I36" s="2269"/>
      <c r="J36" s="2269"/>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2044</v>
      </c>
      <c r="B37" s="124">
        <v>0.02</v>
      </c>
      <c r="C37" s="1760" t="s">
        <v>2045</v>
      </c>
      <c r="D37" s="2270"/>
      <c r="E37" s="2269"/>
      <c r="F37" s="2269"/>
      <c r="G37" s="2269"/>
      <c r="H37" s="2269"/>
      <c r="I37" s="2269"/>
      <c r="J37" s="2269"/>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2046</v>
      </c>
      <c r="B38" s="122">
        <v>0.02</v>
      </c>
      <c r="C38" s="1760" t="s">
        <v>2045</v>
      </c>
      <c r="D38" s="2270"/>
      <c r="E38" s="2269"/>
      <c r="F38" s="2269"/>
      <c r="G38" s="2269"/>
      <c r="H38" s="2269"/>
      <c r="I38" s="2269"/>
      <c r="J38" s="2269"/>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2047</v>
      </c>
      <c r="B39" s="362">
        <f ca="1">存贷款利率!I1</f>
        <v>1.4999999999999999E-2</v>
      </c>
      <c r="C39" s="1760"/>
      <c r="D39" s="2270"/>
      <c r="E39" s="2269"/>
      <c r="F39" s="2269"/>
      <c r="G39" s="2269"/>
      <c r="H39" s="2269"/>
      <c r="I39" s="2269"/>
      <c r="J39" s="2269"/>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2048</v>
      </c>
      <c r="B40" s="1298">
        <f ca="1">存贷款利率!G1</f>
        <v>4.7500000000000001E-2</v>
      </c>
      <c r="C40" s="1760" t="s">
        <v>2049</v>
      </c>
      <c r="D40" s="1578"/>
      <c r="E40" s="2270"/>
      <c r="F40" s="2269"/>
      <c r="G40" s="2269"/>
      <c r="H40" s="2269"/>
      <c r="I40" s="2269"/>
      <c r="J40" s="2269"/>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2050</v>
      </c>
      <c r="B41" s="125">
        <f>B42+B43</f>
        <v>5.6000000000000001E-2</v>
      </c>
      <c r="C41" s="1761"/>
      <c r="D41" s="1578"/>
      <c r="E41" s="2270"/>
      <c r="F41" s="2269"/>
      <c r="G41" s="2269"/>
      <c r="H41" s="2269"/>
      <c r="I41" s="2269"/>
      <c r="J41" s="2269"/>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2051</v>
      </c>
      <c r="B42" s="126">
        <v>0.05</v>
      </c>
      <c r="C42" s="2323">
        <f>IF(B2&lt;DATE(2016,5,1),0,B42)</f>
        <v>0.05</v>
      </c>
      <c r="D42" s="2270"/>
      <c r="E42" s="2269"/>
      <c r="F42" s="2269"/>
      <c r="G42" s="2269"/>
      <c r="H42" s="2269"/>
      <c r="I42" s="2269"/>
      <c r="J42" s="2269"/>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2052</v>
      </c>
      <c r="B43" s="127">
        <f>B42*(B44+B45+B46)+B47</f>
        <v>6.000000000000001E-3</v>
      </c>
      <c r="C43" s="1761"/>
      <c r="D43" s="2270"/>
      <c r="E43" s="2269"/>
      <c r="F43" s="2269"/>
      <c r="G43" s="2269"/>
      <c r="H43" s="2269"/>
      <c r="I43" s="2269"/>
      <c r="J43" s="2269"/>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2053</v>
      </c>
      <c r="B44" s="128">
        <v>7.0000000000000007E-2</v>
      </c>
      <c r="C44" s="1760" t="s">
        <v>2054</v>
      </c>
      <c r="D44" s="2270"/>
      <c r="E44" s="2269"/>
      <c r="F44" s="2269"/>
      <c r="G44" s="2269"/>
      <c r="H44" s="2269"/>
      <c r="I44" s="2269"/>
      <c r="J44" s="2269"/>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2055</v>
      </c>
      <c r="B45" s="126">
        <v>0.03</v>
      </c>
      <c r="C45" s="1761" t="s">
        <v>2056</v>
      </c>
      <c r="D45" s="2270"/>
      <c r="E45" s="2269"/>
      <c r="F45" s="2269"/>
      <c r="G45" s="2269"/>
      <c r="H45" s="2269"/>
      <c r="I45" s="2269"/>
      <c r="J45" s="2269"/>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2057</v>
      </c>
      <c r="B46" s="126">
        <v>0.02</v>
      </c>
      <c r="C46" s="1761" t="s">
        <v>2058</v>
      </c>
      <c r="D46" s="2270"/>
      <c r="E46" s="2269"/>
      <c r="F46" s="2269"/>
      <c r="G46" s="2269"/>
      <c r="H46" s="2269"/>
      <c r="I46" s="2269"/>
      <c r="J46" s="2269"/>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2059</v>
      </c>
      <c r="B47" s="129"/>
      <c r="C47" s="1761" t="s">
        <v>2060</v>
      </c>
      <c r="D47" s="2270"/>
      <c r="E47" s="2269"/>
      <c r="F47" s="2269"/>
      <c r="G47" s="2269"/>
      <c r="H47" s="2269"/>
      <c r="I47" s="2269"/>
      <c r="J47" s="2269"/>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2061</v>
      </c>
      <c r="B48" s="130">
        <v>0.03</v>
      </c>
      <c r="C48" s="1768" t="s">
        <v>2062</v>
      </c>
      <c r="D48" s="2270"/>
      <c r="E48" s="2269"/>
      <c r="F48" s="2269"/>
      <c r="G48" s="2269"/>
      <c r="H48" s="2269"/>
      <c r="I48" s="2269"/>
      <c r="J48" s="2269"/>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2063</v>
      </c>
      <c r="B49" s="126">
        <v>5.0000000000000001E-4</v>
      </c>
      <c r="C49" s="1768" t="s">
        <v>2064</v>
      </c>
      <c r="D49" s="2270"/>
      <c r="E49" s="2269"/>
      <c r="F49" s="2269"/>
      <c r="G49" s="2269"/>
      <c r="H49" s="2269"/>
      <c r="I49" s="2269"/>
      <c r="J49" s="2269"/>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2065</v>
      </c>
      <c r="B50" s="131">
        <v>1.2E-2</v>
      </c>
      <c r="C50" s="1425"/>
      <c r="D50" s="2270"/>
      <c r="E50" s="2269"/>
      <c r="F50" s="2269"/>
      <c r="G50" s="2269"/>
      <c r="H50" s="2269"/>
      <c r="I50" s="2269"/>
      <c r="J50" s="2269"/>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2066</v>
      </c>
      <c r="B51" s="132">
        <v>0.12</v>
      </c>
      <c r="C51" s="1425"/>
      <c r="D51" s="2270"/>
      <c r="E51" s="2269"/>
      <c r="F51" s="2269"/>
      <c r="G51" s="2269"/>
      <c r="H51" s="2269"/>
      <c r="I51" s="2269"/>
      <c r="J51" s="2269"/>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2067</v>
      </c>
      <c r="B52" s="133">
        <f>SUMIF(A54:A63,B53,B54:B63)</f>
        <v>18</v>
      </c>
      <c r="C52" s="1425"/>
      <c r="D52" s="2270"/>
      <c r="E52" s="2269"/>
      <c r="F52" s="2269"/>
      <c r="G52" s="2269"/>
      <c r="H52" s="2269"/>
      <c r="I52" s="2269"/>
      <c r="J52" s="2269"/>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2068</v>
      </c>
      <c r="B53" s="2328" t="s">
        <v>442</v>
      </c>
      <c r="C53" s="1425" t="s">
        <v>2069</v>
      </c>
      <c r="D53" s="2329" t="s">
        <v>2070</v>
      </c>
      <c r="E53" s="2269"/>
      <c r="F53" s="2269"/>
      <c r="G53" s="2269"/>
      <c r="H53" s="2269"/>
      <c r="I53" s="2269"/>
      <c r="J53" s="2269"/>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2071</v>
      </c>
      <c r="B54" s="84"/>
      <c r="C54" s="1425">
        <v>30</v>
      </c>
      <c r="D54" s="2270"/>
      <c r="E54" s="2269"/>
      <c r="F54" s="2269"/>
      <c r="G54" s="2269"/>
      <c r="H54" s="2269"/>
      <c r="I54" s="2269"/>
      <c r="J54" s="2269"/>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2072</v>
      </c>
      <c r="B55" s="84"/>
      <c r="C55" s="1425">
        <v>24</v>
      </c>
      <c r="D55" s="2270"/>
      <c r="E55" s="2269"/>
      <c r="F55" s="2269"/>
      <c r="G55" s="2269"/>
      <c r="H55" s="2269"/>
      <c r="I55" s="2331"/>
      <c r="J55" s="2269"/>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2073</v>
      </c>
      <c r="B56" s="84">
        <v>18</v>
      </c>
      <c r="C56" s="1425">
        <v>18</v>
      </c>
      <c r="D56" s="2270"/>
      <c r="E56" s="2269"/>
      <c r="F56" s="2269"/>
      <c r="G56" s="2269"/>
      <c r="H56" s="2269"/>
      <c r="I56" s="2269"/>
      <c r="J56" s="2269"/>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2074</v>
      </c>
      <c r="B57" s="84"/>
      <c r="C57" s="1425">
        <v>12</v>
      </c>
      <c r="D57" s="2270"/>
      <c r="E57" s="2269"/>
      <c r="F57" s="2269"/>
      <c r="G57" s="2269"/>
      <c r="H57" s="2269"/>
      <c r="I57" s="2269"/>
      <c r="J57" s="2269"/>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2075</v>
      </c>
      <c r="B58" s="84"/>
      <c r="C58" s="1425">
        <v>3</v>
      </c>
      <c r="D58" s="2270"/>
      <c r="E58" s="2269"/>
      <c r="F58" s="2269"/>
      <c r="G58" s="2269"/>
      <c r="H58" s="2269"/>
      <c r="I58" s="2269"/>
      <c r="J58" s="2269"/>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2076</v>
      </c>
      <c r="B59" s="84"/>
      <c r="C59" s="1425">
        <v>1.5</v>
      </c>
      <c r="D59" s="2270"/>
      <c r="E59" s="2269"/>
      <c r="F59" s="2269"/>
      <c r="G59" s="2269"/>
      <c r="H59" s="2269"/>
      <c r="I59" s="2269"/>
      <c r="J59" s="2269"/>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2077</v>
      </c>
      <c r="B60" s="84"/>
      <c r="C60" s="2269"/>
      <c r="D60" s="2270"/>
      <c r="E60" s="2269"/>
      <c r="F60" s="2269"/>
      <c r="G60" s="2269"/>
      <c r="H60" s="2269"/>
      <c r="I60" s="2269"/>
      <c r="J60" s="2269"/>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2078</v>
      </c>
      <c r="B61" s="84"/>
      <c r="C61" s="2269"/>
      <c r="D61" s="2270"/>
      <c r="E61" s="2269"/>
      <c r="F61" s="2269"/>
      <c r="G61" s="2269"/>
      <c r="H61" s="2269"/>
      <c r="I61" s="2269"/>
      <c r="J61" s="2269"/>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2079</v>
      </c>
      <c r="B62" s="84"/>
      <c r="C62" s="2269"/>
      <c r="D62" s="2270"/>
      <c r="E62" s="2269"/>
      <c r="F62" s="2269"/>
      <c r="G62" s="2269"/>
      <c r="H62" s="2269"/>
      <c r="I62" s="2269"/>
      <c r="J62" s="2269"/>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2080</v>
      </c>
      <c r="B63" s="134"/>
      <c r="C63" s="2269"/>
      <c r="D63" s="2270"/>
      <c r="E63" s="2269"/>
      <c r="F63" s="2269"/>
      <c r="G63" s="2269"/>
      <c r="H63" s="2269"/>
      <c r="I63" s="2269"/>
      <c r="J63" s="2269"/>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3"/>
      <c r="D64" s="2334"/>
      <c r="K64" s="797"/>
      <c r="L64" s="797"/>
    </row>
    <row r="65" spans="1:12" s="962" customFormat="1">
      <c r="A65" s="2333"/>
      <c r="D65" s="2334"/>
      <c r="K65" s="797"/>
      <c r="L65" s="797"/>
    </row>
    <row r="66" spans="1:12" s="962" customFormat="1">
      <c r="A66" s="2333"/>
      <c r="D66" s="2334"/>
      <c r="K66" s="797"/>
      <c r="L66" s="797"/>
    </row>
    <row r="67" spans="1:12" s="962" customFormat="1">
      <c r="A67" s="2333"/>
      <c r="D67" s="2334"/>
      <c r="K67" s="797"/>
      <c r="L67" s="797"/>
    </row>
    <row r="68" spans="1:12" s="962" customFormat="1">
      <c r="A68" s="2333"/>
      <c r="D68" s="2334"/>
      <c r="K68" s="797"/>
      <c r="L68" s="797"/>
    </row>
    <row r="69" spans="1:12" s="962" customFormat="1">
      <c r="A69" s="2333"/>
      <c r="D69" s="2334"/>
      <c r="K69" s="797"/>
      <c r="L69" s="797"/>
    </row>
    <row r="70" spans="1:12" s="962" customFormat="1">
      <c r="A70" s="2333"/>
      <c r="D70" s="2334"/>
      <c r="K70" s="797"/>
      <c r="L70" s="797"/>
    </row>
    <row r="71" spans="1:12" s="962" customFormat="1">
      <c r="A71" s="2333"/>
      <c r="D71" s="2334"/>
      <c r="K71" s="797"/>
      <c r="L71" s="797"/>
    </row>
    <row r="72" spans="1:12" s="962" customFormat="1">
      <c r="A72" s="2333"/>
      <c r="D72" s="2334"/>
      <c r="K72" s="797"/>
      <c r="L72" s="797"/>
    </row>
    <row r="73" spans="1:12" s="962" customFormat="1">
      <c r="A73" s="2333"/>
      <c r="D73" s="2334"/>
      <c r="K73" s="797"/>
      <c r="L73" s="797"/>
    </row>
    <row r="74" spans="1:12" s="962" customFormat="1">
      <c r="A74" s="2333"/>
      <c r="D74" s="2334"/>
      <c r="K74" s="797"/>
      <c r="L74" s="797"/>
    </row>
    <row r="75" spans="1:12" s="962" customFormat="1">
      <c r="A75" s="2333"/>
      <c r="D75" s="2334"/>
      <c r="K75" s="797"/>
      <c r="L75" s="797"/>
    </row>
    <row r="76" spans="1:12" s="962" customFormat="1">
      <c r="A76" s="2333"/>
      <c r="D76" s="2334"/>
      <c r="K76" s="797"/>
      <c r="L76" s="797"/>
    </row>
    <row r="77" spans="1:12" s="962" customFormat="1">
      <c r="A77" s="2333"/>
      <c r="D77" s="2334"/>
      <c r="K77" s="797"/>
      <c r="L77" s="797"/>
    </row>
    <row r="78" spans="1:12" s="962" customFormat="1">
      <c r="A78" s="2333"/>
      <c r="D78" s="2334"/>
      <c r="K78" s="797"/>
      <c r="L78" s="797"/>
    </row>
    <row r="79" spans="1:12" s="962" customFormat="1">
      <c r="A79" s="2333"/>
      <c r="D79" s="2334"/>
      <c r="K79" s="797"/>
      <c r="L79" s="797"/>
    </row>
    <row r="80" spans="1:12" s="962" customFormat="1">
      <c r="A80" s="2333"/>
      <c r="D80" s="2334"/>
      <c r="K80" s="797"/>
      <c r="L80" s="797"/>
    </row>
    <row r="81" spans="1:12" s="962" customFormat="1">
      <c r="A81" s="2333"/>
      <c r="D81" s="2334"/>
      <c r="K81" s="797"/>
      <c r="L81" s="797"/>
    </row>
    <row r="82" spans="1:12" s="962" customFormat="1">
      <c r="A82" s="2333"/>
      <c r="D82" s="2334"/>
      <c r="K82" s="797"/>
      <c r="L82" s="797"/>
    </row>
    <row r="83" spans="1:12" s="962" customFormat="1">
      <c r="A83" s="2333"/>
      <c r="D83" s="2334"/>
      <c r="K83" s="797"/>
      <c r="L83" s="797"/>
    </row>
    <row r="84" spans="1:12" s="962" customFormat="1">
      <c r="A84" s="2333"/>
      <c r="D84" s="2334"/>
      <c r="K84" s="797"/>
      <c r="L84" s="797"/>
    </row>
    <row r="85" spans="1:12" s="962" customFormat="1">
      <c r="A85" s="2333"/>
      <c r="D85" s="2334"/>
      <c r="K85" s="797"/>
      <c r="L85" s="797"/>
    </row>
    <row r="86" spans="1:12" s="962" customFormat="1">
      <c r="A86" s="2333"/>
      <c r="D86" s="2334"/>
      <c r="K86" s="797"/>
      <c r="L86" s="797"/>
    </row>
    <row r="87" spans="1:12" s="962" customFormat="1">
      <c r="A87" s="2333"/>
      <c r="D87" s="2334"/>
      <c r="K87" s="797"/>
      <c r="L87" s="797"/>
    </row>
    <row r="88" spans="1:12" s="962" customFormat="1">
      <c r="A88" s="2333"/>
      <c r="D88" s="2334"/>
      <c r="K88" s="797"/>
      <c r="L88" s="797"/>
    </row>
    <row r="89" spans="1:12" s="962" customFormat="1">
      <c r="A89" s="2333"/>
      <c r="D89" s="2334"/>
      <c r="K89" s="797"/>
      <c r="L89" s="797"/>
    </row>
    <row r="90" spans="1:12" s="962" customFormat="1">
      <c r="A90" s="2333"/>
      <c r="D90" s="2334"/>
      <c r="K90" s="797"/>
      <c r="L90" s="797"/>
    </row>
    <row r="91" spans="1:12" s="962" customFormat="1">
      <c r="A91" s="2333"/>
      <c r="D91" s="2334"/>
      <c r="K91" s="797"/>
      <c r="L91" s="797"/>
    </row>
    <row r="92" spans="1:12" s="962" customFormat="1">
      <c r="A92" s="2333"/>
      <c r="D92" s="2334"/>
      <c r="K92" s="797"/>
      <c r="L92" s="797"/>
    </row>
    <row r="93" spans="1:12" s="962" customFormat="1">
      <c r="A93" s="2333"/>
      <c r="D93" s="2334"/>
      <c r="K93" s="797"/>
      <c r="L93" s="797"/>
    </row>
    <row r="94" spans="1:12" s="962" customFormat="1">
      <c r="A94" s="2333"/>
      <c r="D94" s="2334"/>
      <c r="K94" s="797"/>
      <c r="L94" s="797"/>
    </row>
    <row r="95" spans="1:12" s="962" customFormat="1">
      <c r="A95" s="2333"/>
      <c r="D95" s="2334"/>
      <c r="K95" s="797"/>
      <c r="L95" s="797"/>
    </row>
    <row r="96" spans="1:12" s="962" customFormat="1">
      <c r="A96" s="2333"/>
      <c r="D96" s="2334"/>
      <c r="K96" s="797"/>
      <c r="L96" s="797"/>
    </row>
    <row r="97" spans="1:12" s="962" customFormat="1">
      <c r="A97" s="2333"/>
      <c r="D97" s="2334"/>
      <c r="K97" s="797"/>
      <c r="L97" s="797"/>
    </row>
    <row r="98" spans="1:12" s="962" customFormat="1">
      <c r="A98" s="2333"/>
      <c r="D98" s="2334"/>
      <c r="K98" s="797"/>
      <c r="L98" s="797"/>
    </row>
    <row r="99" spans="1:12" s="962" customFormat="1">
      <c r="A99" s="2333"/>
      <c r="D99" s="2334"/>
      <c r="K99" s="797"/>
      <c r="L99" s="797"/>
    </row>
    <row r="100" spans="1:12" s="962" customFormat="1">
      <c r="A100" s="2333"/>
      <c r="D100" s="2334"/>
      <c r="K100" s="797"/>
      <c r="L100" s="797"/>
    </row>
    <row r="101" spans="1:12" s="962" customFormat="1">
      <c r="A101" s="2333"/>
      <c r="D101" s="2334"/>
      <c r="K101" s="797"/>
      <c r="L101" s="797"/>
    </row>
    <row r="102" spans="1:12" s="962" customFormat="1">
      <c r="A102" s="2333"/>
      <c r="D102" s="2334"/>
      <c r="K102" s="797"/>
      <c r="L102" s="797"/>
    </row>
    <row r="103" spans="1:12" s="962" customFormat="1">
      <c r="A103" s="2333"/>
      <c r="D103" s="2334"/>
      <c r="K103" s="797"/>
      <c r="L103" s="797"/>
    </row>
    <row r="104" spans="1:12" s="962" customFormat="1">
      <c r="A104" s="2333"/>
      <c r="D104" s="2334"/>
      <c r="K104" s="797"/>
      <c r="L104" s="797"/>
    </row>
    <row r="105" spans="1:12" s="962" customFormat="1">
      <c r="A105" s="2333"/>
      <c r="D105" s="2334"/>
      <c r="K105" s="797"/>
      <c r="L105" s="797"/>
    </row>
    <row r="106" spans="1:12" s="962" customFormat="1">
      <c r="A106" s="2333"/>
      <c r="D106" s="2334"/>
      <c r="K106" s="797"/>
      <c r="L106" s="797"/>
    </row>
    <row r="107" spans="1:12" s="962" customFormat="1">
      <c r="A107" s="2333"/>
      <c r="D107" s="2334"/>
      <c r="K107" s="797"/>
      <c r="L107" s="797"/>
    </row>
    <row r="108" spans="1:12" s="962" customFormat="1">
      <c r="A108" s="2333"/>
      <c r="D108" s="2334"/>
      <c r="K108" s="797"/>
      <c r="L108" s="797"/>
    </row>
    <row r="109" spans="1:12" s="962" customFormat="1">
      <c r="A109" s="2333"/>
      <c r="D109" s="2334"/>
      <c r="K109" s="797"/>
      <c r="L109" s="797"/>
    </row>
    <row r="110" spans="1:12" s="962" customFormat="1">
      <c r="A110" s="2333"/>
      <c r="D110" s="2334"/>
      <c r="K110" s="797"/>
      <c r="L110" s="797"/>
    </row>
    <row r="111" spans="1:12" s="962" customFormat="1">
      <c r="A111" s="2333"/>
      <c r="D111" s="2334"/>
      <c r="K111" s="797"/>
      <c r="L111" s="797"/>
    </row>
    <row r="112" spans="1:12" s="962" customFormat="1">
      <c r="A112" s="2333"/>
      <c r="D112" s="2334"/>
      <c r="K112" s="797"/>
      <c r="L112" s="797"/>
    </row>
    <row r="113" spans="1:12" s="962" customFormat="1">
      <c r="A113" s="2333"/>
      <c r="D113" s="2334"/>
      <c r="K113" s="797"/>
      <c r="L113" s="797"/>
    </row>
    <row r="114" spans="1:12" s="962" customFormat="1">
      <c r="A114" s="2333"/>
      <c r="D114" s="2334"/>
      <c r="K114" s="797"/>
      <c r="L114" s="797"/>
    </row>
    <row r="115" spans="1:12" s="962" customFormat="1">
      <c r="A115" s="2333"/>
      <c r="D115" s="2334"/>
      <c r="K115" s="797"/>
      <c r="L115" s="797"/>
    </row>
    <row r="116" spans="1:12" s="962" customFormat="1">
      <c r="A116" s="2333"/>
      <c r="D116" s="2334"/>
      <c r="K116" s="797"/>
      <c r="L116" s="797"/>
    </row>
    <row r="117" spans="1:12" s="962" customFormat="1">
      <c r="A117" s="2333"/>
      <c r="D117" s="2334"/>
      <c r="K117" s="797"/>
      <c r="L117" s="797"/>
    </row>
    <row r="118" spans="1:12" s="962" customFormat="1">
      <c r="A118" s="2333"/>
      <c r="D118" s="2334"/>
      <c r="K118" s="797"/>
      <c r="L118" s="797"/>
    </row>
    <row r="119" spans="1:12" s="962" customFormat="1">
      <c r="A119" s="2333"/>
      <c r="D119" s="2334"/>
      <c r="K119" s="797"/>
      <c r="L119" s="797"/>
    </row>
    <row r="120" spans="1:12" s="962" customFormat="1">
      <c r="A120" s="2333"/>
      <c r="D120" s="2334"/>
      <c r="K120" s="797"/>
      <c r="L120" s="797"/>
    </row>
    <row r="121" spans="1:12" s="962" customFormat="1">
      <c r="A121" s="2333"/>
      <c r="D121" s="2334"/>
      <c r="K121" s="797"/>
      <c r="L121" s="797"/>
    </row>
    <row r="122" spans="1:12" s="962" customFormat="1">
      <c r="A122" s="2333"/>
      <c r="D122" s="2334"/>
      <c r="K122" s="797"/>
      <c r="L122" s="797"/>
    </row>
    <row r="123" spans="1:12" s="962" customFormat="1">
      <c r="A123" s="2333"/>
      <c r="D123" s="2334"/>
      <c r="K123" s="797"/>
      <c r="L123" s="797"/>
    </row>
    <row r="124" spans="1:12" s="962" customFormat="1">
      <c r="A124" s="2333"/>
      <c r="D124" s="2334"/>
      <c r="K124" s="797"/>
      <c r="L124" s="797"/>
    </row>
    <row r="125" spans="1:12" s="962" customFormat="1">
      <c r="A125" s="2333"/>
      <c r="D125" s="2334"/>
      <c r="K125" s="797"/>
      <c r="L125" s="797"/>
    </row>
    <row r="126" spans="1:12" s="962" customFormat="1">
      <c r="A126" s="2333"/>
      <c r="D126" s="2334"/>
      <c r="K126" s="797"/>
      <c r="L126" s="797"/>
    </row>
    <row r="127" spans="1:12" s="962" customFormat="1">
      <c r="A127" s="2333"/>
      <c r="D127" s="2334"/>
      <c r="K127" s="797"/>
      <c r="L127" s="797"/>
    </row>
    <row r="128" spans="1:12" s="962" customFormat="1">
      <c r="A128" s="2333"/>
      <c r="D128" s="2334"/>
      <c r="K128" s="797"/>
      <c r="L128" s="797"/>
    </row>
    <row r="129" spans="1:12" s="962" customFormat="1">
      <c r="A129" s="2333"/>
      <c r="D129" s="2334"/>
      <c r="K129" s="797"/>
      <c r="L129" s="797"/>
    </row>
    <row r="130" spans="1:12" s="962" customFormat="1">
      <c r="A130" s="2333"/>
      <c r="D130" s="2334"/>
      <c r="K130" s="797"/>
      <c r="L130" s="797"/>
    </row>
    <row r="131" spans="1:12" s="962" customFormat="1">
      <c r="A131" s="2333"/>
      <c r="D131" s="2334"/>
      <c r="K131" s="797"/>
      <c r="L131" s="797"/>
    </row>
    <row r="132" spans="1:12" s="962" customFormat="1">
      <c r="A132" s="2333"/>
      <c r="D132" s="2334"/>
      <c r="K132" s="797"/>
      <c r="L132" s="797"/>
    </row>
    <row r="133" spans="1:12" s="962"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4" t="s">
        <v>2081</v>
      </c>
      <c r="B1" s="3095"/>
      <c r="C1" s="3095"/>
      <c r="D1" s="3095"/>
      <c r="E1" s="3095"/>
      <c r="F1" s="3095"/>
      <c r="G1" s="309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2082</v>
      </c>
      <c r="D2" s="2358"/>
      <c r="E2" s="2359"/>
      <c r="F2" s="2278"/>
      <c r="G2" s="2357" t="s">
        <v>2083</v>
      </c>
      <c r="H2" s="2360"/>
      <c r="I2" s="2360"/>
      <c r="J2" s="2360"/>
      <c r="K2" s="2360"/>
      <c r="L2" s="2360"/>
      <c r="M2" s="2360"/>
      <c r="N2" s="2360"/>
      <c r="O2" s="2360"/>
      <c r="P2" s="2360"/>
      <c r="Q2" s="2360"/>
      <c r="R2" s="2360"/>
    </row>
    <row r="3" spans="1:29" ht="54">
      <c r="A3" s="415" t="s">
        <v>2084</v>
      </c>
      <c r="B3" s="1266" t="s">
        <v>2085</v>
      </c>
      <c r="C3" s="2362" t="s">
        <v>2086</v>
      </c>
      <c r="D3" s="2363"/>
      <c r="E3" s="430" t="s">
        <v>2084</v>
      </c>
      <c r="F3" s="2364" t="s">
        <v>2087</v>
      </c>
      <c r="G3" s="2365" t="s">
        <v>2088</v>
      </c>
      <c r="H3" s="2360"/>
      <c r="I3" s="2360"/>
      <c r="J3" s="2360"/>
      <c r="K3" s="2360"/>
      <c r="L3" s="2360"/>
      <c r="M3" s="2360"/>
      <c r="N3" s="2360"/>
      <c r="O3" s="2360"/>
      <c r="P3" s="2360"/>
      <c r="Q3" s="2360"/>
      <c r="R3" s="2360"/>
    </row>
    <row r="4" spans="1:29" ht="41.25">
      <c r="A4" s="430"/>
      <c r="B4" s="1792" t="s">
        <v>2089</v>
      </c>
      <c r="C4" s="2366" t="s">
        <v>2090</v>
      </c>
      <c r="D4" s="2363"/>
      <c r="E4" s="2367"/>
      <c r="F4" s="42" t="s">
        <v>2091</v>
      </c>
      <c r="G4" s="2368" t="s">
        <v>2092</v>
      </c>
      <c r="H4" s="2360"/>
      <c r="I4" s="2360"/>
      <c r="J4" s="2360"/>
      <c r="K4" s="2360"/>
      <c r="L4" s="2360"/>
      <c r="M4" s="2360"/>
      <c r="N4" s="2360"/>
      <c r="O4" s="2360"/>
      <c r="P4" s="2360"/>
      <c r="Q4" s="2360"/>
      <c r="R4" s="2360"/>
    </row>
    <row r="5" spans="1:29" ht="41.25">
      <c r="A5" s="430"/>
      <c r="B5" s="1792" t="s">
        <v>2093</v>
      </c>
      <c r="C5" s="2366" t="s">
        <v>2094</v>
      </c>
      <c r="D5" s="2363"/>
      <c r="E5" s="2367"/>
      <c r="F5" s="1792" t="s">
        <v>2095</v>
      </c>
      <c r="G5" s="2368" t="s">
        <v>2096</v>
      </c>
      <c r="H5" s="2360"/>
      <c r="I5" s="2360"/>
      <c r="J5" s="2360"/>
      <c r="K5" s="2360"/>
      <c r="L5" s="2360"/>
      <c r="M5" s="2360"/>
      <c r="N5" s="2360"/>
      <c r="O5" s="2360"/>
      <c r="P5" s="2360"/>
      <c r="Q5" s="2360"/>
      <c r="R5" s="2360"/>
    </row>
    <row r="6" spans="1:29" ht="54">
      <c r="A6" s="430"/>
      <c r="B6" s="1792" t="s">
        <v>2097</v>
      </c>
      <c r="C6" s="2368" t="s">
        <v>2092</v>
      </c>
      <c r="D6" s="2363"/>
      <c r="E6" s="2367"/>
      <c r="F6" s="1792" t="s">
        <v>2098</v>
      </c>
      <c r="G6" s="2368" t="s">
        <v>2099</v>
      </c>
      <c r="H6" s="2360"/>
      <c r="I6" s="2360"/>
      <c r="J6" s="2360"/>
      <c r="K6" s="2360"/>
      <c r="L6" s="2360"/>
      <c r="M6" s="2360"/>
      <c r="N6" s="2360"/>
      <c r="O6" s="2360"/>
      <c r="P6" s="2360"/>
      <c r="Q6" s="2360"/>
      <c r="R6" s="2360"/>
    </row>
    <row r="7" spans="1:29" ht="41.25" thickBot="1">
      <c r="A7" s="430"/>
      <c r="B7" s="1792" t="s">
        <v>2095</v>
      </c>
      <c r="C7" s="2368" t="s">
        <v>2096</v>
      </c>
      <c r="D7" s="2369"/>
      <c r="E7" s="2370"/>
      <c r="F7" s="2371" t="s">
        <v>2100</v>
      </c>
      <c r="G7" s="2372" t="s">
        <v>2101</v>
      </c>
      <c r="H7" s="2360"/>
      <c r="I7" s="2360"/>
      <c r="J7" s="2360"/>
      <c r="K7" s="2360"/>
      <c r="L7" s="2360"/>
      <c r="M7" s="2360"/>
      <c r="N7" s="2360"/>
      <c r="O7" s="2360"/>
      <c r="P7" s="2360"/>
      <c r="Q7" s="2360"/>
      <c r="R7" s="2360"/>
    </row>
    <row r="8" spans="1:29" ht="27">
      <c r="A8" s="430"/>
      <c r="B8" s="1792" t="s">
        <v>2098</v>
      </c>
      <c r="C8" s="2368" t="s">
        <v>2099</v>
      </c>
      <c r="D8" s="2369"/>
      <c r="E8" s="2369"/>
      <c r="F8" s="1131"/>
      <c r="G8" s="1131"/>
      <c r="H8" s="2360"/>
      <c r="I8" s="2360"/>
      <c r="J8" s="2360"/>
      <c r="K8" s="2360"/>
      <c r="L8" s="2360"/>
      <c r="M8" s="2360"/>
      <c r="N8" s="2360"/>
      <c r="O8" s="2360"/>
      <c r="P8" s="2360"/>
      <c r="Q8" s="2360"/>
      <c r="R8" s="2360"/>
    </row>
    <row r="9" spans="1:29" ht="27">
      <c r="A9" s="430"/>
      <c r="B9" s="1792" t="s">
        <v>2102</v>
      </c>
      <c r="C9" s="2366" t="s">
        <v>2103</v>
      </c>
      <c r="D9" s="2363"/>
      <c r="E9" s="2369"/>
      <c r="F9" s="1131"/>
      <c r="G9" s="1131"/>
      <c r="H9" s="2360"/>
      <c r="I9" s="2360"/>
      <c r="J9" s="2360"/>
      <c r="K9" s="2360"/>
      <c r="L9" s="2360"/>
      <c r="M9" s="2360"/>
      <c r="N9" s="2360"/>
      <c r="O9" s="2360"/>
      <c r="P9" s="2360"/>
      <c r="Q9" s="2360"/>
      <c r="R9" s="2360"/>
    </row>
    <row r="10" spans="1:29" s="117" customFormat="1" ht="15.75" thickBot="1">
      <c r="A10" s="2373"/>
      <c r="B10" s="2374" t="s">
        <v>2104</v>
      </c>
      <c r="C10" s="2375"/>
      <c r="D10" s="2363"/>
      <c r="E10" s="2363"/>
      <c r="F10" s="1131"/>
      <c r="G10" s="1131"/>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9"/>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9"/>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2105</v>
      </c>
      <c r="B13" s="2380"/>
      <c r="C13" s="2380"/>
      <c r="D13" s="2387"/>
      <c r="E13" s="2380"/>
      <c r="F13" s="2380"/>
      <c r="G13" s="2380"/>
    </row>
    <row r="14" spans="1:29" ht="15.75" thickBot="1">
      <c r="A14" s="2391"/>
      <c r="B14" s="2392"/>
      <c r="C14" s="2393" t="s">
        <v>2106</v>
      </c>
      <c r="D14" s="2363"/>
      <c r="E14" s="2394"/>
      <c r="F14" s="2394"/>
      <c r="G14" s="2357" t="s">
        <v>2107</v>
      </c>
    </row>
    <row r="15" spans="1:29" ht="57">
      <c r="A15" s="68" t="s">
        <v>2108</v>
      </c>
      <c r="B15" s="1265" t="s">
        <v>2085</v>
      </c>
      <c r="C15" s="2395" t="str">
        <f>C3</f>
        <v>估价对象周边居住用地比例、居住小区规模和社区发展完善程度，综合评价居住社区成熟度一般</v>
      </c>
      <c r="D15" s="2363"/>
      <c r="E15" s="2396" t="s">
        <v>2109</v>
      </c>
      <c r="F15" s="1265" t="s">
        <v>2110</v>
      </c>
      <c r="G15" s="135" t="str">
        <f>G3</f>
        <v>估价对象位于XX开发区，园区建设成熟度XX，产业集聚程度XX</v>
      </c>
    </row>
    <row r="16" spans="1:29" ht="42.75">
      <c r="A16" s="644"/>
      <c r="B16" s="2397" t="s">
        <v>2089</v>
      </c>
      <c r="C16" s="2398" t="str">
        <f>C4</f>
        <v>估价对象位于XX商圈，周边商业氛围成熟，人流量大，商业繁华度好</v>
      </c>
      <c r="D16" s="2363"/>
      <c r="E16" s="2399"/>
      <c r="F16" s="2400" t="s">
        <v>2091</v>
      </c>
      <c r="G16" s="136" t="str">
        <f>G4</f>
        <v>估价对象周边道路状况、公共交通通达情况、停车便捷程度，综合评价交通便捷度较好</v>
      </c>
    </row>
    <row r="17" spans="1:18" ht="42.75">
      <c r="A17" s="644"/>
      <c r="B17" s="2397" t="s">
        <v>2093</v>
      </c>
      <c r="C17" s="2398" t="str">
        <f>C5</f>
        <v>估价对象位于XX商圈，周边办公楼项目较多，入驻率高，办公集聚程度较好</v>
      </c>
      <c r="D17" s="2369"/>
      <c r="E17" s="2399"/>
      <c r="F17" s="2400" t="s">
        <v>2111</v>
      </c>
      <c r="G17" s="1566"/>
    </row>
    <row r="18" spans="1:18" ht="57">
      <c r="A18" s="644"/>
      <c r="B18" s="2400" t="s">
        <v>2097</v>
      </c>
      <c r="C18" s="136" t="str">
        <f>C6</f>
        <v>估价对象周边道路状况、公共交通通达情况、停车便捷程度，综合评价交通便捷度较好</v>
      </c>
      <c r="D18" s="2369"/>
      <c r="E18" s="2399"/>
      <c r="F18" s="2400" t="s">
        <v>2100</v>
      </c>
      <c r="G18" s="136" t="str">
        <f>G7</f>
        <v>该园区内是否有污染型企业，绿化情况，卫生条件，整体环境状况判断</v>
      </c>
    </row>
    <row r="19" spans="1:18" ht="28.5">
      <c r="A19" s="644"/>
      <c r="B19" s="2400" t="s">
        <v>2112</v>
      </c>
      <c r="C19" s="1566"/>
      <c r="D19" s="2363"/>
      <c r="E19" s="2399"/>
      <c r="F19" s="1792" t="s">
        <v>2095</v>
      </c>
      <c r="G19" s="136" t="str">
        <f>G5</f>
        <v>估价对象所在区域公共配套设施齐备情况</v>
      </c>
    </row>
    <row r="20" spans="1:18" ht="28.5">
      <c r="A20" s="644"/>
      <c r="B20" s="2400" t="s">
        <v>2113</v>
      </c>
      <c r="C20" s="2398" t="str">
        <f>C9</f>
        <v>区域自然环境：；人文环境；综合评价环境状况一般</v>
      </c>
      <c r="D20" s="2369"/>
      <c r="E20" s="2399"/>
      <c r="F20" s="1792" t="s">
        <v>2114</v>
      </c>
      <c r="G20" s="136" t="str">
        <f>G6</f>
        <v>估价对象所在区域基础设施水平</v>
      </c>
    </row>
    <row r="21" spans="1:18" ht="28.5">
      <c r="A21" s="644"/>
      <c r="B21" s="1792" t="s">
        <v>2095</v>
      </c>
      <c r="C21" s="136" t="str">
        <f>C7</f>
        <v>估价对象所在区域公共配套设施齐备情况</v>
      </c>
      <c r="D21" s="2363"/>
      <c r="E21" s="2399"/>
      <c r="F21" s="2400" t="s">
        <v>2115</v>
      </c>
      <c r="G21" s="2401"/>
    </row>
    <row r="22" spans="1:18" ht="13.5" customHeight="1">
      <c r="A22" s="644"/>
      <c r="B22" s="1792" t="s">
        <v>2098</v>
      </c>
      <c r="C22" s="136" t="str">
        <f>C8</f>
        <v>估价对象所在区域基础设施水平</v>
      </c>
      <c r="D22" s="2363"/>
      <c r="E22" s="2399"/>
      <c r="F22" s="2400" t="s">
        <v>2104</v>
      </c>
      <c r="G22" s="1566"/>
    </row>
    <row r="23" spans="1:18" s="2360" customFormat="1" ht="15.75" thickBot="1">
      <c r="A23" s="644"/>
      <c r="B23" s="2400" t="s">
        <v>2115</v>
      </c>
      <c r="C23" s="2401"/>
      <c r="D23" s="2388"/>
      <c r="E23" s="2402"/>
      <c r="F23" s="2403" t="s">
        <v>2116</v>
      </c>
      <c r="G23" s="2404"/>
      <c r="H23" s="2388"/>
      <c r="I23" s="2389"/>
      <c r="J23" s="2388"/>
      <c r="K23" s="2388"/>
      <c r="L23" s="2389"/>
      <c r="M23" s="2388"/>
      <c r="N23" s="2388"/>
      <c r="O23" s="2389"/>
      <c r="P23" s="2388"/>
      <c r="Q23" s="2388"/>
      <c r="R23" s="2390"/>
    </row>
    <row r="24" spans="1:18" s="2360" customFormat="1" ht="15.75" thickBot="1">
      <c r="A24" s="2405"/>
      <c r="B24" s="2403" t="s">
        <v>2117</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RowHeight="13.5"/>
  <cols>
    <col min="1" max="1" width="23.375" style="1735" customWidth="1"/>
    <col min="2" max="9" width="15.75" style="1735" customWidth="1"/>
    <col min="10" max="16384" width="9" style="1735"/>
  </cols>
  <sheetData>
    <row r="1" spans="1:10" ht="16.5">
      <c r="A1" s="1740" t="s">
        <v>1365</v>
      </c>
      <c r="B1" s="1740">
        <f>SUM(B14:B23)</f>
        <v>22318.329999999998</v>
      </c>
      <c r="C1" s="1739"/>
      <c r="D1" s="1739"/>
      <c r="E1" s="1739"/>
      <c r="F1" s="1739"/>
      <c r="G1" s="1737"/>
    </row>
    <row r="2" spans="1:10" ht="16.5">
      <c r="A2" s="1740" t="s">
        <v>1353</v>
      </c>
      <c r="B2" s="1740">
        <f>SUM(C14:C23)</f>
        <v>0</v>
      </c>
      <c r="C2" s="1739"/>
      <c r="D2" s="1739"/>
      <c r="E2" s="1739"/>
      <c r="F2" s="1739"/>
      <c r="G2" s="1737"/>
    </row>
    <row r="3" spans="1:10" ht="16.5">
      <c r="A3" s="1740" t="s">
        <v>1362</v>
      </c>
      <c r="B3" s="1741">
        <f>项目基本情况!D3</f>
        <v>43539</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78717</v>
      </c>
      <c r="C5" s="1740">
        <f ca="1">ROUND(B5*10000/$B$1,0)</f>
        <v>35270</v>
      </c>
      <c r="D5" s="1740" t="e">
        <f ca="1">ROUND(B5*10000/$B$2,0)</f>
        <v>#DIV/0!</v>
      </c>
      <c r="E5" s="1739"/>
      <c r="F5" s="1737"/>
      <c r="G5" s="1737"/>
    </row>
    <row r="6" spans="1:10" ht="16.5">
      <c r="A6" s="1740" t="s">
        <v>1356</v>
      </c>
      <c r="B6" s="1740">
        <f ca="1">SUM(G14:G23)</f>
        <v>78717</v>
      </c>
      <c r="C6" s="1740">
        <f ca="1">ROUND(B6*10000/$B$1,0)</f>
        <v>35270</v>
      </c>
      <c r="D6" s="1740" t="e">
        <f ca="1">ROUND(B6*10000/$B$2,0)</f>
        <v>#DIV/0!</v>
      </c>
      <c r="E6" s="1739"/>
      <c r="F6" s="1737"/>
      <c r="G6" s="1737"/>
    </row>
    <row r="7" spans="1:10" ht="16.5">
      <c r="A7" s="1740" t="s">
        <v>1364</v>
      </c>
      <c r="B7" s="1740">
        <f>SUM(H14:H23)</f>
        <v>0</v>
      </c>
      <c r="C7" s="1740">
        <f>ROUND(B7*10000/$B$1,0)</f>
        <v>0</v>
      </c>
      <c r="D7" s="1740" t="e">
        <f>ROUND(B7*10000/$B$2,0)</f>
        <v>#DIV/0!</v>
      </c>
      <c r="E7" s="1739"/>
      <c r="F7" s="1737"/>
      <c r="G7" s="1737"/>
    </row>
    <row r="8" spans="1:10" ht="16.5">
      <c r="A8" s="1740" t="s">
        <v>1285</v>
      </c>
      <c r="B8" s="1740">
        <f>SUM(I14:I23)</f>
        <v>0</v>
      </c>
      <c r="C8" s="1740">
        <f>ROUND(B8*10000/$B$1,0)</f>
        <v>0</v>
      </c>
      <c r="D8" s="1740" t="e">
        <f>ROUND(B8*10000/$B$2,0)</f>
        <v>#DIV/0!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Sheet2!AD24</f>
        <v>22318.329999999998</v>
      </c>
      <c r="C14" s="1738">
        <f>结果表!C118</f>
        <v>0</v>
      </c>
      <c r="D14" s="1738">
        <f ca="1">Sheet2!AF24</f>
        <v>78717</v>
      </c>
      <c r="E14" s="1738">
        <f ca="1">ROUND(D14*10000/B14,0)</f>
        <v>35270</v>
      </c>
      <c r="F14" s="1738" t="e">
        <f ca="1">ROUND(D14*10000/C14,0)</f>
        <v>#DIV/0!</v>
      </c>
      <c r="G14" s="1738">
        <f ca="1">D14</f>
        <v>78717</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2118</v>
      </c>
      <c r="B1" s="2411"/>
      <c r="C1" s="2412"/>
      <c r="D1" s="2411"/>
      <c r="E1" s="2411"/>
      <c r="F1" s="2413" t="s">
        <v>2119</v>
      </c>
      <c r="G1" s="2063" t="s">
        <v>2120</v>
      </c>
      <c r="H1" s="2414" t="str">
        <f>IF(G1="现房","——","估价对象范围")</f>
        <v>估价对象范围</v>
      </c>
      <c r="I1" s="2415"/>
    </row>
    <row r="2" spans="1:12" ht="21.75" customHeight="1" thickBot="1">
      <c r="A2" s="3168" t="str">
        <f>项目基本情况!S2</f>
        <v>北京市诺德中心三期出让国有建设用地使用权及在建建筑物房地产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18" t="s">
        <v>2122</v>
      </c>
      <c r="B4" s="2419" t="s">
        <v>2123</v>
      </c>
      <c r="C4" s="2420" t="s">
        <v>3172</v>
      </c>
      <c r="D4" s="2420" t="s">
        <v>3173</v>
      </c>
      <c r="E4" s="3152" t="s">
        <v>2124</v>
      </c>
      <c r="F4" s="3165"/>
      <c r="G4" s="3165"/>
      <c r="H4" s="3165"/>
      <c r="I4" s="3153"/>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2125</v>
      </c>
      <c r="B5" s="3069">
        <v>25</v>
      </c>
      <c r="C5" s="3173"/>
      <c r="D5" s="3161"/>
      <c r="E5" s="140" t="s">
        <v>2126</v>
      </c>
      <c r="F5" s="2422"/>
      <c r="G5" s="2422"/>
      <c r="H5" s="2422"/>
      <c r="I5" s="1828"/>
    </row>
    <row r="6" spans="1:12" ht="12.75">
      <c r="A6" s="3143"/>
      <c r="B6" s="3069"/>
      <c r="C6" s="3175"/>
      <c r="D6" s="3161"/>
      <c r="E6" s="140" t="s">
        <v>2127</v>
      </c>
      <c r="F6" s="2422"/>
      <c r="G6" s="2422"/>
      <c r="H6" s="2422"/>
      <c r="I6" s="1828"/>
    </row>
    <row r="7" spans="1:12" ht="12.75">
      <c r="A7" s="3143"/>
      <c r="B7" s="3069"/>
      <c r="C7" s="3174"/>
      <c r="D7" s="3161"/>
      <c r="E7" s="140" t="s">
        <v>2128</v>
      </c>
      <c r="F7" s="2422"/>
      <c r="G7" s="2422"/>
      <c r="H7" s="2422"/>
      <c r="I7" s="1828"/>
    </row>
    <row r="8" spans="1:12" ht="12.75">
      <c r="A8" s="3143" t="s">
        <v>2129</v>
      </c>
      <c r="B8" s="3069">
        <v>15</v>
      </c>
      <c r="C8" s="3173"/>
      <c r="D8" s="3161"/>
      <c r="E8" s="140" t="s">
        <v>2130</v>
      </c>
      <c r="F8" s="2422"/>
      <c r="G8" s="2422"/>
      <c r="H8" s="2422"/>
      <c r="I8" s="1828"/>
    </row>
    <row r="9" spans="1:12" ht="12.75">
      <c r="A9" s="3143"/>
      <c r="B9" s="3069"/>
      <c r="C9" s="3174"/>
      <c r="D9" s="3161"/>
      <c r="E9" s="140" t="s">
        <v>2131</v>
      </c>
      <c r="F9" s="2422"/>
      <c r="G9" s="2422"/>
      <c r="H9" s="2422"/>
      <c r="I9" s="1828"/>
    </row>
    <row r="10" spans="1:12" ht="12.75">
      <c r="A10" s="3143" t="s">
        <v>2132</v>
      </c>
      <c r="B10" s="3069">
        <v>15</v>
      </c>
      <c r="C10" s="3173"/>
      <c r="D10" s="3161"/>
      <c r="E10" s="140" t="s">
        <v>2133</v>
      </c>
      <c r="F10" s="2422"/>
      <c r="G10" s="2422"/>
      <c r="H10" s="2422"/>
      <c r="I10" s="1828"/>
    </row>
    <row r="11" spans="1:12" ht="12.75">
      <c r="A11" s="3143"/>
      <c r="B11" s="3069"/>
      <c r="C11" s="3174"/>
      <c r="D11" s="3161"/>
      <c r="E11" s="140" t="s">
        <v>2134</v>
      </c>
      <c r="F11" s="2422"/>
      <c r="G11" s="2422"/>
      <c r="H11" s="2422"/>
      <c r="I11" s="1828"/>
    </row>
    <row r="12" spans="1:12" ht="12.75">
      <c r="A12" s="3143" t="s">
        <v>2135</v>
      </c>
      <c r="B12" s="3069">
        <v>15</v>
      </c>
      <c r="C12" s="3173"/>
      <c r="D12" s="3161"/>
      <c r="E12" s="140" t="s">
        <v>2136</v>
      </c>
      <c r="F12" s="2422"/>
      <c r="G12" s="2422"/>
      <c r="H12" s="2422"/>
      <c r="I12" s="1828"/>
    </row>
    <row r="13" spans="1:12" ht="12.75">
      <c r="A13" s="3143"/>
      <c r="B13" s="3069"/>
      <c r="C13" s="3174"/>
      <c r="D13" s="3161"/>
      <c r="E13" s="140" t="s">
        <v>2137</v>
      </c>
      <c r="F13" s="2422"/>
      <c r="G13" s="2422"/>
      <c r="H13" s="2422"/>
      <c r="I13" s="1828"/>
    </row>
    <row r="14" spans="1:12" ht="12.75">
      <c r="A14" s="3143" t="s">
        <v>2138</v>
      </c>
      <c r="B14" s="3069">
        <v>30</v>
      </c>
      <c r="C14" s="3173">
        <v>4</v>
      </c>
      <c r="D14" s="3161">
        <v>6</v>
      </c>
      <c r="E14" s="140" t="s">
        <v>2139</v>
      </c>
      <c r="F14" s="2422"/>
      <c r="G14" s="2422"/>
      <c r="H14" s="2422"/>
      <c r="I14" s="1828"/>
    </row>
    <row r="15" spans="1:12" ht="12.75">
      <c r="A15" s="3143"/>
      <c r="B15" s="3069"/>
      <c r="C15" s="3175"/>
      <c r="D15" s="3161"/>
      <c r="E15" s="140" t="s">
        <v>2140</v>
      </c>
      <c r="F15" s="2422"/>
      <c r="G15" s="2422"/>
      <c r="H15" s="2422"/>
      <c r="I15" s="1828"/>
    </row>
    <row r="16" spans="1:12" ht="12.75">
      <c r="A16" s="3143"/>
      <c r="B16" s="3069"/>
      <c r="C16" s="3174"/>
      <c r="D16" s="3161"/>
      <c r="E16" s="140" t="s">
        <v>2141</v>
      </c>
      <c r="F16" s="2422"/>
      <c r="G16" s="2422"/>
      <c r="H16" s="2422"/>
      <c r="I16" s="1828"/>
    </row>
    <row r="17" spans="1:35" ht="15">
      <c r="A17" s="2423" t="s">
        <v>2142</v>
      </c>
      <c r="B17" s="64"/>
      <c r="C17" s="141">
        <f>SUM(C5:C16)</f>
        <v>4</v>
      </c>
      <c r="D17" s="141">
        <f>SUM(D5:D16)</f>
        <v>6</v>
      </c>
      <c r="E17" s="138"/>
      <c r="F17" s="138"/>
      <c r="G17" s="138"/>
      <c r="H17" s="138"/>
      <c r="I17" s="138"/>
      <c r="K17" s="2421"/>
      <c r="L17" s="2424" t="s">
        <v>2143</v>
      </c>
      <c r="M17" s="2424" t="s">
        <v>2144</v>
      </c>
    </row>
    <row r="18" spans="1:35" ht="15.75" thickBot="1">
      <c r="A18" s="2425" t="s">
        <v>2145</v>
      </c>
      <c r="B18" s="2426"/>
      <c r="C18" s="142">
        <f>ROUND(C17/SUM(C17:D17),2)</f>
        <v>0.4</v>
      </c>
      <c r="D18" s="142">
        <f>1-C18</f>
        <v>0.6</v>
      </c>
      <c r="E18" s="138"/>
      <c r="F18" s="138"/>
      <c r="G18" s="138"/>
      <c r="H18" s="138"/>
      <c r="I18" s="138"/>
      <c r="K18" s="2421" t="s">
        <v>2146</v>
      </c>
      <c r="L18" s="2421">
        <f>IF(C1="",'数据-汇总表'!E3,SUMIF(项目类型,C1,'数据-汇总表'!E17:E26)+SUMIF(项目类型,C1,'数据-汇总表'!I17:I26))</f>
        <v>22318.329999999998</v>
      </c>
      <c r="M18" s="2421">
        <f>IF(C1="",'数据-汇总表'!E3,SUMIF(项目类型,C1,'数据-汇总表'!E17:E26))</f>
        <v>22318.329999999998</v>
      </c>
    </row>
    <row r="19" spans="1:35" ht="15">
      <c r="A19" s="2427" t="s">
        <v>2147</v>
      </c>
      <c r="B19" s="2428" t="s">
        <v>2148</v>
      </c>
      <c r="C19" s="143" t="e">
        <f ca="1">SUMIF(INDIRECT("'"&amp;C4&amp;"'"&amp;"!A:A"),结果表!B19,INDIRECT("'"&amp;C4&amp;"'"&amp;"!B:B"))</f>
        <v>#DIV/0!</v>
      </c>
      <c r="D19" s="144">
        <f ca="1">SUMIF(INDIRECT("'"&amp;D4&amp;"'"&amp;"!A:A"),结果表!B19,INDIRECT("'"&amp;D4&amp;"'"&amp;"!B:B"))</f>
        <v>0</v>
      </c>
      <c r="E19" s="2427" t="s">
        <v>2149</v>
      </c>
      <c r="F19" s="2428" t="s">
        <v>2148</v>
      </c>
      <c r="G19" s="145" t="e">
        <f ca="1">ROUND(C19*$C$18+D19*$D$18,0)</f>
        <v>#DIV/0!</v>
      </c>
      <c r="H19" s="2429" t="s">
        <v>2150</v>
      </c>
      <c r="I19" s="138"/>
      <c r="K19" s="2421" t="s">
        <v>2151</v>
      </c>
      <c r="L19" s="2421">
        <f>IF(C1="",'数据-汇总表'!D3,SUMIF(项目类型,C1,'数据-汇总表'!D17:D26)+SUMIF(项目类型,C1,'数据-汇总表'!H17:H27))</f>
        <v>0</v>
      </c>
      <c r="M19" s="2421">
        <f>IF(C1="",'数据-汇总表'!D3,SUMIF(项目类型,C1,'数据-汇总表'!D17:D26))</f>
        <v>0</v>
      </c>
    </row>
    <row r="20" spans="1:35" ht="15">
      <c r="A20" s="2430"/>
      <c r="B20" s="1245" t="s">
        <v>2152</v>
      </c>
      <c r="C20" s="146" t="e">
        <f ca="1">SUMIF(INDIRECT("'"&amp;C4&amp;"'"&amp;"!A:A"),结果表!B20,INDIRECT("'"&amp;C4&amp;"'"&amp;"!B:B"))</f>
        <v>#DIV/0!</v>
      </c>
      <c r="D20" s="147">
        <f ca="1">SUMIF(INDIRECT("'"&amp;D4&amp;"'"&amp;"!A:A"),结果表!B20,INDIRECT("'"&amp;D4&amp;"'"&amp;"!B:B"))</f>
        <v>0</v>
      </c>
      <c r="E20" s="2430"/>
      <c r="F20" s="1245" t="s">
        <v>2152</v>
      </c>
      <c r="G20" s="148" t="e">
        <f ca="1">ROUND(C20*$C$18+D20*$D$18,0)</f>
        <v>#DIV/0!</v>
      </c>
      <c r="H20" s="978" t="s">
        <v>2153</v>
      </c>
      <c r="I20" s="138"/>
    </row>
    <row r="21" spans="1:35" ht="15" customHeight="1" thickBot="1">
      <c r="A21" s="998"/>
      <c r="B21" s="2431" t="s">
        <v>2154</v>
      </c>
      <c r="C21" s="788" t="e">
        <f ca="1">ROUND(C19*10000/L19,0)</f>
        <v>#DIV/0!</v>
      </c>
      <c r="D21" s="789" t="e">
        <f ca="1">ROUND(D19*10000/L19,0)</f>
        <v>#DIV/0!</v>
      </c>
      <c r="E21" s="998"/>
      <c r="F21" s="2431" t="s">
        <v>2154</v>
      </c>
      <c r="G21" s="149" t="e">
        <f ca="1">ROUND(G19*10000/L19,0)</f>
        <v>#DIV/0!</v>
      </c>
      <c r="H21" s="2432" t="s">
        <v>2153</v>
      </c>
      <c r="I21" s="138"/>
    </row>
    <row r="22" spans="1:35" ht="15" thickBot="1">
      <c r="A22" s="2273" t="s">
        <v>2155</v>
      </c>
      <c r="B22" s="2433"/>
      <c r="C22" s="2434"/>
      <c r="D22" s="790" t="e">
        <f ca="1">IF(C19&lt;D19,D19/C19-1,C19/D19-1)</f>
        <v>#DIV/0!</v>
      </c>
      <c r="E22" s="138"/>
      <c r="F22" s="138"/>
      <c r="G22" s="138"/>
      <c r="H22" s="138"/>
      <c r="I22" s="138"/>
    </row>
    <row r="23" spans="1:35" ht="13.5" thickBot="1">
      <c r="A23" s="2411"/>
      <c r="B23" s="2411"/>
      <c r="C23" s="2411"/>
      <c r="D23" s="2411"/>
      <c r="E23" s="138"/>
      <c r="F23" s="138"/>
      <c r="G23" s="138"/>
      <c r="H23" s="138"/>
      <c r="I23" s="138"/>
    </row>
    <row r="24" spans="1:35" ht="14.25">
      <c r="A24" s="3182" t="s">
        <v>2156</v>
      </c>
      <c r="B24" s="2428" t="s">
        <v>2148</v>
      </c>
      <c r="C24" s="145">
        <f>IF(B30=0,0,D30)</f>
        <v>0</v>
      </c>
      <c r="D24" s="2435"/>
      <c r="E24" s="138"/>
      <c r="F24" s="138"/>
      <c r="G24" s="138"/>
      <c r="H24" s="138"/>
      <c r="I24" s="138"/>
    </row>
    <row r="25" spans="1:35" ht="14.25">
      <c r="A25" s="3183"/>
      <c r="B25" s="1245" t="s">
        <v>2152</v>
      </c>
      <c r="C25" s="150">
        <f>IF(B30=0,0,C30)</f>
        <v>0</v>
      </c>
      <c r="D25" s="2436"/>
      <c r="E25" s="138"/>
      <c r="F25" s="138"/>
      <c r="G25" s="138"/>
      <c r="H25" s="138"/>
      <c r="I25" s="138"/>
    </row>
    <row r="26" spans="1:35" ht="13.5" customHeight="1">
      <c r="A26" s="2437" t="s">
        <v>2157</v>
      </c>
      <c r="B26" s="151" t="s">
        <v>2158</v>
      </c>
      <c r="C26" s="151" t="s">
        <v>2159</v>
      </c>
      <c r="D26" s="152" t="s">
        <v>2160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2161</v>
      </c>
      <c r="B30" s="151"/>
      <c r="C30" s="151"/>
      <c r="D30" s="151"/>
      <c r="E30" s="2920" t="s">
        <v>3034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2162</v>
      </c>
      <c r="B32" s="2441"/>
      <c r="C32" s="153" t="e">
        <f ca="1">IF(D32="总价",G19-C24,G20-C25)</f>
        <v>#DIV/0!</v>
      </c>
      <c r="D32" s="2442" t="s">
        <v>2163</v>
      </c>
      <c r="E32" s="138"/>
      <c r="F32" s="138"/>
      <c r="G32" s="138"/>
      <c r="H32" s="138"/>
      <c r="I32" s="138"/>
    </row>
    <row r="33" spans="1:15" ht="15">
      <c r="A33" s="955" t="s">
        <v>2164</v>
      </c>
      <c r="B33" s="2443"/>
      <c r="C33" s="2444" t="s">
        <v>3236</v>
      </c>
      <c r="D33" s="2445" t="s">
        <v>3172</v>
      </c>
      <c r="E33" s="2446" t="s">
        <v>2165</v>
      </c>
      <c r="F33" s="2447" t="str">
        <f>IF(D32="楼面单价","取值（单价）","取值（总价）")</f>
        <v>取值（总价）</v>
      </c>
      <c r="G33" s="138"/>
      <c r="H33" s="138"/>
      <c r="I33" s="138"/>
    </row>
    <row r="34" spans="1:15" ht="15">
      <c r="A34" s="2448"/>
      <c r="B34" s="2449" t="s">
        <v>2166</v>
      </c>
      <c r="C34" s="157" t="e">
        <f ca="1">IF(C33="自定义",F34,C32-C35)</f>
        <v>#DIV/0!</v>
      </c>
      <c r="D34" s="1053" t="e">
        <f ca="1">IF(C33="自定义",ROUND(C34/C32,3),IF(C33="收益比率",SUMIF(INDIRECT("'"&amp;D33&amp;"'"&amp;"!b:b"),"土地收益比率",INDIRECT("'"&amp;D33&amp;"'"&amp;"!c:c")),SUMIF(INDIRECT("'"&amp;D33&amp;"'"&amp;"!b:b"),"土地成本比率",INDIRECT("'"&amp;D33&amp;"'"&amp;"!c:c"))))</f>
        <v>#DIV/0!</v>
      </c>
      <c r="E34" s="2450" t="s">
        <v>2167</v>
      </c>
      <c r="F34" s="1733"/>
      <c r="G34" s="138"/>
      <c r="H34" s="138"/>
      <c r="I34" s="138"/>
    </row>
    <row r="35" spans="1:15" ht="15.75" thickBot="1">
      <c r="A35" s="2451"/>
      <c r="B35" s="2452" t="s">
        <v>2168</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3" t="s">
        <v>2169</v>
      </c>
      <c r="F35" s="163"/>
      <c r="G35" s="138"/>
      <c r="H35" s="138"/>
      <c r="I35" s="138"/>
    </row>
    <row r="36" spans="1:15" ht="15.75" thickBot="1">
      <c r="A36" s="3162" t="s">
        <v>2170</v>
      </c>
      <c r="B36" s="2454" t="s">
        <v>2171</v>
      </c>
      <c r="C36" s="154"/>
      <c r="D36" s="2455"/>
      <c r="E36" s="2456"/>
      <c r="F36" s="2457"/>
      <c r="G36" s="138"/>
      <c r="H36" s="138"/>
      <c r="I36" s="138"/>
    </row>
    <row r="37" spans="1:15" ht="15.75" thickBot="1">
      <c r="A37" s="3163"/>
      <c r="B37" s="2259" t="s">
        <v>2172</v>
      </c>
      <c r="C37" s="156"/>
      <c r="D37" s="1390"/>
      <c r="E37" s="1390"/>
      <c r="F37" s="2457"/>
      <c r="G37" s="138"/>
      <c r="H37" s="138"/>
      <c r="I37" s="138"/>
    </row>
    <row r="38" spans="1:15" ht="15.75" thickBot="1">
      <c r="A38" s="3164"/>
      <c r="B38" s="2458" t="s">
        <v>2173</v>
      </c>
      <c r="C38" s="726"/>
      <c r="D38" s="2459" t="s">
        <v>2174</v>
      </c>
      <c r="E38" s="1390"/>
      <c r="F38" s="2457"/>
      <c r="G38" s="138"/>
      <c r="H38" s="138"/>
      <c r="I38" s="138"/>
    </row>
    <row r="39" spans="1:15" ht="15">
      <c r="A39" s="2430" t="s">
        <v>2175</v>
      </c>
      <c r="B39" s="2460" t="s">
        <v>2176</v>
      </c>
      <c r="C39" s="2461" t="s">
        <v>2177</v>
      </c>
      <c r="D39" s="2461" t="s">
        <v>2178</v>
      </c>
      <c r="E39" s="2462" t="s">
        <v>2179</v>
      </c>
      <c r="F39" s="2457"/>
      <c r="G39" s="138"/>
      <c r="H39" s="138"/>
      <c r="I39" s="138"/>
    </row>
    <row r="40" spans="1:15" ht="14.25">
      <c r="A40" s="2463" t="s">
        <v>2180</v>
      </c>
      <c r="B40" s="158"/>
      <c r="C40" s="159"/>
      <c r="D40" s="159"/>
      <c r="E40" s="160"/>
      <c r="F40" s="2457"/>
      <c r="G40" s="138"/>
      <c r="H40" s="138"/>
      <c r="I40" s="138"/>
    </row>
    <row r="41" spans="1:15" ht="14.25">
      <c r="A41" s="2463" t="s">
        <v>2181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179" t="s">
        <v>2184</v>
      </c>
      <c r="B45" s="3180"/>
      <c r="C45" s="3181"/>
      <c r="D45" s="164" t="e">
        <f ca="1">ROUND(H101*F45,0)</f>
        <v>#DIV/0!</v>
      </c>
      <c r="E45" s="165" t="s">
        <v>2185</v>
      </c>
      <c r="F45" s="166">
        <v>1</v>
      </c>
      <c r="G45" s="167" t="s">
        <v>2186</v>
      </c>
      <c r="H45" s="138"/>
      <c r="I45" s="138"/>
      <c r="J45" s="3098" t="s">
        <v>2187</v>
      </c>
      <c r="K45" s="3098"/>
      <c r="L45" s="3098"/>
      <c r="M45" s="3098"/>
      <c r="N45" s="3098"/>
      <c r="O45" s="3098"/>
    </row>
    <row r="46" spans="1:15" ht="14.25" customHeight="1">
      <c r="A46" s="3176" t="s">
        <v>2188</v>
      </c>
      <c r="B46" s="3177"/>
      <c r="C46" s="3177"/>
      <c r="D46" s="3177"/>
      <c r="E46" s="3177"/>
      <c r="F46" s="3177"/>
      <c r="G46" s="3178"/>
      <c r="H46" s="2473"/>
      <c r="I46" s="168"/>
      <c r="J46" s="1806">
        <v>1</v>
      </c>
      <c r="K46" s="3098" t="s">
        <v>2189</v>
      </c>
      <c r="L46" s="3098"/>
      <c r="M46" s="3099"/>
      <c r="N46" s="3099"/>
      <c r="O46" s="3099"/>
    </row>
    <row r="47" spans="1:15" ht="12" customHeight="1">
      <c r="A47" s="169" t="s">
        <v>2190</v>
      </c>
      <c r="B47" s="170"/>
      <c r="C47" s="171"/>
      <c r="D47" s="172" t="s">
        <v>2191</v>
      </c>
      <c r="E47" s="24" t="s">
        <v>2192</v>
      </c>
      <c r="F47" s="173" t="s">
        <v>2193</v>
      </c>
      <c r="G47" s="174" t="s">
        <v>2194</v>
      </c>
      <c r="H47" s="2473"/>
      <c r="I47" s="168"/>
      <c r="J47" s="1806">
        <v>2</v>
      </c>
      <c r="K47" s="3098" t="s">
        <v>2195</v>
      </c>
      <c r="L47" s="3098"/>
      <c r="M47" s="3100">
        <f>'数据-取费表'!B2</f>
        <v>43539</v>
      </c>
      <c r="N47" s="3100"/>
      <c r="O47" s="3100"/>
    </row>
    <row r="48" spans="1:15" ht="25.5">
      <c r="A48" s="3166" t="s">
        <v>2196</v>
      </c>
      <c r="B48" s="3167"/>
      <c r="C48" s="3167"/>
      <c r="D48" s="140">
        <f>IF(H48="情况1",0,IF(H48="情况2",D52,IF(H48="情况3",D53,IF(H48="情况4",D54))))</f>
        <v>0</v>
      </c>
      <c r="E48" s="1795" t="str">
        <f>IF(H48="情况4","(销售额-原购置价)×税（费）率","销售额×税（费）率")</f>
        <v>销售额×税（费）率</v>
      </c>
      <c r="F48" s="175" t="str">
        <f>IF(H48="情况1","免征",'数据-取费表'!B41)</f>
        <v>免征</v>
      </c>
      <c r="G48" s="2474" t="s">
        <v>2197</v>
      </c>
      <c r="H48" s="2475" t="s">
        <v>2198</v>
      </c>
      <c r="I48" s="2473"/>
      <c r="J48" s="1806">
        <v>3</v>
      </c>
      <c r="K48" s="3098" t="s">
        <v>2199</v>
      </c>
      <c r="L48" s="3098"/>
      <c r="M48" s="3101" t="e">
        <f ca="1">H101</f>
        <v>#DIV/0!</v>
      </c>
      <c r="N48" s="3101"/>
      <c r="O48" s="3101"/>
    </row>
    <row r="49" spans="1:35" ht="25.5" customHeight="1">
      <c r="A49" s="176" t="s">
        <v>2200</v>
      </c>
      <c r="B49" s="3146" t="s">
        <v>2201</v>
      </c>
      <c r="C49" s="3146"/>
      <c r="D49" s="177">
        <v>0</v>
      </c>
      <c r="E49" s="23" t="s">
        <v>2202</v>
      </c>
      <c r="F49" s="28" t="s">
        <v>34</v>
      </c>
      <c r="G49" s="3127"/>
      <c r="H49" s="138"/>
      <c r="I49" s="2476"/>
      <c r="J49" s="1806">
        <v>4</v>
      </c>
      <c r="K49" s="3098" t="str">
        <f>IF(项目基本情况!E8="房地产抵押价值","房地产抵押价值","抵押担保权已注销时的房地产抵押价值")</f>
        <v>房地产抵押价值</v>
      </c>
      <c r="L49" s="3098"/>
      <c r="M49" s="3101" t="e">
        <f ca="1">IF(项目基本情况!E8="房地产抵押价值",H107,H109)</f>
        <v>#DIV/0!</v>
      </c>
      <c r="N49" s="3101"/>
      <c r="O49" s="3101"/>
    </row>
    <row r="50" spans="1:35" ht="25.5" customHeight="1">
      <c r="A50" s="178"/>
      <c r="B50" s="3146" t="s">
        <v>2203</v>
      </c>
      <c r="C50" s="3146"/>
      <c r="D50" s="179"/>
      <c r="E50" s="31"/>
      <c r="F50" s="180"/>
      <c r="G50" s="3128"/>
      <c r="H50" s="138"/>
      <c r="I50" s="2476"/>
      <c r="J50" s="3098" t="s">
        <v>2204</v>
      </c>
      <c r="K50" s="3098"/>
      <c r="L50" s="3098"/>
      <c r="M50" s="3098"/>
      <c r="N50" s="3098"/>
      <c r="O50" s="3098"/>
    </row>
    <row r="51" spans="1:35" ht="12" customHeight="1">
      <c r="A51" s="181"/>
      <c r="B51" s="3146" t="s">
        <v>2205</v>
      </c>
      <c r="C51" s="3146"/>
      <c r="D51" s="182"/>
      <c r="E51" s="30"/>
      <c r="F51" s="180"/>
      <c r="G51" s="3129"/>
      <c r="H51" s="138"/>
      <c r="I51" s="2476"/>
      <c r="J51" s="2477" t="s">
        <v>2206</v>
      </c>
      <c r="K51" s="3098" t="s">
        <v>2207</v>
      </c>
      <c r="L51" s="3098"/>
      <c r="M51" s="2477" t="s">
        <v>2208</v>
      </c>
      <c r="N51" s="2477" t="s">
        <v>2209</v>
      </c>
      <c r="O51" s="2477" t="s">
        <v>2210</v>
      </c>
    </row>
    <row r="52" spans="1:35" ht="24" customHeight="1">
      <c r="A52" s="183" t="s">
        <v>2211</v>
      </c>
      <c r="B52" s="3146" t="s">
        <v>2212</v>
      </c>
      <c r="C52" s="3146"/>
      <c r="D52" s="182" t="e">
        <f ca="1">ROUND(D45*'数据-取费表'!B41/(1+'数据-取费表'!C42),0)</f>
        <v>#DIV/0!</v>
      </c>
      <c r="E52" s="11" t="s">
        <v>2213</v>
      </c>
      <c r="F52" s="184">
        <f>'数据-取费表'!B41</f>
        <v>5.6000000000000001E-2</v>
      </c>
      <c r="G52" s="2478"/>
      <c r="H52" s="138"/>
      <c r="I52" s="2476"/>
      <c r="J52" s="1806">
        <v>1</v>
      </c>
      <c r="K52" s="3121" t="s">
        <v>2214</v>
      </c>
      <c r="L52" s="3121"/>
      <c r="M52" s="1748">
        <f>D48</f>
        <v>0</v>
      </c>
      <c r="N52" s="1806" t="str">
        <f>E48</f>
        <v>销售额×税（费）率</v>
      </c>
      <c r="O52" s="1749" t="str">
        <f>F48</f>
        <v>免征</v>
      </c>
    </row>
    <row r="53" spans="1:35" ht="12" customHeight="1">
      <c r="A53" s="183" t="s">
        <v>2215</v>
      </c>
      <c r="B53" s="3147" t="s">
        <v>2216</v>
      </c>
      <c r="C53" s="3148"/>
      <c r="D53" s="182" t="e">
        <f ca="1">ROUND(D45*'数据-取费表'!B41/(1+'数据-取费表'!C42),0)</f>
        <v>#DIV/0!</v>
      </c>
      <c r="E53" s="11" t="s">
        <v>2213</v>
      </c>
      <c r="F53" s="184">
        <f>'数据-取费表'!B41</f>
        <v>5.6000000000000001E-2</v>
      </c>
      <c r="G53" s="2478"/>
      <c r="H53" s="138"/>
      <c r="I53" s="2476"/>
      <c r="J53" s="1806">
        <v>2</v>
      </c>
      <c r="K53" s="3121" t="s">
        <v>2217</v>
      </c>
      <c r="L53" s="3121"/>
      <c r="M53" s="1748" t="e">
        <f t="shared" ref="M53:O54" ca="1" si="0">D55</f>
        <v>#DIV/0!</v>
      </c>
      <c r="N53" s="1806" t="str">
        <f t="shared" si="0"/>
        <v>销售额×税（费）率</v>
      </c>
      <c r="O53" s="1749">
        <f t="shared" si="0"/>
        <v>5.0000000000000001E-4</v>
      </c>
    </row>
    <row r="54" spans="1:35" ht="12" customHeight="1">
      <c r="A54" s="183" t="s">
        <v>2218</v>
      </c>
      <c r="B54" s="3147" t="s">
        <v>2219</v>
      </c>
      <c r="C54" s="3148"/>
      <c r="D54" s="182" t="e">
        <f ca="1">C68</f>
        <v>#DIV/0!</v>
      </c>
      <c r="E54" s="30" t="s">
        <v>2220</v>
      </c>
      <c r="F54" s="184">
        <f>'数据-取费表'!B41</f>
        <v>5.6000000000000001E-2</v>
      </c>
      <c r="G54" s="2478"/>
      <c r="H54" s="2479"/>
      <c r="I54" s="2476"/>
      <c r="J54" s="1806">
        <v>3</v>
      </c>
      <c r="K54" s="3121" t="s">
        <v>2221</v>
      </c>
      <c r="L54" s="3121"/>
      <c r="M54" s="1748" t="e">
        <f t="shared" ca="1" si="0"/>
        <v>#DIV/0!</v>
      </c>
      <c r="N54" s="1806" t="str">
        <f t="shared" si="0"/>
        <v>增值额×税（费）率</v>
      </c>
      <c r="O54" s="1750" t="str">
        <f t="shared" si="0"/>
        <v>——</v>
      </c>
    </row>
    <row r="55" spans="1:35" ht="24" customHeight="1">
      <c r="A55" s="3185" t="s">
        <v>2222</v>
      </c>
      <c r="B55" s="3167"/>
      <c r="C55" s="3167"/>
      <c r="D55" s="185" t="e">
        <f ca="1">IF(H55="个人住宅",0,ROUND(D45*I55,0))</f>
        <v>#DIV/0!</v>
      </c>
      <c r="E55" s="11" t="s">
        <v>2223</v>
      </c>
      <c r="F55" s="184">
        <f>IF(H55="正常",I55,"免征")</f>
        <v>5.0000000000000001E-4</v>
      </c>
      <c r="G55" s="2478"/>
      <c r="H55" s="2475" t="s">
        <v>2224</v>
      </c>
      <c r="I55" s="186">
        <f>'数据-取费表'!B49</f>
        <v>5.0000000000000001E-4</v>
      </c>
      <c r="J55" s="1806" t="str">
        <f>IF(H59="非个人房产","",4)</f>
        <v/>
      </c>
      <c r="K55" s="3121" t="str">
        <f>IF(H59="非个人房产","——","个人所得税")</f>
        <v>——</v>
      </c>
      <c r="L55" s="3121"/>
      <c r="M55" s="1751" t="str">
        <f>D59</f>
        <v>——</v>
      </c>
      <c r="N55" s="1804" t="str">
        <f>E59</f>
        <v>——</v>
      </c>
      <c r="O55" s="1752" t="str">
        <f>F59</f>
        <v>——</v>
      </c>
    </row>
    <row r="56" spans="1:35" ht="24.75">
      <c r="A56" s="3185" t="s">
        <v>2225</v>
      </c>
      <c r="B56" s="3167"/>
      <c r="C56" s="3167"/>
      <c r="D56" s="185" t="e">
        <f ca="1">IF(H56="个人住宅",D57,D58)</f>
        <v>#DIV/0!</v>
      </c>
      <c r="E56" s="11" t="s">
        <v>2226</v>
      </c>
      <c r="F56" s="184" t="str">
        <f>IF(H56="正常",F58,"免征")</f>
        <v>——</v>
      </c>
      <c r="G56" s="2480" t="s">
        <v>2227</v>
      </c>
      <c r="H56" s="2481" t="s">
        <v>2224</v>
      </c>
      <c r="I56" s="2482"/>
      <c r="J56" s="1806" t="str">
        <f>IF(项目基本情况!K6="上海银行",IF(J55="",4,J55+1),"")</f>
        <v/>
      </c>
      <c r="K56" s="3104" t="str">
        <f>IF(项目基本情况!K6="上海银行","其他处置费用","")</f>
        <v/>
      </c>
      <c r="L56" s="3105"/>
      <c r="M56" s="1748"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78"/>
      <c r="H57" s="2482"/>
      <c r="I57" s="2482"/>
      <c r="J57" s="3121">
        <f>IF(AND(J55="",J56=""),4,IF(项目基本情况!K6="上海银行",结果表!J56+1,结果表!J55+1))</f>
        <v>4</v>
      </c>
      <c r="K57" s="3121" t="s">
        <v>2229</v>
      </c>
      <c r="L57" s="2483" t="s">
        <v>2230</v>
      </c>
      <c r="M57" s="1753"/>
      <c r="N57" s="1754">
        <f ca="1">SUMIF(M52:M56,"&lt;9e307")</f>
        <v>0</v>
      </c>
      <c r="O57" s="2484"/>
      <c r="P57" s="1747" t="e">
        <f ca="1">N57/M49</f>
        <v>#DIV/0!</v>
      </c>
    </row>
    <row r="58" spans="1:35" ht="24.75">
      <c r="A58" s="183" t="s">
        <v>2211</v>
      </c>
      <c r="B58" s="3152" t="s">
        <v>2231</v>
      </c>
      <c r="C58" s="3165"/>
      <c r="D58" s="185" t="e">
        <f ca="1">IF(H58="转让取得",C81,C97)</f>
        <v>#DIV/0!</v>
      </c>
      <c r="E58" s="11" t="s">
        <v>2226</v>
      </c>
      <c r="F58" s="24" t="s">
        <v>34</v>
      </c>
      <c r="G58" s="2478"/>
      <c r="H58" s="2481" t="s">
        <v>2232</v>
      </c>
      <c r="I58" s="2482"/>
      <c r="J58" s="3121"/>
      <c r="K58" s="3121"/>
      <c r="L58" s="2483" t="s">
        <v>2233</v>
      </c>
      <c r="M58" s="1755"/>
      <c r="N58" s="2485" t="str">
        <f ca="1">NUMBERSTRING(INT(N57*10000),2)&amp;"元整"</f>
        <v>零元整</v>
      </c>
      <c r="O58" s="2486"/>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87" t="s">
        <v>2227</v>
      </c>
      <c r="H59" s="2481" t="s">
        <v>2235</v>
      </c>
      <c r="I59" s="191">
        <v>0.01</v>
      </c>
      <c r="J59" s="3123">
        <f>J57+1</f>
        <v>5</v>
      </c>
      <c r="K59" s="3121" t="s">
        <v>2236</v>
      </c>
      <c r="L59" s="1806" t="s">
        <v>2230</v>
      </c>
      <c r="M59" s="1756"/>
      <c r="N59" s="1757" t="e">
        <f ca="1">M49-N57</f>
        <v>#DIV/0!</v>
      </c>
      <c r="O59" s="2488"/>
    </row>
    <row r="60" spans="1:35" ht="12" customHeight="1">
      <c r="A60" s="2489"/>
      <c r="B60" s="2411"/>
      <c r="C60" s="2411"/>
      <c r="D60" s="2411"/>
      <c r="E60" s="2159"/>
      <c r="F60" s="2482"/>
      <c r="G60" s="2482"/>
      <c r="H60" s="2490"/>
      <c r="I60" s="138"/>
      <c r="J60" s="3124"/>
      <c r="K60" s="3121"/>
      <c r="L60" s="2483" t="s">
        <v>2233</v>
      </c>
      <c r="M60" s="1755"/>
      <c r="N60" s="2485" t="e">
        <f ca="1">NUMBERSTRING(INT(N59*10000),2)&amp;"元整"</f>
        <v>#DIV/0!</v>
      </c>
      <c r="O60" s="2486"/>
    </row>
    <row r="61" spans="1:35" ht="13.5" thickBot="1">
      <c r="A61" s="3184" t="s">
        <v>2237</v>
      </c>
      <c r="B61" s="3184"/>
      <c r="C61" s="3184"/>
      <c r="D61" s="3184"/>
      <c r="E61" s="3184"/>
      <c r="F61" s="2482"/>
      <c r="G61" s="2482"/>
      <c r="H61" s="2490"/>
      <c r="I61" s="138"/>
      <c r="J61" s="1806">
        <f>J59+1</f>
        <v>6</v>
      </c>
      <c r="K61" s="3121" t="s">
        <v>2238</v>
      </c>
      <c r="L61" s="3121"/>
      <c r="M61" s="1758"/>
      <c r="N61" s="1759" t="e">
        <f ca="1">ROUND(N59*10000/'数据-汇总表'!E3,0)</f>
        <v>#DIV/0!</v>
      </c>
      <c r="O61" s="2491"/>
    </row>
    <row r="62" spans="1:35" ht="12.75">
      <c r="A62" s="3141" t="s">
        <v>2239</v>
      </c>
      <c r="B62" s="3142"/>
      <c r="C62" s="1798"/>
      <c r="D62" s="1798" t="s">
        <v>2240</v>
      </c>
      <c r="E62" s="192" t="s">
        <v>2241</v>
      </c>
      <c r="F62" s="2482"/>
      <c r="G62" s="2482"/>
      <c r="H62" s="2490"/>
      <c r="I62" s="138"/>
    </row>
    <row r="63" spans="1:35" ht="12.75">
      <c r="A63" s="203" t="s">
        <v>775</v>
      </c>
      <c r="B63" s="193" t="s">
        <v>2242</v>
      </c>
      <c r="C63" s="194" t="e">
        <f ca="1">ROUND((C64+C65)/(1+'数据-取费表'!C42),0)</f>
        <v>#DIV/0!</v>
      </c>
      <c r="D63" s="195"/>
      <c r="E63" s="196"/>
      <c r="F63" s="2482"/>
      <c r="G63" s="2482"/>
      <c r="H63" s="2490"/>
      <c r="I63" s="138"/>
      <c r="J63" s="3106" t="s">
        <v>2243</v>
      </c>
      <c r="K63" s="2492" t="s">
        <v>2244</v>
      </c>
      <c r="L63" s="1746" t="e">
        <f ca="1">IF(M49&gt;10000,M49*0.5%,IF(AND(M49&gt;1000,M49&lt;=10000),M49*1%,IF(AND(M49&gt;100,M49&lt;=1000),M49*3%,IF(AND(M49&gt;10,M49&lt;=100),M49*5%,M49*8%))))</f>
        <v>#DIV/0!</v>
      </c>
      <c r="M63" s="24" t="e">
        <f ca="1">ROUND(L63,1)</f>
        <v>#DIV/0!</v>
      </c>
      <c r="Z63" s="2416"/>
      <c r="AI63" s="2417"/>
    </row>
    <row r="64" spans="1:35" ht="14.25" customHeight="1">
      <c r="A64" s="197" t="s">
        <v>770</v>
      </c>
      <c r="B64" s="198" t="s">
        <v>2245</v>
      </c>
      <c r="C64" s="199" t="e">
        <f ca="1">D45</f>
        <v>#DIV/0!</v>
      </c>
      <c r="D64" s="200" t="s">
        <v>32</v>
      </c>
      <c r="E64" s="201"/>
      <c r="F64" s="2482"/>
      <c r="G64" s="2482"/>
      <c r="H64" s="2490"/>
      <c r="I64" s="138"/>
      <c r="J64" s="3106"/>
      <c r="K64" s="2492" t="s">
        <v>2246</v>
      </c>
      <c r="L64" s="1746"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2247</v>
      </c>
      <c r="Z64" s="2416"/>
      <c r="AI64" s="2417"/>
    </row>
    <row r="65" spans="1:35" ht="14.25" customHeight="1">
      <c r="A65" s="197" t="s">
        <v>771</v>
      </c>
      <c r="B65" s="198" t="s">
        <v>2248</v>
      </c>
      <c r="C65" s="202"/>
      <c r="D65" s="200"/>
      <c r="E65" s="201"/>
      <c r="F65" s="2482"/>
      <c r="G65" s="2482"/>
      <c r="H65" s="2490"/>
      <c r="I65" s="138"/>
      <c r="J65" s="3106"/>
      <c r="K65" s="2492" t="s">
        <v>2249</v>
      </c>
      <c r="L65" s="1746" t="e">
        <f ca="1">IF(M49&gt;1000,M49*0.1%,IF(AND(M49&gt;500,M49&lt;=1000),M49*0.5%,IF(AND(M49&gt;50,M49&lt;=500),M49*1%,IF(AND(M49&gt;1,M49&lt;=50),M49*1.5%))))</f>
        <v>#DIV/0!</v>
      </c>
      <c r="M65" s="24" t="e">
        <f t="shared" ca="1" si="1"/>
        <v>#DIV/0!</v>
      </c>
      <c r="N65" s="138" t="s">
        <v>2247</v>
      </c>
      <c r="Z65" s="2416"/>
      <c r="AI65" s="2417"/>
    </row>
    <row r="66" spans="1:35" ht="14.25" customHeight="1">
      <c r="A66" s="203" t="s">
        <v>772</v>
      </c>
      <c r="B66" s="204" t="s">
        <v>2250</v>
      </c>
      <c r="C66" s="205"/>
      <c r="D66" s="206" t="s">
        <v>32</v>
      </c>
      <c r="E66" s="1770" t="s">
        <v>1371</v>
      </c>
      <c r="F66" s="2482"/>
      <c r="G66" s="2482"/>
      <c r="H66" s="2490"/>
      <c r="I66" s="138"/>
      <c r="J66" s="3106"/>
      <c r="K66" s="2492" t="s">
        <v>2251</v>
      </c>
      <c r="L66" s="1746" t="e">
        <f ca="1">M49*0.5%</f>
        <v>#DIV/0!</v>
      </c>
      <c r="M66" s="24" t="e">
        <f ca="1">IF(L66&gt;0.5,0.5,ROUND(L66,0))</f>
        <v>#DIV/0!</v>
      </c>
      <c r="N66" s="138" t="s">
        <v>2252</v>
      </c>
      <c r="Z66" s="2416"/>
      <c r="AI66" s="2417"/>
    </row>
    <row r="67" spans="1:35" ht="14.25" customHeight="1">
      <c r="A67" s="203" t="s">
        <v>773</v>
      </c>
      <c r="B67" s="204" t="s">
        <v>2253</v>
      </c>
      <c r="C67" s="207" t="e">
        <f ca="1">C63-C66</f>
        <v>#DIV/0!</v>
      </c>
      <c r="D67" s="200" t="s">
        <v>32</v>
      </c>
      <c r="E67" s="201"/>
      <c r="F67" s="2482"/>
      <c r="G67" s="2482"/>
      <c r="H67" s="2490"/>
      <c r="I67" s="138"/>
      <c r="J67" s="3106"/>
      <c r="K67" s="2492" t="s">
        <v>2254</v>
      </c>
      <c r="L67" s="1746"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6"/>
      <c r="AI67" s="2417"/>
    </row>
    <row r="68" spans="1:35" ht="14.25" customHeight="1" thickBot="1">
      <c r="A68" s="208" t="s">
        <v>774</v>
      </c>
      <c r="B68" s="209" t="s">
        <v>2255</v>
      </c>
      <c r="C68" s="210" t="e">
        <f ca="1">IF(C67&lt;=0,0,ROUND(C67*D68,0))</f>
        <v>#DIV/0!</v>
      </c>
      <c r="D68" s="211">
        <f>'数据-取费表'!B41</f>
        <v>5.6000000000000001E-2</v>
      </c>
      <c r="E68" s="212"/>
      <c r="F68" s="2482"/>
      <c r="G68" s="2482"/>
      <c r="H68" s="2490"/>
      <c r="I68" s="138"/>
      <c r="J68" s="3106"/>
      <c r="K68" s="2492" t="s">
        <v>2256</v>
      </c>
      <c r="L68" s="1746" t="e">
        <f ca="1">IF(M49&gt;10000,M49*0.5%,IF(AND(M49&gt;5000,M49&lt;=10000),M49*1%,IF(AND(M49&gt;1000,M49&lt;=5000),M49*2%,IF(AND(M49&gt;200,M49&lt;=1000),M49*3%,M49*5%))))</f>
        <v>#DIV/0!</v>
      </c>
      <c r="M68" s="24" t="e">
        <f ca="1">ROUND(L68,1)</f>
        <v>#DIV/0!</v>
      </c>
      <c r="Z68" s="2416"/>
      <c r="AI68" s="2417"/>
    </row>
    <row r="69" spans="1:35" s="2439" customFormat="1" ht="16.5" customHeight="1">
      <c r="A69" s="2493"/>
      <c r="B69" s="2494"/>
      <c r="C69" s="2495"/>
      <c r="D69" s="2496"/>
      <c r="E69" s="2497"/>
      <c r="F69" s="2159"/>
      <c r="G69" s="2159"/>
      <c r="H69" s="2158"/>
      <c r="I69" s="2411"/>
      <c r="J69" s="3106"/>
      <c r="K69" s="2492" t="s">
        <v>2257</v>
      </c>
      <c r="L69" s="2498"/>
      <c r="M69" s="24" t="e">
        <f ca="1">ROUND(SUM(M63:M68),0)</f>
        <v>#DIV/0!</v>
      </c>
      <c r="N69" s="1747" t="e">
        <f ca="1">M69/M49</f>
        <v>#DIV/0!</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0" t="s">
        <v>2258</v>
      </c>
      <c r="B70" s="3151"/>
      <c r="C70" s="3151"/>
      <c r="D70" s="3151"/>
      <c r="E70" s="3151"/>
      <c r="F70" s="3151"/>
      <c r="G70" s="3151"/>
      <c r="H70" s="315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1" t="s">
        <v>2239</v>
      </c>
      <c r="B71" s="3142"/>
      <c r="C71" s="1798"/>
      <c r="D71" s="1798" t="s">
        <v>2240</v>
      </c>
      <c r="E71" s="213" t="s">
        <v>2241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2259</v>
      </c>
      <c r="C72" s="207" t="e">
        <f ca="1">ROUND(D45/(1+'数据-取费表'!C42),0)</f>
        <v>#DIV/0!</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2260</v>
      </c>
      <c r="C73" s="207" t="e">
        <f ca="1">C74+C78</f>
        <v>#DIV/0!</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2261</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2262</v>
      </c>
      <c r="C75" s="218"/>
      <c r="D75" s="200" t="s">
        <v>32</v>
      </c>
      <c r="E75" s="219" t="s">
        <v>2263</v>
      </c>
      <c r="F75" s="2504" t="s">
        <v>2264</v>
      </c>
      <c r="G75" s="219" t="s">
        <v>2265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2266</v>
      </c>
      <c r="C76" s="200">
        <f>IF(F75="购房发票",ROUND(C75*H75*D76,0),0)</f>
        <v>0</v>
      </c>
      <c r="D76" s="222">
        <v>0.05</v>
      </c>
      <c r="E76" s="3147" t="s">
        <v>2267</v>
      </c>
      <c r="F76" s="3146"/>
      <c r="G76" s="3146"/>
      <c r="H76" s="314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6" t="s">
        <v>2270</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2271</v>
      </c>
      <c r="C78" s="225" t="e">
        <f ca="1">ROUND(D45*D78/(1+'数据-取费表'!C42),0)</f>
        <v>#DIV/0!</v>
      </c>
      <c r="D78" s="226">
        <f>'数据-取费表'!B43</f>
        <v>6.000000000000001E-3</v>
      </c>
      <c r="E78" s="3138" t="s">
        <v>2272</v>
      </c>
      <c r="F78" s="3139"/>
      <c r="G78" s="3139"/>
      <c r="H78" s="314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2273</v>
      </c>
      <c r="C79" s="207" t="e">
        <f ca="1">C72-C73</f>
        <v>#DIV/0!</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2274</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2275</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0" t="s">
        <v>2276</v>
      </c>
      <c r="B83" s="3151"/>
      <c r="C83" s="3151"/>
      <c r="D83" s="3151"/>
      <c r="E83" s="3151"/>
      <c r="F83" s="3151"/>
      <c r="G83" s="3151"/>
      <c r="H83" s="315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1" t="s">
        <v>2239</v>
      </c>
      <c r="B84" s="3142"/>
      <c r="C84" s="1798"/>
      <c r="D84" s="1798" t="s">
        <v>2240</v>
      </c>
      <c r="E84" s="213" t="s">
        <v>2241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2259</v>
      </c>
      <c r="C85" s="207" t="e">
        <f ca="1">ROUND(D45/(1+'数据-取费表'!C42),0)</f>
        <v>#DIV/0!</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2260</v>
      </c>
      <c r="C86" s="207" t="e">
        <f ca="1">IF(H88="仅含出让金",C87+C90+C91+C92+C93+C94,C87+C91+C92+C93+C94)</f>
        <v>#DIV/0!</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2277</v>
      </c>
      <c r="C87" s="225">
        <f>C88+C89</f>
        <v>0</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2278</v>
      </c>
      <c r="C88" s="236"/>
      <c r="D88" s="226"/>
      <c r="E88" s="237" t="s">
        <v>2279</v>
      </c>
      <c r="F88" s="1794"/>
      <c r="G88" s="238"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2268</v>
      </c>
      <c r="C89" s="225">
        <f>ROUND(C88*D89,0)</f>
        <v>0</v>
      </c>
      <c r="D89" s="226">
        <f>'数据-取费表'!B48+'数据-取费表'!B49</f>
        <v>3.0499999999999999E-2</v>
      </c>
      <c r="E89" s="237" t="s">
        <v>2281</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2282</v>
      </c>
      <c r="C90" s="236"/>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2283</v>
      </c>
      <c r="B91" s="198" t="s">
        <v>2284</v>
      </c>
      <c r="C91" s="225">
        <f>IF(H91="——",成本法!C33,I91)</f>
        <v>0</v>
      </c>
      <c r="D91" s="226"/>
      <c r="E91" s="3138" t="s">
        <v>2285</v>
      </c>
      <c r="F91" s="3139"/>
      <c r="G91" s="3139"/>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2287</v>
      </c>
      <c r="B92" s="198" t="s">
        <v>2288</v>
      </c>
      <c r="C92" s="225">
        <f>ROUND((C87+C90+C91)*D92,0)</f>
        <v>0</v>
      </c>
      <c r="D92" s="226">
        <v>0.1</v>
      </c>
      <c r="E92" s="3138" t="s">
        <v>2289</v>
      </c>
      <c r="F92" s="3139"/>
      <c r="G92" s="3139"/>
      <c r="H92" s="314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2290</v>
      </c>
      <c r="B93" s="198" t="s">
        <v>2271</v>
      </c>
      <c r="C93" s="225" t="e">
        <f ca="1">ROUND(D45*D93/(1+'数据-取费表'!C42),0)</f>
        <v>#DIV/0!</v>
      </c>
      <c r="D93" s="226">
        <f>'数据-取费表'!B43</f>
        <v>6.000000000000001E-3</v>
      </c>
      <c r="E93" s="3138" t="s">
        <v>2272</v>
      </c>
      <c r="F93" s="3139"/>
      <c r="G93" s="3139"/>
      <c r="H93" s="314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2291</v>
      </c>
      <c r="B94" s="198" t="s">
        <v>2292</v>
      </c>
      <c r="C94" s="236">
        <f>ROUND((C87+C90+C91)*D94,0)</f>
        <v>0</v>
      </c>
      <c r="D94" s="226">
        <v>0.2</v>
      </c>
      <c r="E94" s="3186" t="s">
        <v>2293</v>
      </c>
      <c r="F94" s="3187"/>
      <c r="G94" s="3187"/>
      <c r="H94" s="318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2273</v>
      </c>
      <c r="C95" s="207" t="e">
        <f ca="1">ROUND(C85-C86,0)</f>
        <v>#DIV/0!</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2274</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2275</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2294</v>
      </c>
      <c r="B99" s="2411"/>
      <c r="C99" s="2411"/>
      <c r="D99" s="2411"/>
      <c r="E99" s="2159"/>
      <c r="F99" s="2159"/>
      <c r="G99" s="2159"/>
      <c r="H99" s="2158"/>
      <c r="I99" s="138"/>
    </row>
    <row r="100" spans="1:35" ht="18.75" customHeight="1">
      <c r="A100" s="3090" t="s">
        <v>2295</v>
      </c>
      <c r="B100" s="3091"/>
      <c r="C100" s="3091"/>
      <c r="D100" s="3122"/>
      <c r="E100" s="3091" t="s">
        <v>2296</v>
      </c>
      <c r="F100" s="3091"/>
      <c r="G100" s="3091"/>
      <c r="H100" s="3122"/>
      <c r="I100" s="138"/>
    </row>
    <row r="101" spans="1:35" ht="18.75" customHeight="1">
      <c r="A101" s="3130" t="s">
        <v>2297</v>
      </c>
      <c r="B101" s="3131"/>
      <c r="C101" s="735" t="str">
        <f>C4</f>
        <v>成本法</v>
      </c>
      <c r="D101" s="736" t="str">
        <f>D4</f>
        <v>假设开发法</v>
      </c>
      <c r="E101" s="3102" t="s">
        <v>2298</v>
      </c>
      <c r="F101" s="3103"/>
      <c r="G101" s="2513" t="s">
        <v>2299</v>
      </c>
      <c r="H101" s="1043" t="e">
        <f ca="1">H118</f>
        <v>#DIV/0!</v>
      </c>
      <c r="I101" s="138"/>
    </row>
    <row r="102" spans="1:35" ht="18.75" customHeight="1">
      <c r="A102" s="3132" t="s">
        <v>2300</v>
      </c>
      <c r="B102" s="2513" t="s">
        <v>2299</v>
      </c>
      <c r="C102" s="735" t="e">
        <f ca="1">C19</f>
        <v>#DIV/0!</v>
      </c>
      <c r="D102" s="736">
        <f ca="1">D19</f>
        <v>0</v>
      </c>
      <c r="E102" s="3102"/>
      <c r="F102" s="3103"/>
      <c r="G102" s="2513" t="s">
        <v>2301</v>
      </c>
      <c r="H102" s="371" t="e">
        <f ca="1">I118</f>
        <v>#DIV/0!</v>
      </c>
      <c r="I102" s="138"/>
    </row>
    <row r="103" spans="1:35" ht="42.75" customHeight="1">
      <c r="A103" s="3132"/>
      <c r="B103" s="2513" t="s">
        <v>2301</v>
      </c>
      <c r="C103" s="737" t="e">
        <f ca="1">C20</f>
        <v>#DIV/0!</v>
      </c>
      <c r="D103" s="738">
        <f ca="1">D20</f>
        <v>0</v>
      </c>
      <c r="E103" s="3096" t="s">
        <v>2302</v>
      </c>
      <c r="F103" s="3097"/>
      <c r="G103" s="2514" t="s">
        <v>2303</v>
      </c>
      <c r="H103" s="1043">
        <f>IF(D36="正常操作",H104+H105+H106,H105+H106)</f>
        <v>0</v>
      </c>
      <c r="I103" s="138"/>
    </row>
    <row r="104" spans="1:35" ht="18.75" customHeight="1">
      <c r="A104" s="3132" t="s">
        <v>2304</v>
      </c>
      <c r="B104" s="2515" t="s">
        <v>2299</v>
      </c>
      <c r="C104" s="739" t="e">
        <f ca="1">H118</f>
        <v>#DIV/0!</v>
      </c>
      <c r="D104" s="740"/>
      <c r="E104" s="2259" t="s">
        <v>2305</v>
      </c>
      <c r="F104" s="2251"/>
      <c r="G104" s="2514" t="s">
        <v>2303</v>
      </c>
      <c r="H104" s="1044">
        <f>IF(D36="同一抵押权人同一抵押物续贷",C36&amp;"（未扣减，详见特别提示）",C36)</f>
        <v>0</v>
      </c>
      <c r="I104" s="138"/>
    </row>
    <row r="105" spans="1:35" ht="18.75" customHeight="1" thickBot="1">
      <c r="A105" s="3144"/>
      <c r="B105" s="2516" t="s">
        <v>2301</v>
      </c>
      <c r="C105" s="741" t="e">
        <f ca="1">I118</f>
        <v>#DIV/0!</v>
      </c>
      <c r="D105" s="742"/>
      <c r="E105" s="2259" t="s">
        <v>2306</v>
      </c>
      <c r="F105" s="2251"/>
      <c r="G105" s="2514" t="s">
        <v>2303</v>
      </c>
      <c r="H105" s="1044">
        <f>C37</f>
        <v>0</v>
      </c>
      <c r="I105" s="138"/>
    </row>
    <row r="106" spans="1:35" ht="18.75" customHeight="1">
      <c r="A106" s="2411" t="s">
        <v>2307</v>
      </c>
      <c r="B106" s="2411"/>
      <c r="C106" s="2411"/>
      <c r="D106" s="2411"/>
      <c r="E106" s="2517" t="s">
        <v>2308</v>
      </c>
      <c r="F106" s="2251"/>
      <c r="G106" s="2514" t="s">
        <v>2303</v>
      </c>
      <c r="H106" s="1044">
        <f>C38</f>
        <v>0</v>
      </c>
      <c r="I106" s="138"/>
    </row>
    <row r="107" spans="1:35" ht="18.75" customHeight="1">
      <c r="A107" s="138"/>
      <c r="B107" s="138"/>
      <c r="C107" s="138"/>
      <c r="D107" s="138"/>
      <c r="E107" s="3133" t="str">
        <f>IF(项目基本情况!E8="已注销","——","3.房地产抵押价值")</f>
        <v>3.房地产抵押价值</v>
      </c>
      <c r="F107" s="3103"/>
      <c r="G107" s="2513" t="s">
        <v>2299</v>
      </c>
      <c r="H107" s="1043" t="e">
        <f ca="1">IF(E107="——","——",H101-H103)</f>
        <v>#DIV/0!</v>
      </c>
      <c r="I107" s="138"/>
    </row>
    <row r="108" spans="1:35" ht="18.75" customHeight="1">
      <c r="A108" s="138"/>
      <c r="B108" s="138"/>
      <c r="C108" s="138"/>
      <c r="D108" s="138"/>
      <c r="E108" s="3133"/>
      <c r="F108" s="3103"/>
      <c r="G108" s="2513" t="s">
        <v>2301</v>
      </c>
      <c r="H108" s="371" t="e">
        <f ca="1">ROUND(H107*10000/'数据-汇总表'!E3,0)</f>
        <v>#DIV/0!</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13" t="s">
        <v>2299</v>
      </c>
      <c r="H109" s="348" t="str">
        <f>IF(E109="——","——",H101-H105-H106)</f>
        <v>——</v>
      </c>
      <c r="I109" s="138"/>
    </row>
    <row r="110" spans="1:35" ht="18.75" customHeight="1">
      <c r="A110" s="138"/>
      <c r="B110" s="138"/>
      <c r="C110" s="138"/>
      <c r="D110" s="138"/>
      <c r="E110" s="3133"/>
      <c r="F110" s="3103"/>
      <c r="G110" s="2513"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3" t="s">
        <v>2299</v>
      </c>
      <c r="H111" s="1043" t="str">
        <f>IF(E111="——","——",N59)</f>
        <v>——</v>
      </c>
      <c r="I111" s="138"/>
    </row>
    <row r="112" spans="1:35" ht="18.75" customHeight="1" thickBot="1">
      <c r="A112" s="138"/>
      <c r="B112" s="138"/>
      <c r="C112" s="138"/>
      <c r="D112" s="138"/>
      <c r="E112" s="3136"/>
      <c r="F112" s="3137"/>
      <c r="G112" s="2518" t="s">
        <v>2301</v>
      </c>
      <c r="H112" s="789" t="str">
        <f>IF(E111="——","——",N61)</f>
        <v>——</v>
      </c>
      <c r="I112" s="138"/>
    </row>
    <row r="113" spans="1:11" ht="18.75" customHeight="1">
      <c r="A113" s="138"/>
      <c r="B113" s="138"/>
      <c r="C113" s="138"/>
      <c r="D113" s="138"/>
      <c r="E113" s="3145" t="s">
        <v>2307</v>
      </c>
      <c r="F113" s="3145"/>
      <c r="G113" s="3145"/>
      <c r="H113" s="3145"/>
      <c r="I113" s="138"/>
    </row>
    <row r="114" spans="1:11" ht="3.75" customHeight="1">
      <c r="A114" s="2411"/>
      <c r="B114" s="2411"/>
      <c r="C114" s="2411"/>
      <c r="D114" s="2411"/>
      <c r="E114" s="2489"/>
      <c r="F114" s="2489"/>
      <c r="G114" s="2489"/>
      <c r="H114" s="2489"/>
      <c r="I114" s="2411"/>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1792" t="s">
        <v>2316</v>
      </c>
      <c r="E117" s="1792" t="s">
        <v>2317</v>
      </c>
      <c r="F117" s="1792" t="s">
        <v>2316</v>
      </c>
      <c r="G117" s="1792" t="s">
        <v>2318</v>
      </c>
      <c r="H117" s="1792" t="s">
        <v>2316</v>
      </c>
      <c r="I117" s="1792" t="s">
        <v>2318</v>
      </c>
    </row>
    <row r="118" spans="1:11" ht="24.75" customHeight="1">
      <c r="A118" s="2519" t="str">
        <f>项目基本情况!S2</f>
        <v>北京市诺德中心三期出让国有建设用地使用权及在建建筑物房地产</v>
      </c>
      <c r="B118" s="1792">
        <f>M18</f>
        <v>22318.329999999998</v>
      </c>
      <c r="C118" s="1792">
        <f>M19</f>
        <v>0</v>
      </c>
      <c r="D118" s="1792" t="e">
        <f ca="1">ROUND(IF(D32="总价",C34,E118*B118/10000),0)</f>
        <v>#DIV/0!</v>
      </c>
      <c r="E118" s="1792" t="e">
        <f ca="1">ROUND(IF(C33="自定义",IF(D32="楼面单价",C34,D118*10000/B118),I118-G118),0)</f>
        <v>#DIV/0!</v>
      </c>
      <c r="F118" s="1792" t="e">
        <f ca="1">ROUND(IF(D32="总价",C35,G118*B118/10000),0)</f>
        <v>#DIV/0!</v>
      </c>
      <c r="G118" s="1792" t="e">
        <f ca="1">ROUND(IF(D32="楼面单价",C35,F118*10000/B118),0)</f>
        <v>#DIV/0!</v>
      </c>
      <c r="H118" s="1792" t="e">
        <f ca="1">ROUND(IF(D32="总价",C32,I118*B118/10000),0)</f>
        <v>#DIV/0!</v>
      </c>
      <c r="I118" s="1792" t="e">
        <f ca="1">ROUND(IF(D32="楼面单价",C32,H118*10000/B118),0)</f>
        <v>#DIV/0!</v>
      </c>
    </row>
    <row r="119" spans="1:11" ht="18.75" customHeight="1">
      <c r="A119" s="3069" t="s">
        <v>2319</v>
      </c>
      <c r="B119" s="3069"/>
      <c r="C119" s="3069"/>
      <c r="D119" s="3114" t="e">
        <f ca="1">NUMBERSTRING(INT(D118*10000),2)&amp;"元整"</f>
        <v>#DIV/0!</v>
      </c>
      <c r="E119" s="3115"/>
      <c r="F119" s="3114" t="e">
        <f ca="1">NUMBERSTRING(INT(F118*10000),2)&amp;"元整"</f>
        <v>#DIV/0!</v>
      </c>
      <c r="G119" s="3115"/>
      <c r="H119" s="3114" t="e">
        <f ca="1">NUMBERSTRING(INT(H118*10000),2)&amp;"元整"</f>
        <v>#DIV/0!</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6"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t="e">
        <f ca="1">H107</f>
        <v>#DIV/0!</v>
      </c>
      <c r="E122" s="3110"/>
      <c r="F122" s="3110"/>
      <c r="G122" s="3110"/>
      <c r="H122" s="3110"/>
      <c r="I122" s="3111"/>
    </row>
    <row r="123" spans="1:11" ht="18.75" customHeight="1">
      <c r="A123" s="3069" t="s">
        <v>2319</v>
      </c>
      <c r="B123" s="3069"/>
      <c r="C123" s="3069"/>
      <c r="D123" s="3114" t="e">
        <f ca="1">NUMBERSTRING(INT(D122*10000),2)&amp;"元整"</f>
        <v>#DIV/0!</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0" t="s">
        <v>2321</v>
      </c>
      <c r="B129" s="2521"/>
      <c r="C129" s="2522" t="s">
        <v>2322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2323</v>
      </c>
      <c r="G135" s="2537"/>
      <c r="H135" s="2537"/>
      <c r="I135" s="2538" t="s">
        <v>2324</v>
      </c>
    </row>
    <row r="136" spans="1:35" ht="21.75" customHeight="1">
      <c r="A136" s="794"/>
      <c r="B136" s="2539"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2326</v>
      </c>
    </row>
    <row r="139" spans="1:35" ht="21.75" customHeight="1">
      <c r="A139" s="794"/>
      <c r="B139" s="2539" t="s">
        <v>2327</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2326</v>
      </c>
    </row>
    <row r="142" spans="1:35" ht="21.75" customHeight="1">
      <c r="A142" s="794"/>
      <c r="B142" s="2539"/>
      <c r="C142" s="2540"/>
      <c r="D142" s="2541"/>
      <c r="E142" s="2541"/>
      <c r="F142" s="2333"/>
      <c r="G142" s="794"/>
      <c r="H142" s="794"/>
      <c r="I142" s="794"/>
    </row>
    <row r="143" spans="1:35" s="139"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I46" sqref="I46"/>
    </sheetView>
  </sheetViews>
  <sheetFormatPr defaultRowHeight="14.25"/>
  <cols>
    <col min="1" max="1" width="14.375" style="403" customWidth="1"/>
    <col min="2" max="2" width="15.75" style="403" customWidth="1"/>
    <col min="3" max="3" width="17.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2329</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2331</v>
      </c>
      <c r="B3" s="608" t="e">
        <f>ROUND(IF(D3="",B2*10000/'数据-汇总表'!E3,B2*10000/D3),0)</f>
        <v>#DIV/0!</v>
      </c>
      <c r="C3" s="247" t="s">
        <v>2744</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190" t="s">
        <v>2647</v>
      </c>
      <c r="AC4" s="3189" t="s">
        <v>2648</v>
      </c>
    </row>
    <row r="5" spans="1:30" ht="28.5" customHeight="1">
      <c r="A5" s="404"/>
      <c r="B5" s="405"/>
      <c r="C5" s="3200" t="s">
        <v>2541</v>
      </c>
      <c r="D5" s="3201"/>
      <c r="E5" s="3198" t="str">
        <f>Sheet2!A2</f>
        <v>塔山路北侧空海大道西侧上沙东路东侧</v>
      </c>
      <c r="F5" s="3199"/>
      <c r="G5" s="3200" t="str">
        <f>Sheet2!A3</f>
        <v>霞浦县滨河路南侧赤岸大道东侧上沙东路西侧</v>
      </c>
      <c r="H5" s="3201"/>
      <c r="I5" s="3200" t="str">
        <f>Sheet2!A4</f>
        <v>塔山路北侧赤岸大道东侧上沙东路西侧</v>
      </c>
      <c r="J5" s="3201"/>
      <c r="K5" s="609"/>
      <c r="L5" s="1128"/>
      <c r="M5" s="1129"/>
      <c r="N5" s="1129"/>
      <c r="O5" s="1129"/>
      <c r="P5" s="3213"/>
      <c r="Q5" s="3214"/>
      <c r="R5" s="3196"/>
      <c r="S5" s="3197"/>
      <c r="T5" s="3196"/>
      <c r="U5" s="3197"/>
      <c r="V5" s="3219"/>
      <c r="W5" s="3219"/>
      <c r="X5" s="1810"/>
      <c r="Y5" s="3196"/>
      <c r="Z5" s="3197"/>
      <c r="AA5" s="3190"/>
      <c r="AB5" s="3190"/>
      <c r="AC5" s="3190"/>
    </row>
    <row r="6" spans="1:30" ht="15.75" thickBot="1">
      <c r="A6" s="406"/>
      <c r="B6" s="407"/>
      <c r="C6" s="3202" t="s">
        <v>2545</v>
      </c>
      <c r="D6" s="3203"/>
      <c r="E6" s="3204" t="s">
        <v>2545</v>
      </c>
      <c r="F6" s="3205"/>
      <c r="G6" s="3202" t="s">
        <v>2545</v>
      </c>
      <c r="H6" s="3203"/>
      <c r="I6" s="3202" t="s">
        <v>2545</v>
      </c>
      <c r="J6" s="3203"/>
      <c r="K6" s="609" t="s">
        <v>2546</v>
      </c>
      <c r="L6" s="1128"/>
      <c r="M6" s="1129"/>
      <c r="N6" s="1129"/>
      <c r="O6" s="1129"/>
      <c r="P6" s="3215"/>
      <c r="Q6" s="3216"/>
      <c r="R6" s="3196"/>
      <c r="S6" s="3197"/>
      <c r="T6" s="3217"/>
      <c r="U6" s="3218"/>
      <c r="V6" s="3219"/>
      <c r="W6" s="3219"/>
      <c r="X6" s="1810"/>
      <c r="Y6" s="3217"/>
      <c r="Z6" s="3218"/>
      <c r="AA6" s="3191"/>
      <c r="AB6" s="3191"/>
      <c r="AC6" s="3191"/>
    </row>
    <row r="7" spans="1:30" s="117" customFormat="1" ht="15.75" thickBot="1">
      <c r="A7" s="408" t="s">
        <v>2547</v>
      </c>
      <c r="B7" s="409"/>
      <c r="C7" s="410">
        <f>'数据-取费表'!B2</f>
        <v>43539</v>
      </c>
      <c r="D7" s="411">
        <v>100</v>
      </c>
      <c r="E7" s="412" t="str">
        <f>Sheet2!AA2</f>
        <v>2018-03-28</v>
      </c>
      <c r="F7" s="413">
        <f>SUMIF(70:70,YEAR(E7)&amp;"-"&amp;INT((MONTH(E7)+2)/3),71:71)</f>
        <v>96</v>
      </c>
      <c r="G7" s="2691" t="str">
        <f>Sheet2!AA3</f>
        <v>2017-01-20</v>
      </c>
      <c r="H7" s="411">
        <f>SUMIF(70:70,YEAR(G7)&amp;"-"&amp;INT((MONTH(G7)+2)/3),71:71)</f>
        <v>92</v>
      </c>
      <c r="I7" s="2691" t="str">
        <f>Sheet2!AA4</f>
        <v>2016-12-01</v>
      </c>
      <c r="J7" s="411">
        <f>SUMIF(70:70,YEAR(I7)&amp;"-"&amp;INT((MONTH(I7)+2)/3),71:71)</f>
        <v>91</v>
      </c>
      <c r="K7" s="610"/>
      <c r="L7" s="1130"/>
      <c r="M7" s="1131"/>
      <c r="N7" s="1131"/>
      <c r="O7" s="1131"/>
      <c r="P7" s="3192" t="s">
        <v>2548</v>
      </c>
      <c r="Q7" s="3220"/>
      <c r="R7" s="769" t="s">
        <v>17</v>
      </c>
      <c r="S7" s="770">
        <f t="shared" ref="S7:S15" si="0">F7</f>
        <v>96</v>
      </c>
      <c r="T7" s="769" t="s">
        <v>17</v>
      </c>
      <c r="U7" s="770">
        <f t="shared" ref="U7:U15" si="1">H7</f>
        <v>92</v>
      </c>
      <c r="V7" s="769" t="s">
        <v>17</v>
      </c>
      <c r="W7" s="770">
        <f t="shared" ref="W7:W15" si="2">J7</f>
        <v>91</v>
      </c>
      <c r="X7" s="771"/>
      <c r="Y7" s="3192" t="s">
        <v>2548</v>
      </c>
      <c r="Z7" s="3193"/>
      <c r="AA7" s="772">
        <f>D7/F7</f>
        <v>1.0416666666666667</v>
      </c>
      <c r="AB7" s="772">
        <f>D7/H7</f>
        <v>1.0869565217391304</v>
      </c>
      <c r="AC7" s="772">
        <f>D7/J7</f>
        <v>1.098901098901099</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0"/>
      <c r="L8" s="1130"/>
      <c r="M8" s="1131"/>
      <c r="N8" s="1131"/>
      <c r="O8" s="1131"/>
      <c r="P8" s="3192" t="s">
        <v>2551</v>
      </c>
      <c r="Q8" s="3193"/>
      <c r="R8" s="769" t="s">
        <v>17</v>
      </c>
      <c r="S8" s="770">
        <f t="shared" si="0"/>
        <v>100</v>
      </c>
      <c r="T8" s="769" t="s">
        <v>17</v>
      </c>
      <c r="U8" s="770">
        <f t="shared" si="1"/>
        <v>100</v>
      </c>
      <c r="V8" s="769" t="s">
        <v>17</v>
      </c>
      <c r="W8" s="770">
        <f t="shared" si="2"/>
        <v>100</v>
      </c>
      <c r="X8" s="771"/>
      <c r="Y8" s="3192" t="s">
        <v>2551</v>
      </c>
      <c r="Z8" s="3193"/>
      <c r="AA8" s="772">
        <f t="shared" ref="AA8:AA45" si="3">D8/F8</f>
        <v>1</v>
      </c>
      <c r="AB8" s="772">
        <f t="shared" ref="AB8:AB45" si="4">D8/H8</f>
        <v>1</v>
      </c>
      <c r="AC8" s="772">
        <f t="shared" ref="AC8:AC45" si="5">D8/J8</f>
        <v>1</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0"/>
      <c r="L9" s="1130"/>
      <c r="M9" s="1131"/>
      <c r="N9" s="1131"/>
      <c r="O9" s="1132"/>
      <c r="P9" s="3206"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30" s="426" customFormat="1" ht="27">
      <c r="A10" s="420"/>
      <c r="B10" s="421" t="s">
        <v>2556</v>
      </c>
      <c r="C10" s="431"/>
      <c r="D10" s="136">
        <v>100</v>
      </c>
      <c r="E10" s="464"/>
      <c r="F10" s="136">
        <f>ROUND(100/'数据-取费表'!G16,0)</f>
        <v>105</v>
      </c>
      <c r="G10" s="462"/>
      <c r="H10" s="136">
        <f>ROUND(100/'数据-取费表'!G16,0)</f>
        <v>105</v>
      </c>
      <c r="I10" s="462"/>
      <c r="J10" s="136">
        <f>ROUND(100/'数据-取费表'!G16,0)</f>
        <v>105</v>
      </c>
      <c r="K10" s="671"/>
      <c r="L10" s="1133"/>
      <c r="M10" s="1134"/>
      <c r="N10" s="1134"/>
      <c r="O10" s="1135"/>
      <c r="P10" s="3206"/>
      <c r="Q10" s="1792" t="str">
        <f t="shared" si="6"/>
        <v>土地使用年限（年）</v>
      </c>
      <c r="R10" s="769" t="s">
        <v>17</v>
      </c>
      <c r="S10" s="770">
        <f t="shared" si="0"/>
        <v>105</v>
      </c>
      <c r="T10" s="769" t="s">
        <v>17</v>
      </c>
      <c r="U10" s="770">
        <f t="shared" si="1"/>
        <v>105</v>
      </c>
      <c r="V10" s="769" t="s">
        <v>17</v>
      </c>
      <c r="W10" s="770">
        <f t="shared" si="2"/>
        <v>105</v>
      </c>
      <c r="X10" s="771"/>
      <c r="Y10" s="3069"/>
      <c r="Z10" s="55" t="str">
        <f t="shared" si="7"/>
        <v>土地使用年限（年）</v>
      </c>
      <c r="AA10" s="772">
        <f t="shared" si="3"/>
        <v>0.95238095238095233</v>
      </c>
      <c r="AB10" s="772">
        <f t="shared" si="4"/>
        <v>0.95238095238095233</v>
      </c>
      <c r="AC10" s="772">
        <f t="shared" si="5"/>
        <v>0.95238095238095233</v>
      </c>
    </row>
    <row r="11" spans="1:30" ht="15">
      <c r="A11" s="427"/>
      <c r="B11" s="421" t="s">
        <v>2557</v>
      </c>
      <c r="C11" s="2963" t="e">
        <f>'数据-汇总表'!I7</f>
        <v>#DIV/0!</v>
      </c>
      <c r="D11" s="136">
        <v>100</v>
      </c>
      <c r="E11" s="428">
        <v>2</v>
      </c>
      <c r="F11" s="136" t="e">
        <f>LOOKUP(E11,80:80,81:81)-LOOKUP(C11,80:80,81:81)+100</f>
        <v>#DIV/0!</v>
      </c>
      <c r="G11" s="429">
        <v>1.8</v>
      </c>
      <c r="H11" s="136" t="e">
        <f>LOOKUP(G11,80:80,81:81)-LOOKUP(C11,80:80,81:81)+100</f>
        <v>#DIV/0!</v>
      </c>
      <c r="I11" s="428">
        <v>2.2000000000000002</v>
      </c>
      <c r="J11" s="136" t="e">
        <f>LOOKUP(I11,80:80,81:81)-LOOKUP(C11,80:80,81:81)+100</f>
        <v>#DIV/0!</v>
      </c>
      <c r="K11" s="672">
        <v>2</v>
      </c>
      <c r="L11" s="1136"/>
      <c r="M11" s="1129"/>
      <c r="N11" s="1129"/>
      <c r="O11" s="1137"/>
      <c r="P11" s="3206"/>
      <c r="Q11" s="1792" t="str">
        <f t="shared" si="6"/>
        <v>容积率</v>
      </c>
      <c r="R11" s="769" t="s">
        <v>17</v>
      </c>
      <c r="S11" s="770" t="e">
        <f t="shared" si="0"/>
        <v>#DIV/0!</v>
      </c>
      <c r="T11" s="769" t="s">
        <v>17</v>
      </c>
      <c r="U11" s="770" t="e">
        <f t="shared" si="1"/>
        <v>#DIV/0!</v>
      </c>
      <c r="V11" s="769" t="s">
        <v>17</v>
      </c>
      <c r="W11" s="770" t="e">
        <f t="shared" si="2"/>
        <v>#DIV/0!</v>
      </c>
      <c r="X11" s="771"/>
      <c r="Y11" s="3069"/>
      <c r="Z11" s="55" t="str">
        <f t="shared" si="7"/>
        <v>容积率</v>
      </c>
      <c r="AA11" s="772" t="e">
        <f t="shared" si="3"/>
        <v>#DIV/0!</v>
      </c>
      <c r="AB11" s="772" t="e">
        <f t="shared" si="4"/>
        <v>#DIV/0!</v>
      </c>
      <c r="AC11" s="772" t="e">
        <f t="shared" si="5"/>
        <v>#DIV/0!</v>
      </c>
    </row>
    <row r="12" spans="1:30" s="117" customFormat="1" ht="15">
      <c r="A12" s="430"/>
      <c r="B12" s="2595" t="s">
        <v>2745</v>
      </c>
      <c r="C12" s="431"/>
      <c r="D12" s="432">
        <v>100</v>
      </c>
      <c r="E12" s="464"/>
      <c r="F12" s="136">
        <f>SUMIF(82:82,E12,83:83)-SUMIF(82:82,C12,83:83)+100</f>
        <v>100</v>
      </c>
      <c r="G12" s="462"/>
      <c r="H12" s="136">
        <f>SUMIF(82:82,G12,83:83)-SUMIF(82:82,C12,83:83)+100</f>
        <v>100</v>
      </c>
      <c r="I12" s="464"/>
      <c r="J12" s="136">
        <f>SUMIF(82:82,I12,83:83)-SUMIF(82:82,C12,83:83)+100</f>
        <v>100</v>
      </c>
      <c r="K12" s="671"/>
      <c r="L12" s="1130"/>
      <c r="M12" s="1131"/>
      <c r="N12" s="1131"/>
      <c r="O12" s="1132"/>
      <c r="P12" s="3206"/>
      <c r="Q12" s="1792" t="str">
        <f t="shared" si="6"/>
        <v>配建</v>
      </c>
      <c r="R12" s="769" t="s">
        <v>17</v>
      </c>
      <c r="S12" s="770">
        <f t="shared" si="0"/>
        <v>100</v>
      </c>
      <c r="T12" s="769" t="s">
        <v>17</v>
      </c>
      <c r="U12" s="770">
        <f t="shared" si="1"/>
        <v>100</v>
      </c>
      <c r="V12" s="769" t="s">
        <v>17</v>
      </c>
      <c r="W12" s="770">
        <f t="shared" si="2"/>
        <v>100</v>
      </c>
      <c r="X12" s="771"/>
      <c r="Y12" s="3069"/>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8"/>
      <c r="M13" s="1129"/>
      <c r="N13" s="1129"/>
      <c r="O13" s="1137"/>
      <c r="P13" s="3206"/>
      <c r="Q13" s="1792">
        <f t="shared" si="6"/>
        <v>111</v>
      </c>
      <c r="R13" s="769" t="s">
        <v>17</v>
      </c>
      <c r="S13" s="770">
        <f t="shared" si="0"/>
        <v>100</v>
      </c>
      <c r="T13" s="769" t="s">
        <v>17</v>
      </c>
      <c r="U13" s="770">
        <f t="shared" si="1"/>
        <v>100</v>
      </c>
      <c r="V13" s="769" t="s">
        <v>17</v>
      </c>
      <c r="W13" s="770">
        <f t="shared" si="2"/>
        <v>100</v>
      </c>
      <c r="X13" s="771"/>
      <c r="Y13" s="3069"/>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6"/>
      <c r="Q14" s="1792">
        <f t="shared" si="6"/>
        <v>111</v>
      </c>
      <c r="R14" s="769" t="s">
        <v>17</v>
      </c>
      <c r="S14" s="770">
        <f t="shared" si="0"/>
        <v>100</v>
      </c>
      <c r="T14" s="769" t="s">
        <v>17</v>
      </c>
      <c r="U14" s="770">
        <f t="shared" si="1"/>
        <v>100</v>
      </c>
      <c r="V14" s="769" t="s">
        <v>17</v>
      </c>
      <c r="W14" s="770">
        <f t="shared" si="2"/>
        <v>100</v>
      </c>
      <c r="X14" s="771"/>
      <c r="Y14" s="3069"/>
      <c r="Z14" s="55">
        <f t="shared" si="7"/>
        <v>111</v>
      </c>
      <c r="AA14" s="772">
        <f>D14/F14</f>
        <v>1</v>
      </c>
      <c r="AB14" s="772">
        <f>D14/H14</f>
        <v>1</v>
      </c>
      <c r="AC14" s="772">
        <f>D14/J14</f>
        <v>1</v>
      </c>
    </row>
    <row r="15" spans="1:30" ht="85.5">
      <c r="A15" s="439" t="s">
        <v>2558</v>
      </c>
      <c r="B15" s="69" t="s">
        <v>2085</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1" t="s">
        <v>2559</v>
      </c>
      <c r="Q15" s="1807" t="str">
        <f t="shared" si="6"/>
        <v>居住社区成熟度</v>
      </c>
      <c r="R15" s="773" t="s">
        <v>17</v>
      </c>
      <c r="S15" s="774">
        <f t="shared" si="0"/>
        <v>100</v>
      </c>
      <c r="T15" s="773" t="s">
        <v>17</v>
      </c>
      <c r="U15" s="774">
        <f t="shared" si="1"/>
        <v>100</v>
      </c>
      <c r="V15" s="773" t="s">
        <v>17</v>
      </c>
      <c r="W15" s="774">
        <f t="shared" si="2"/>
        <v>100</v>
      </c>
      <c r="X15" s="1810"/>
      <c r="Y15" s="3221" t="s">
        <v>2559</v>
      </c>
      <c r="Z15" s="1811" t="str">
        <f t="shared" si="7"/>
        <v>居住社区成熟度</v>
      </c>
      <c r="AA15" s="1808">
        <f t="shared" si="3"/>
        <v>1</v>
      </c>
      <c r="AB15" s="1808">
        <f t="shared" si="4"/>
        <v>1</v>
      </c>
      <c r="AC15" s="1808">
        <f t="shared" si="5"/>
        <v>1</v>
      </c>
    </row>
    <row r="16" spans="1:30" ht="15">
      <c r="A16" s="427"/>
      <c r="B16" s="445"/>
      <c r="C16" s="446"/>
      <c r="D16" s="447"/>
      <c r="E16" s="2600"/>
      <c r="F16" s="447"/>
      <c r="G16" s="2600"/>
      <c r="H16" s="449"/>
      <c r="I16" s="2599"/>
      <c r="J16" s="447"/>
      <c r="K16" s="671"/>
      <c r="L16" s="1138"/>
      <c r="M16" s="1129"/>
      <c r="N16" s="1129"/>
      <c r="O16" s="1137"/>
      <c r="P16" s="3222"/>
      <c r="Q16" s="1807"/>
      <c r="R16" s="773"/>
      <c r="S16" s="774"/>
      <c r="T16" s="773"/>
      <c r="U16" s="774"/>
      <c r="V16" s="773"/>
      <c r="W16" s="774"/>
      <c r="X16" s="1810"/>
      <c r="Y16" s="3222"/>
      <c r="Z16" s="1811"/>
      <c r="AA16" s="1808">
        <v>1</v>
      </c>
      <c r="AB16" s="1808">
        <v>1</v>
      </c>
      <c r="AC16" s="1808">
        <v>1</v>
      </c>
    </row>
    <row r="17" spans="1:29" ht="57">
      <c r="A17" s="427"/>
      <c r="B17" s="450" t="s">
        <v>2652</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2"/>
      <c r="Q17" s="1807" t="str">
        <f>B17</f>
        <v>商业繁华度</v>
      </c>
      <c r="R17" s="773" t="s">
        <v>17</v>
      </c>
      <c r="S17" s="774">
        <f>F17</f>
        <v>100</v>
      </c>
      <c r="T17" s="773" t="s">
        <v>17</v>
      </c>
      <c r="U17" s="774">
        <f>H17</f>
        <v>100</v>
      </c>
      <c r="V17" s="773" t="s">
        <v>17</v>
      </c>
      <c r="W17" s="774">
        <f>J17</f>
        <v>100</v>
      </c>
      <c r="X17" s="1810"/>
      <c r="Y17" s="3222"/>
      <c r="Z17" s="1811" t="str">
        <f>Q17</f>
        <v>商业繁华度</v>
      </c>
      <c r="AA17" s="1808">
        <f t="shared" si="3"/>
        <v>1</v>
      </c>
      <c r="AB17" s="1808">
        <f t="shared" si="4"/>
        <v>1</v>
      </c>
      <c r="AC17" s="1808">
        <f t="shared" si="5"/>
        <v>1</v>
      </c>
    </row>
    <row r="18" spans="1:29" ht="15">
      <c r="A18" s="427"/>
      <c r="B18" s="455"/>
      <c r="C18" s="2603"/>
      <c r="D18" s="449"/>
      <c r="E18" s="2605"/>
      <c r="F18" s="449"/>
      <c r="G18" s="2605"/>
      <c r="H18" s="447"/>
      <c r="I18" s="2604"/>
      <c r="J18" s="447"/>
      <c r="K18" s="671"/>
      <c r="L18" s="1138"/>
      <c r="M18" s="1129"/>
      <c r="N18" s="1129"/>
      <c r="O18" s="1137"/>
      <c r="P18" s="3222"/>
      <c r="Q18" s="1807"/>
      <c r="R18" s="773"/>
      <c r="S18" s="774"/>
      <c r="T18" s="773"/>
      <c r="U18" s="774"/>
      <c r="V18" s="773"/>
      <c r="W18" s="774"/>
      <c r="X18" s="1810"/>
      <c r="Y18" s="3222"/>
      <c r="Z18" s="1811"/>
      <c r="AA18" s="1808">
        <v>1</v>
      </c>
      <c r="AB18" s="1808">
        <v>1</v>
      </c>
      <c r="AC18" s="1808">
        <v>1</v>
      </c>
    </row>
    <row r="19" spans="1:29" ht="71.25">
      <c r="A19" s="427"/>
      <c r="B19" s="450" t="s">
        <v>2686</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2"/>
      <c r="Q19" s="1807" t="str">
        <f>B19</f>
        <v>办公集聚程度</v>
      </c>
      <c r="R19" s="773" t="s">
        <v>17</v>
      </c>
      <c r="S19" s="774">
        <f>F19</f>
        <v>100</v>
      </c>
      <c r="T19" s="773" t="s">
        <v>17</v>
      </c>
      <c r="U19" s="774">
        <f>H19</f>
        <v>100</v>
      </c>
      <c r="V19" s="773" t="s">
        <v>17</v>
      </c>
      <c r="W19" s="774">
        <f>J19</f>
        <v>100</v>
      </c>
      <c r="X19" s="1810"/>
      <c r="Y19" s="3222"/>
      <c r="Z19" s="1811" t="str">
        <f>Q19</f>
        <v>办公集聚程度</v>
      </c>
      <c r="AA19" s="1808">
        <f t="shared" si="3"/>
        <v>1</v>
      </c>
      <c r="AB19" s="1808">
        <f t="shared" si="4"/>
        <v>1</v>
      </c>
      <c r="AC19" s="1808">
        <f t="shared" si="5"/>
        <v>1</v>
      </c>
    </row>
    <row r="20" spans="1:29" ht="15">
      <c r="A20" s="427"/>
      <c r="B20" s="455"/>
      <c r="C20" s="446"/>
      <c r="D20" s="447"/>
      <c r="E20" s="2600"/>
      <c r="F20" s="447"/>
      <c r="G20" s="2600"/>
      <c r="H20" s="447"/>
      <c r="I20" s="2599"/>
      <c r="J20" s="447"/>
      <c r="K20" s="671"/>
      <c r="L20" s="1138"/>
      <c r="M20" s="1129"/>
      <c r="N20" s="1129"/>
      <c r="O20" s="1137"/>
      <c r="P20" s="3222"/>
      <c r="Q20" s="1807"/>
      <c r="R20" s="773"/>
      <c r="S20" s="774"/>
      <c r="T20" s="773"/>
      <c r="U20" s="774"/>
      <c r="V20" s="773"/>
      <c r="W20" s="774"/>
      <c r="X20" s="1810"/>
      <c r="Y20" s="3222"/>
      <c r="Z20" s="1811"/>
      <c r="AA20" s="1808">
        <v>1</v>
      </c>
      <c r="AB20" s="1808">
        <v>1</v>
      </c>
      <c r="AC20" s="1808">
        <v>1</v>
      </c>
    </row>
    <row r="21" spans="1:29" ht="71.25">
      <c r="A21" s="427"/>
      <c r="B21" s="450" t="s">
        <v>2708</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2"/>
      <c r="Q21" s="1807" t="str">
        <f>B21</f>
        <v>交通便捷度</v>
      </c>
      <c r="R21" s="773" t="s">
        <v>17</v>
      </c>
      <c r="S21" s="774">
        <f>F21</f>
        <v>100</v>
      </c>
      <c r="T21" s="773" t="s">
        <v>17</v>
      </c>
      <c r="U21" s="774">
        <f>H21</f>
        <v>100</v>
      </c>
      <c r="V21" s="773" t="s">
        <v>17</v>
      </c>
      <c r="W21" s="774">
        <f>J21</f>
        <v>100</v>
      </c>
      <c r="X21" s="1810"/>
      <c r="Y21" s="3222"/>
      <c r="Z21" s="1811" t="str">
        <f>Q21</f>
        <v>交通便捷度</v>
      </c>
      <c r="AA21" s="1808">
        <f t="shared" si="3"/>
        <v>1</v>
      </c>
      <c r="AB21" s="1808">
        <f t="shared" si="4"/>
        <v>1</v>
      </c>
      <c r="AC21" s="1808">
        <f t="shared" si="5"/>
        <v>1</v>
      </c>
    </row>
    <row r="22" spans="1:29" ht="15">
      <c r="A22" s="427"/>
      <c r="B22" s="1382"/>
      <c r="C22" s="446"/>
      <c r="D22" s="449"/>
      <c r="E22" s="2600"/>
      <c r="F22" s="447"/>
      <c r="G22" s="2600"/>
      <c r="H22" s="447"/>
      <c r="I22" s="2599"/>
      <c r="J22" s="447"/>
      <c r="K22" s="671"/>
      <c r="L22" s="1138"/>
      <c r="M22" s="1129"/>
      <c r="N22" s="1129"/>
      <c r="O22" s="1137"/>
      <c r="P22" s="3222"/>
      <c r="Q22" s="1807"/>
      <c r="R22" s="773"/>
      <c r="S22" s="774"/>
      <c r="T22" s="773"/>
      <c r="U22" s="774"/>
      <c r="V22" s="773"/>
      <c r="W22" s="774"/>
      <c r="X22" s="1810"/>
      <c r="Y22" s="3222"/>
      <c r="Z22" s="1811"/>
      <c r="AA22" s="1808">
        <v>1</v>
      </c>
      <c r="AB22" s="1808">
        <v>1</v>
      </c>
      <c r="AC22" s="1808">
        <v>1</v>
      </c>
    </row>
    <row r="23" spans="1:29" ht="15">
      <c r="A23" s="404"/>
      <c r="B23" s="450" t="s">
        <v>2746</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2"/>
      <c r="Q23" s="1807" t="str">
        <f t="shared" ref="Q23:Q37" si="8">B23</f>
        <v>区域土地利用方向</v>
      </c>
      <c r="R23" s="773" t="s">
        <v>17</v>
      </c>
      <c r="S23" s="774">
        <f>F23</f>
        <v>100</v>
      </c>
      <c r="T23" s="773" t="s">
        <v>17</v>
      </c>
      <c r="U23" s="774">
        <f>H23</f>
        <v>100</v>
      </c>
      <c r="V23" s="773" t="s">
        <v>17</v>
      </c>
      <c r="W23" s="774">
        <f>J23</f>
        <v>100</v>
      </c>
      <c r="X23" s="1810"/>
      <c r="Y23" s="3222"/>
      <c r="Z23" s="1811" t="str">
        <f>Q23</f>
        <v>区域土地利用方向</v>
      </c>
      <c r="AA23" s="1808">
        <f t="shared" si="3"/>
        <v>1</v>
      </c>
      <c r="AB23" s="1808">
        <f t="shared" si="4"/>
        <v>1</v>
      </c>
      <c r="AC23" s="1808">
        <f t="shared" si="5"/>
        <v>1</v>
      </c>
    </row>
    <row r="24" spans="1:29" ht="15">
      <c r="A24" s="404"/>
      <c r="B24" s="455"/>
      <c r="C24" s="615"/>
      <c r="D24" s="447"/>
      <c r="E24" s="2600"/>
      <c r="F24" s="447"/>
      <c r="G24" s="2599"/>
      <c r="H24" s="447"/>
      <c r="I24" s="2599"/>
      <c r="J24" s="447"/>
      <c r="K24" s="807"/>
      <c r="L24" s="1138"/>
      <c r="M24" s="1129"/>
      <c r="N24" s="1129"/>
      <c r="O24" s="1137"/>
      <c r="P24" s="3222"/>
      <c r="Q24" s="1807"/>
      <c r="R24" s="773"/>
      <c r="S24" s="774"/>
      <c r="T24" s="773"/>
      <c r="U24" s="774"/>
      <c r="V24" s="773"/>
      <c r="W24" s="774"/>
      <c r="X24" s="1810"/>
      <c r="Y24" s="3222"/>
      <c r="Z24" s="1811"/>
      <c r="AA24" s="1808"/>
      <c r="AB24" s="1808"/>
      <c r="AC24" s="1808"/>
    </row>
    <row r="25" spans="1:29" ht="42.75">
      <c r="A25" s="404"/>
      <c r="B25" s="1382"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2"/>
      <c r="Q25" s="1807" t="str">
        <f t="shared" si="8"/>
        <v>自然及人文环境状况</v>
      </c>
      <c r="R25" s="773" t="s">
        <v>17</v>
      </c>
      <c r="S25" s="774">
        <f>F25</f>
        <v>100</v>
      </c>
      <c r="T25" s="773" t="s">
        <v>17</v>
      </c>
      <c r="U25" s="774">
        <f>H25</f>
        <v>100</v>
      </c>
      <c r="V25" s="773" t="s">
        <v>17</v>
      </c>
      <c r="W25" s="774">
        <f>J25</f>
        <v>100</v>
      </c>
      <c r="X25" s="1810"/>
      <c r="Y25" s="3222"/>
      <c r="Z25" s="1811" t="str">
        <f>Q25</f>
        <v>自然及人文环境状况</v>
      </c>
      <c r="AA25" s="1808">
        <f t="shared" si="3"/>
        <v>1</v>
      </c>
      <c r="AB25" s="1808">
        <f t="shared" si="4"/>
        <v>1</v>
      </c>
      <c r="AC25" s="1808">
        <f t="shared" si="5"/>
        <v>1</v>
      </c>
    </row>
    <row r="26" spans="1:29" ht="15">
      <c r="A26" s="404"/>
      <c r="B26" s="455"/>
      <c r="C26" s="446"/>
      <c r="D26" s="447"/>
      <c r="E26" s="2606"/>
      <c r="F26" s="447"/>
      <c r="G26" s="2606"/>
      <c r="H26" s="447"/>
      <c r="I26" s="446"/>
      <c r="J26" s="447"/>
      <c r="K26" s="671"/>
      <c r="L26" s="1138"/>
      <c r="M26" s="1129"/>
      <c r="N26" s="1129"/>
      <c r="O26" s="1137"/>
      <c r="P26" s="3222"/>
      <c r="Q26" s="1807"/>
      <c r="R26" s="773"/>
      <c r="S26" s="774"/>
      <c r="T26" s="773"/>
      <c r="U26" s="774"/>
      <c r="V26" s="773"/>
      <c r="W26" s="774"/>
      <c r="X26" s="1810"/>
      <c r="Y26" s="3222"/>
      <c r="Z26" s="1811"/>
      <c r="AA26" s="1808">
        <v>1</v>
      </c>
      <c r="AB26" s="1808">
        <v>1</v>
      </c>
      <c r="AC26" s="1808">
        <v>1</v>
      </c>
    </row>
    <row r="27" spans="1:29" s="117" customFormat="1" ht="42.75">
      <c r="A27" s="648"/>
      <c r="B27" s="1382" t="s">
        <v>2653</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2"/>
      <c r="Q27" s="1792" t="str">
        <f t="shared" si="8"/>
        <v>公共配套设施</v>
      </c>
      <c r="R27" s="769" t="s">
        <v>17</v>
      </c>
      <c r="S27" s="770">
        <f>F27</f>
        <v>100</v>
      </c>
      <c r="T27" s="769" t="s">
        <v>17</v>
      </c>
      <c r="U27" s="770">
        <f>H27</f>
        <v>100</v>
      </c>
      <c r="V27" s="769" t="s">
        <v>17</v>
      </c>
      <c r="W27" s="770">
        <f>J27</f>
        <v>100</v>
      </c>
      <c r="X27" s="771"/>
      <c r="Y27" s="3222"/>
      <c r="Z27" s="55" t="str">
        <f>Q27</f>
        <v>公共配套设施</v>
      </c>
      <c r="AA27" s="1808">
        <f>D27/F27</f>
        <v>1</v>
      </c>
      <c r="AB27" s="1808">
        <f>D27/H27</f>
        <v>1</v>
      </c>
      <c r="AC27" s="1808">
        <f>D27/J27</f>
        <v>1</v>
      </c>
    </row>
    <row r="28" spans="1:29" s="117" customFormat="1" ht="15">
      <c r="A28" s="648"/>
      <c r="B28" s="455"/>
      <c r="C28" s="2695"/>
      <c r="D28" s="447"/>
      <c r="E28" s="2606"/>
      <c r="F28" s="447"/>
      <c r="G28" s="2606"/>
      <c r="H28" s="447"/>
      <c r="I28" s="446"/>
      <c r="J28" s="447"/>
      <c r="K28" s="671"/>
      <c r="L28" s="1130"/>
      <c r="M28" s="1131"/>
      <c r="N28" s="1131"/>
      <c r="O28" s="1132"/>
      <c r="P28" s="3222"/>
      <c r="Q28" s="1792"/>
      <c r="R28" s="769"/>
      <c r="S28" s="770"/>
      <c r="T28" s="769"/>
      <c r="U28" s="770"/>
      <c r="V28" s="769"/>
      <c r="W28" s="770"/>
      <c r="X28" s="771"/>
      <c r="Y28" s="3222"/>
      <c r="Z28" s="55"/>
      <c r="AA28" s="1808">
        <v>1</v>
      </c>
      <c r="AB28" s="1808">
        <v>1</v>
      </c>
      <c r="AC28" s="1808">
        <v>1</v>
      </c>
    </row>
    <row r="29" spans="1:29" s="117" customFormat="1" ht="28.5">
      <c r="A29" s="648"/>
      <c r="B29" s="1382" t="s">
        <v>2654</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2"/>
      <c r="Q29" s="1792" t="str">
        <f t="shared" ref="Q29" si="9">B29</f>
        <v>基础设施水平</v>
      </c>
      <c r="R29" s="769" t="s">
        <v>17</v>
      </c>
      <c r="S29" s="770">
        <f>F29</f>
        <v>100</v>
      </c>
      <c r="T29" s="769" t="s">
        <v>17</v>
      </c>
      <c r="U29" s="770">
        <f>H29</f>
        <v>100</v>
      </c>
      <c r="V29" s="769" t="s">
        <v>17</v>
      </c>
      <c r="W29" s="770">
        <f>J29</f>
        <v>100</v>
      </c>
      <c r="X29" s="771"/>
      <c r="Y29" s="3222"/>
      <c r="Z29" s="55" t="str">
        <f>Q29</f>
        <v>基础设施水平</v>
      </c>
      <c r="AA29" s="1808">
        <f>D29/F29</f>
        <v>1</v>
      </c>
      <c r="AB29" s="1808">
        <f>D29/H29</f>
        <v>1</v>
      </c>
      <c r="AC29" s="1808">
        <f>D29/J29</f>
        <v>1</v>
      </c>
    </row>
    <row r="30" spans="1:29" s="117" customFormat="1" ht="15">
      <c r="A30" s="648"/>
      <c r="B30" s="455"/>
      <c r="C30" s="2695"/>
      <c r="D30" s="447"/>
      <c r="E30" s="2696"/>
      <c r="F30" s="447"/>
      <c r="G30" s="2696"/>
      <c r="H30" s="447"/>
      <c r="I30" s="2696"/>
      <c r="J30" s="447"/>
      <c r="K30" s="671"/>
      <c r="L30" s="1130"/>
      <c r="M30" s="1131"/>
      <c r="N30" s="1131"/>
      <c r="O30" s="1132"/>
      <c r="P30" s="3222"/>
      <c r="Q30" s="1792"/>
      <c r="R30" s="769"/>
      <c r="S30" s="770"/>
      <c r="T30" s="769"/>
      <c r="U30" s="770"/>
      <c r="V30" s="769"/>
      <c r="W30" s="770"/>
      <c r="X30" s="771"/>
      <c r="Y30" s="3222"/>
      <c r="Z30" s="55"/>
      <c r="AA30" s="1808">
        <v>1</v>
      </c>
      <c r="AB30" s="1808">
        <v>1</v>
      </c>
      <c r="AC30" s="1808">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2"/>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22"/>
      <c r="Z31" s="1811" t="str">
        <f t="shared" ref="Z31:Z45" si="13">Q31</f>
        <v>临街状况</v>
      </c>
      <c r="AA31" s="1808">
        <f t="shared" si="3"/>
        <v>1</v>
      </c>
      <c r="AB31" s="1808">
        <f t="shared" si="4"/>
        <v>1</v>
      </c>
      <c r="AC31" s="1808">
        <f t="shared" si="5"/>
        <v>1</v>
      </c>
    </row>
    <row r="32" spans="1:29" ht="27">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2"/>
      <c r="Q32" s="1807" t="str">
        <f t="shared" si="8"/>
        <v>毗邻道路的类型与等级</v>
      </c>
      <c r="R32" s="773" t="s">
        <v>17</v>
      </c>
      <c r="S32" s="774">
        <f t="shared" si="10"/>
        <v>100</v>
      </c>
      <c r="T32" s="773" t="s">
        <v>17</v>
      </c>
      <c r="U32" s="774">
        <f t="shared" si="11"/>
        <v>100</v>
      </c>
      <c r="V32" s="773" t="s">
        <v>17</v>
      </c>
      <c r="W32" s="774">
        <f t="shared" si="12"/>
        <v>100</v>
      </c>
      <c r="X32" s="1810"/>
      <c r="Y32" s="3222"/>
      <c r="Z32" s="1811" t="str">
        <f t="shared" si="13"/>
        <v>毗邻道路的类型与等级</v>
      </c>
      <c r="AA32" s="1808">
        <f t="shared" si="3"/>
        <v>1</v>
      </c>
      <c r="AB32" s="1808">
        <f t="shared" si="4"/>
        <v>1</v>
      </c>
      <c r="AC32" s="1808">
        <f t="shared" si="5"/>
        <v>1</v>
      </c>
    </row>
    <row r="33" spans="1:29" ht="15">
      <c r="A33" s="427"/>
      <c r="B33" s="455"/>
      <c r="C33" s="446"/>
      <c r="D33" s="447"/>
      <c r="E33" s="2606"/>
      <c r="F33" s="447"/>
      <c r="G33" s="2606"/>
      <c r="H33" s="447"/>
      <c r="I33" s="446"/>
      <c r="J33" s="447"/>
      <c r="K33" s="612"/>
      <c r="L33" s="1138"/>
      <c r="M33" s="1129"/>
      <c r="N33" s="1129"/>
      <c r="O33" s="1137"/>
      <c r="P33" s="3222"/>
      <c r="Q33" s="1807"/>
      <c r="R33" s="773"/>
      <c r="S33" s="774"/>
      <c r="T33" s="773"/>
      <c r="U33" s="774"/>
      <c r="V33" s="773"/>
      <c r="W33" s="774"/>
      <c r="X33" s="1810"/>
      <c r="Y33" s="3222"/>
      <c r="Z33" s="1811"/>
      <c r="AA33" s="1808">
        <v>1</v>
      </c>
      <c r="AB33" s="1808">
        <v>1</v>
      </c>
      <c r="AC33" s="1808">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2"/>
      <c r="Q34" s="1807" t="str">
        <f t="shared" si="8"/>
        <v>土地级别</v>
      </c>
      <c r="R34" s="773" t="s">
        <v>17</v>
      </c>
      <c r="S34" s="774">
        <f t="shared" si="10"/>
        <v>100</v>
      </c>
      <c r="T34" s="773" t="s">
        <v>17</v>
      </c>
      <c r="U34" s="774">
        <f t="shared" si="11"/>
        <v>100</v>
      </c>
      <c r="V34" s="773" t="s">
        <v>17</v>
      </c>
      <c r="W34" s="774">
        <f t="shared" si="12"/>
        <v>100</v>
      </c>
      <c r="X34" s="1810"/>
      <c r="Y34" s="3222"/>
      <c r="Z34" s="1811" t="str">
        <f t="shared" si="13"/>
        <v>土地级别</v>
      </c>
      <c r="AA34" s="1808">
        <f t="shared" si="3"/>
        <v>1</v>
      </c>
      <c r="AB34" s="1808">
        <f t="shared" si="4"/>
        <v>1</v>
      </c>
      <c r="AC34" s="1808">
        <f t="shared" si="5"/>
        <v>1</v>
      </c>
    </row>
    <row r="35" spans="1:29" ht="15">
      <c r="A35" s="404"/>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2"/>
      <c r="Q35" s="1807">
        <f t="shared" si="8"/>
        <v>111</v>
      </c>
      <c r="R35" s="773" t="s">
        <v>17</v>
      </c>
      <c r="S35" s="774">
        <f t="shared" si="10"/>
        <v>100</v>
      </c>
      <c r="T35" s="773" t="s">
        <v>17</v>
      </c>
      <c r="U35" s="774">
        <f t="shared" si="11"/>
        <v>100</v>
      </c>
      <c r="V35" s="773" t="s">
        <v>17</v>
      </c>
      <c r="W35" s="774">
        <f t="shared" si="12"/>
        <v>100</v>
      </c>
      <c r="X35" s="1810"/>
      <c r="Y35" s="3222"/>
      <c r="Z35" s="1811">
        <f t="shared" si="13"/>
        <v>111</v>
      </c>
      <c r="AA35" s="1808">
        <f t="shared" si="3"/>
        <v>1</v>
      </c>
      <c r="AB35" s="1808">
        <f t="shared" si="4"/>
        <v>1</v>
      </c>
      <c r="AC35" s="1808">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23" t="s">
        <v>2564</v>
      </c>
      <c r="Q36" s="1807">
        <f t="shared" si="8"/>
        <v>111</v>
      </c>
      <c r="R36" s="773" t="s">
        <v>17</v>
      </c>
      <c r="S36" s="774">
        <f t="shared" si="10"/>
        <v>100</v>
      </c>
      <c r="T36" s="773" t="s">
        <v>17</v>
      </c>
      <c r="U36" s="774">
        <f t="shared" si="11"/>
        <v>100</v>
      </c>
      <c r="V36" s="773" t="s">
        <v>17</v>
      </c>
      <c r="W36" s="774">
        <f t="shared" si="12"/>
        <v>100</v>
      </c>
      <c r="X36" s="1810"/>
      <c r="Y36" s="3224" t="s">
        <v>2564</v>
      </c>
      <c r="Z36" s="1811">
        <f t="shared" si="13"/>
        <v>111</v>
      </c>
      <c r="AA36" s="1808">
        <f t="shared" si="3"/>
        <v>1</v>
      </c>
      <c r="AB36" s="1808">
        <f t="shared" si="4"/>
        <v>1</v>
      </c>
      <c r="AC36" s="1808">
        <f t="shared" si="5"/>
        <v>1</v>
      </c>
    </row>
    <row r="37" spans="1:29" s="470" customFormat="1" ht="15.75" thickBot="1">
      <c r="A37" s="675"/>
      <c r="B37" s="1386">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4"/>
      <c r="Q37" s="1807">
        <f t="shared" si="8"/>
        <v>111</v>
      </c>
      <c r="R37" s="776" t="s">
        <v>17</v>
      </c>
      <c r="S37" s="777">
        <f t="shared" si="10"/>
        <v>100</v>
      </c>
      <c r="T37" s="776" t="s">
        <v>17</v>
      </c>
      <c r="U37" s="777">
        <f t="shared" si="11"/>
        <v>100</v>
      </c>
      <c r="V37" s="776" t="s">
        <v>17</v>
      </c>
      <c r="W37" s="777">
        <f t="shared" si="12"/>
        <v>100</v>
      </c>
      <c r="X37" s="778"/>
      <c r="Y37" s="3224"/>
      <c r="Z37" s="779">
        <f t="shared" si="13"/>
        <v>111</v>
      </c>
      <c r="AA37" s="1808">
        <f t="shared" si="3"/>
        <v>1</v>
      </c>
      <c r="AB37" s="1808">
        <f t="shared" si="4"/>
        <v>1</v>
      </c>
      <c r="AC37" s="1808">
        <f t="shared" si="5"/>
        <v>1</v>
      </c>
    </row>
    <row r="38" spans="1:29" ht="15">
      <c r="A38" s="471" t="s">
        <v>2562</v>
      </c>
      <c r="B38" s="455" t="s">
        <v>2749</v>
      </c>
      <c r="C38" s="678">
        <f>'数据-基础表'!A3</f>
        <v>0</v>
      </c>
      <c r="D38" s="466">
        <v>100</v>
      </c>
      <c r="E38" s="678">
        <f>Sheet2!J2</f>
        <v>45352.7</v>
      </c>
      <c r="F38" s="466">
        <f>LOOKUP(E38,117:117,118:118)-LOOKUP(C38,117:117,118:118)+100</f>
        <v>100.5</v>
      </c>
      <c r="G38" s="678">
        <f>Sheet2!J3</f>
        <v>60420</v>
      </c>
      <c r="H38" s="466">
        <f>LOOKUP(G38,117:117,118:118)-LOOKUP(C38,117:117,118:118)+100</f>
        <v>101</v>
      </c>
      <c r="I38" s="529">
        <f>Sheet2!J4</f>
        <v>53565.9</v>
      </c>
      <c r="J38" s="466">
        <f>LOOKUP(I38,117:117,118:118)-LOOKUP(C38,117:117,118:118)+100</f>
        <v>100.5</v>
      </c>
      <c r="K38" s="612"/>
      <c r="L38" s="1138"/>
      <c r="M38" s="1129"/>
      <c r="N38" s="1129"/>
      <c r="O38" s="1137"/>
      <c r="P38" s="3224"/>
      <c r="Q38" s="1807" t="str">
        <f>B38</f>
        <v>宗地面积</v>
      </c>
      <c r="R38" s="773" t="s">
        <v>17</v>
      </c>
      <c r="S38" s="774">
        <f t="shared" si="10"/>
        <v>100.5</v>
      </c>
      <c r="T38" s="773" t="s">
        <v>17</v>
      </c>
      <c r="U38" s="774">
        <f t="shared" si="11"/>
        <v>101</v>
      </c>
      <c r="V38" s="773" t="s">
        <v>17</v>
      </c>
      <c r="W38" s="774">
        <f t="shared" si="12"/>
        <v>100.5</v>
      </c>
      <c r="X38" s="1810"/>
      <c r="Y38" s="3224"/>
      <c r="Z38" s="1811" t="str">
        <f t="shared" si="13"/>
        <v>宗地面积</v>
      </c>
      <c r="AA38" s="1808">
        <f t="shared" si="3"/>
        <v>0.99502487562189057</v>
      </c>
      <c r="AB38" s="1808">
        <f t="shared" si="4"/>
        <v>0.99009900990099009</v>
      </c>
      <c r="AC38" s="1808">
        <f t="shared" si="5"/>
        <v>0.99502487562189057</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38"/>
      <c r="M39" s="1129"/>
      <c r="N39" s="1129"/>
      <c r="O39" s="1137"/>
      <c r="P39" s="3224"/>
      <c r="Q39" s="1807" t="str">
        <f t="shared" ref="Q39:Q45" si="14">B39</f>
        <v>宗地形状</v>
      </c>
      <c r="R39" s="773" t="s">
        <v>17</v>
      </c>
      <c r="S39" s="774">
        <f t="shared" si="10"/>
        <v>100</v>
      </c>
      <c r="T39" s="773" t="s">
        <v>17</v>
      </c>
      <c r="U39" s="774">
        <f t="shared" si="11"/>
        <v>100</v>
      </c>
      <c r="V39" s="773" t="s">
        <v>17</v>
      </c>
      <c r="W39" s="774">
        <f t="shared" si="12"/>
        <v>100</v>
      </c>
      <c r="X39" s="1810"/>
      <c r="Y39" s="3224"/>
      <c r="Z39" s="1811" t="str">
        <f t="shared" si="13"/>
        <v>宗地形状</v>
      </c>
      <c r="AA39" s="1808">
        <f t="shared" si="3"/>
        <v>1</v>
      </c>
      <c r="AB39" s="1808">
        <f t="shared" si="4"/>
        <v>1</v>
      </c>
      <c r="AC39" s="1808">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38"/>
      <c r="M40" s="1129"/>
      <c r="N40" s="1129"/>
      <c r="O40" s="1137"/>
      <c r="P40" s="3224"/>
      <c r="Q40" s="1807" t="str">
        <f t="shared" si="14"/>
        <v>临街宽度及深度</v>
      </c>
      <c r="R40" s="773" t="s">
        <v>17</v>
      </c>
      <c r="S40" s="774">
        <f t="shared" si="10"/>
        <v>100</v>
      </c>
      <c r="T40" s="773" t="s">
        <v>17</v>
      </c>
      <c r="U40" s="774">
        <f t="shared" si="11"/>
        <v>100</v>
      </c>
      <c r="V40" s="773" t="s">
        <v>17</v>
      </c>
      <c r="W40" s="774">
        <f t="shared" si="12"/>
        <v>100</v>
      </c>
      <c r="X40" s="1810"/>
      <c r="Y40" s="3224"/>
      <c r="Z40" s="1811" t="str">
        <f t="shared" si="13"/>
        <v>临街宽度及深度</v>
      </c>
      <c r="AA40" s="1808">
        <f t="shared" si="3"/>
        <v>1</v>
      </c>
      <c r="AB40" s="1808">
        <f t="shared" si="4"/>
        <v>1</v>
      </c>
      <c r="AC40" s="1808">
        <f t="shared" si="5"/>
        <v>1</v>
      </c>
    </row>
    <row r="41" spans="1:29" s="117" customFormat="1" ht="15">
      <c r="A41" s="472"/>
      <c r="B41" s="421" t="s">
        <v>2752</v>
      </c>
      <c r="C41" s="2697"/>
      <c r="D41" s="136">
        <v>100</v>
      </c>
      <c r="E41" s="2697"/>
      <c r="F41" s="434">
        <f>SUMIF(123:123,E41,124:124)-SUMIF(123:123,C41,124:124)+100</f>
        <v>100</v>
      </c>
      <c r="G41" s="2697"/>
      <c r="H41" s="434">
        <f>SUMIF(123:123,G41,124:124)-SUMIF(123:123,C41,124:124)+100</f>
        <v>100</v>
      </c>
      <c r="I41" s="2697"/>
      <c r="J41" s="434">
        <f>SUMIF(123:123,I41,124:124)-SUMIF(123:123,C41,124:124)+100</f>
        <v>100</v>
      </c>
      <c r="K41" s="611"/>
      <c r="L41" s="1130"/>
      <c r="M41" s="1131"/>
      <c r="N41" s="1131"/>
      <c r="O41" s="1132"/>
      <c r="P41" s="3224"/>
      <c r="Q41" s="1807" t="str">
        <f t="shared" si="14"/>
        <v>宗地开发程度</v>
      </c>
      <c r="R41" s="769" t="s">
        <v>17</v>
      </c>
      <c r="S41" s="770">
        <f t="shared" si="10"/>
        <v>100</v>
      </c>
      <c r="T41" s="769" t="s">
        <v>17</v>
      </c>
      <c r="U41" s="770">
        <f t="shared" si="11"/>
        <v>100</v>
      </c>
      <c r="V41" s="769" t="s">
        <v>17</v>
      </c>
      <c r="W41" s="770">
        <f t="shared" si="12"/>
        <v>100</v>
      </c>
      <c r="X41" s="771"/>
      <c r="Y41" s="3224"/>
      <c r="Z41" s="55" t="str">
        <f t="shared" si="13"/>
        <v>宗地开发程度</v>
      </c>
      <c r="AA41" s="772">
        <f t="shared" si="3"/>
        <v>1</v>
      </c>
      <c r="AB41" s="772">
        <f t="shared" si="4"/>
        <v>1</v>
      </c>
      <c r="AC41" s="772">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38"/>
      <c r="M42" s="1129"/>
      <c r="N42" s="1129"/>
      <c r="O42" s="1137"/>
      <c r="P42" s="3224" t="s">
        <v>2564</v>
      </c>
      <c r="Q42" s="1807" t="str">
        <f t="shared" si="14"/>
        <v>工程地质条件</v>
      </c>
      <c r="R42" s="773" t="s">
        <v>17</v>
      </c>
      <c r="S42" s="774">
        <f t="shared" si="10"/>
        <v>100</v>
      </c>
      <c r="T42" s="773" t="s">
        <v>17</v>
      </c>
      <c r="U42" s="774">
        <f t="shared" si="11"/>
        <v>100</v>
      </c>
      <c r="V42" s="773" t="s">
        <v>17</v>
      </c>
      <c r="W42" s="774">
        <f t="shared" si="12"/>
        <v>100</v>
      </c>
      <c r="X42" s="1810"/>
      <c r="Y42" s="3224" t="s">
        <v>2564</v>
      </c>
      <c r="Z42" s="1811" t="str">
        <f t="shared" si="13"/>
        <v>工程地质条件</v>
      </c>
      <c r="AA42" s="1808">
        <f t="shared" si="3"/>
        <v>1</v>
      </c>
      <c r="AB42" s="1808">
        <f t="shared" si="4"/>
        <v>1</v>
      </c>
      <c r="AC42" s="1808">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4"/>
      <c r="Q43" s="1807">
        <f t="shared" si="14"/>
        <v>111</v>
      </c>
      <c r="R43" s="773" t="s">
        <v>17</v>
      </c>
      <c r="S43" s="774">
        <f t="shared" si="10"/>
        <v>100</v>
      </c>
      <c r="T43" s="773" t="s">
        <v>17</v>
      </c>
      <c r="U43" s="774">
        <f t="shared" si="11"/>
        <v>100</v>
      </c>
      <c r="V43" s="773" t="s">
        <v>17</v>
      </c>
      <c r="W43" s="774">
        <f t="shared" si="12"/>
        <v>100</v>
      </c>
      <c r="X43" s="1810"/>
      <c r="Y43" s="3224"/>
      <c r="Z43" s="1811">
        <f t="shared" si="13"/>
        <v>111</v>
      </c>
      <c r="AA43" s="1808">
        <f t="shared" si="3"/>
        <v>1</v>
      </c>
      <c r="AB43" s="1808">
        <f t="shared" si="4"/>
        <v>1</v>
      </c>
      <c r="AC43" s="1808">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4"/>
      <c r="Q44" s="1807">
        <f t="shared" si="14"/>
        <v>111</v>
      </c>
      <c r="R44" s="773" t="s">
        <v>17</v>
      </c>
      <c r="S44" s="774">
        <f t="shared" si="10"/>
        <v>100</v>
      </c>
      <c r="T44" s="773" t="s">
        <v>17</v>
      </c>
      <c r="U44" s="774">
        <f t="shared" si="11"/>
        <v>100</v>
      </c>
      <c r="V44" s="773" t="s">
        <v>17</v>
      </c>
      <c r="W44" s="774">
        <f t="shared" si="12"/>
        <v>100</v>
      </c>
      <c r="X44" s="1810"/>
      <c r="Y44" s="3224"/>
      <c r="Z44" s="1811">
        <f t="shared" si="13"/>
        <v>111</v>
      </c>
      <c r="AA44" s="1808">
        <f t="shared" si="3"/>
        <v>1</v>
      </c>
      <c r="AB44" s="1808">
        <f t="shared" si="4"/>
        <v>1</v>
      </c>
      <c r="AC44" s="1808">
        <f t="shared" si="5"/>
        <v>1</v>
      </c>
    </row>
    <row r="45" spans="1:29" s="470" customFormat="1" ht="15.75" thickBot="1">
      <c r="A45" s="467"/>
      <c r="B45" s="1385">
        <v>111</v>
      </c>
      <c r="C45" s="2698"/>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4"/>
      <c r="Q45" s="1807">
        <f t="shared" si="14"/>
        <v>111</v>
      </c>
      <c r="R45" s="776" t="s">
        <v>17</v>
      </c>
      <c r="S45" s="777">
        <f t="shared" si="10"/>
        <v>100</v>
      </c>
      <c r="T45" s="776" t="s">
        <v>17</v>
      </c>
      <c r="U45" s="777">
        <f t="shared" si="11"/>
        <v>100</v>
      </c>
      <c r="V45" s="776" t="s">
        <v>17</v>
      </c>
      <c r="W45" s="777">
        <f t="shared" si="12"/>
        <v>100</v>
      </c>
      <c r="X45" s="778"/>
      <c r="Y45" s="3224"/>
      <c r="Z45" s="779">
        <f t="shared" si="13"/>
        <v>111</v>
      </c>
      <c r="AA45" s="1808">
        <f t="shared" si="3"/>
        <v>1</v>
      </c>
      <c r="AB45" s="1808">
        <f t="shared" si="4"/>
        <v>1</v>
      </c>
      <c r="AC45" s="1808">
        <f t="shared" si="5"/>
        <v>1</v>
      </c>
    </row>
    <row r="46" spans="1:29" ht="15">
      <c r="A46" s="478" t="s">
        <v>2719</v>
      </c>
      <c r="B46" s="2699" t="s">
        <v>2754</v>
      </c>
      <c r="C46" s="681" t="s">
        <v>1</v>
      </c>
      <c r="D46" s="480"/>
      <c r="E46" s="481">
        <f>Sheet2!AK2</f>
        <v>2737.53</v>
      </c>
      <c r="F46" s="482"/>
      <c r="G46" s="483">
        <f>Sheet2!AK3</f>
        <v>2404.46</v>
      </c>
      <c r="H46" s="484"/>
      <c r="I46" s="481">
        <f>Sheet2!AK4</f>
        <v>2121.42</v>
      </c>
      <c r="J46" s="484"/>
      <c r="K46" s="782"/>
      <c r="L46" s="1141"/>
      <c r="M46" s="1142"/>
      <c r="N46" s="1129"/>
      <c r="O46" s="1142"/>
      <c r="P46" s="3206" t="str">
        <f>A46</f>
        <v>成交单价</v>
      </c>
      <c r="Q46" s="3206"/>
      <c r="R46" s="3219">
        <f>E46</f>
        <v>2737.53</v>
      </c>
      <c r="S46" s="3219"/>
      <c r="T46" s="3219">
        <f>G46</f>
        <v>2404.46</v>
      </c>
      <c r="U46" s="3219"/>
      <c r="V46" s="3219">
        <f>I46</f>
        <v>2121.42</v>
      </c>
      <c r="W46" s="3219"/>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1"/>
      <c r="M47" s="1142"/>
      <c r="N47" s="1142"/>
      <c r="O47" s="1142"/>
      <c r="P47" s="3206" t="str">
        <f>A47</f>
        <v>比较价值（元/平方米）</v>
      </c>
      <c r="Q47" s="3206"/>
      <c r="R47" s="3225" t="e">
        <f>ROUND(PRODUCT(R46,AA7:AA45),0)</f>
        <v>#DIV/0!</v>
      </c>
      <c r="S47" s="3225"/>
      <c r="T47" s="3225" t="e">
        <f>ROUND(PRODUCT(T46,AB7:AB45),0)</f>
        <v>#DIV/0!</v>
      </c>
      <c r="U47" s="3225"/>
      <c r="V47" s="3225" t="e">
        <f>ROUND(PRODUCT(V46,AC7:AC45),0)</f>
        <v>#DIV/0!</v>
      </c>
      <c r="W47" s="3225"/>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1"/>
      <c r="M48" s="1142"/>
      <c r="N48" s="1142"/>
      <c r="O48" s="1142"/>
      <c r="P48" s="3226" t="str">
        <f>A48</f>
        <v>估价对象XX用房的比较价值（楼面单价，元/平方米）</v>
      </c>
      <c r="Q48" s="3227"/>
      <c r="R48" s="3228" t="e">
        <f>ROUND(AVERAGE(R47:V47),0)</f>
        <v>#DIV/0!</v>
      </c>
      <c r="S48" s="3228"/>
      <c r="T48" s="3228"/>
      <c r="U48" s="3228"/>
      <c r="V48" s="3228"/>
      <c r="W48" s="322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f>IF(E46&lt;G46,G46/E46-1,E46/G46-1)</f>
        <v>0.13852174708666398</v>
      </c>
      <c r="F53" s="499" t="str">
        <f>IF(OR(E53&gt;=0.3,E53&lt;=-0.3),"超过30%","")</f>
        <v/>
      </c>
      <c r="G53" s="498">
        <f>IF(G46&lt;I46,I46/G46-1,G46/I46-1)</f>
        <v>0.13342006769050907</v>
      </c>
      <c r="H53" s="499" t="str">
        <f>IF(OR(G53&gt;=0.3,G53&lt;=-0.3),"超过30%","")</f>
        <v/>
      </c>
      <c r="I53" s="498">
        <f>IF(I46&lt;E46,E46/I46-1,I46/E46-1)</f>
        <v>0.29042339565008346</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2756</v>
      </c>
      <c r="B55" s="684" t="s">
        <v>2757</v>
      </c>
      <c r="C55" s="2700" t="s">
        <v>2758</v>
      </c>
      <c r="D55" s="2701" t="s">
        <v>2759</v>
      </c>
      <c r="E55" s="685" t="s">
        <v>2760</v>
      </c>
      <c r="F55" s="1105" t="s">
        <v>2761</v>
      </c>
      <c r="G55" s="3207" t="s">
        <v>2762</v>
      </c>
      <c r="H55" s="3229"/>
      <c r="I55" s="144" t="s">
        <v>2763</v>
      </c>
      <c r="J55" s="2702">
        <f>项目基本情况!F35</f>
        <v>0</v>
      </c>
      <c r="K55" s="2703" t="s">
        <v>2764</v>
      </c>
      <c r="L55" s="1104"/>
      <c r="M55" s="1142"/>
      <c r="N55" s="1142"/>
      <c r="O55" s="1142"/>
    </row>
    <row r="56" spans="1:15" s="691" customFormat="1">
      <c r="A56" s="687" t="s">
        <v>2765</v>
      </c>
      <c r="B56" s="688" t="e">
        <f>C48</f>
        <v>#DIV/0!</v>
      </c>
      <c r="C56" s="689">
        <v>1</v>
      </c>
      <c r="D56" s="1161">
        <v>1</v>
      </c>
      <c r="E56" s="689">
        <f>'数据-汇总表'!E8+'数据-汇总表'!E9</f>
        <v>17116.989999999998</v>
      </c>
      <c r="F56" s="1101" t="e">
        <f t="shared" ref="F56:F65" si="15">ROUND(B56*E56/10000,0)</f>
        <v>#DIV/0!</v>
      </c>
      <c r="G56" s="3230"/>
      <c r="H56" s="3206"/>
      <c r="I56" s="1106">
        <v>1</v>
      </c>
      <c r="J56" s="1109">
        <v>1</v>
      </c>
      <c r="K56" s="1143"/>
      <c r="L56" s="939"/>
      <c r="M56" s="939"/>
      <c r="N56" s="939"/>
      <c r="O56" s="939"/>
    </row>
    <row r="57" spans="1:15" s="691" customFormat="1">
      <c r="A57" s="692" t="s">
        <v>2766</v>
      </c>
      <c r="B57" s="262" t="e">
        <f>ROUND($C$48*C57*D57,0)</f>
        <v>#DIV/0!</v>
      </c>
      <c r="C57" s="200">
        <f t="shared" ref="C57:C65" si="16">IF($C$55="北京市系数",I57,J57)</f>
        <v>0</v>
      </c>
      <c r="D57" s="1162">
        <v>0.25</v>
      </c>
      <c r="E57" s="693"/>
      <c r="F57" s="1101" t="e">
        <f t="shared" si="15"/>
        <v>#DIV/0!</v>
      </c>
      <c r="G57" s="3231" t="s">
        <v>2767</v>
      </c>
      <c r="H57" s="1102">
        <f>项目基本情况!B37</f>
        <v>0</v>
      </c>
      <c r="I57" s="1106">
        <f>SUMIF(修正!A45:A56,H57,修正!B45:B56)</f>
        <v>0</v>
      </c>
      <c r="J57" s="1110"/>
      <c r="K57" s="1142"/>
      <c r="L57" s="939"/>
      <c r="M57" s="939"/>
      <c r="N57" s="939"/>
      <c r="O57" s="939"/>
    </row>
    <row r="58" spans="1:15" s="691" customFormat="1">
      <c r="A58" s="692" t="s">
        <v>2768</v>
      </c>
      <c r="B58" s="262" t="e">
        <f t="shared" ref="B58:B65" si="17">ROUND($C$48*C58*D58,0)</f>
        <v>#DIV/0!</v>
      </c>
      <c r="C58" s="200">
        <f t="shared" si="16"/>
        <v>0</v>
      </c>
      <c r="D58" s="1162">
        <v>0.25</v>
      </c>
      <c r="E58" s="693"/>
      <c r="F58" s="1101" t="e">
        <f t="shared" si="15"/>
        <v>#DIV/0!</v>
      </c>
      <c r="G58" s="3231"/>
      <c r="H58" s="1102">
        <f>项目基本情况!B37</f>
        <v>0</v>
      </c>
      <c r="I58" s="1106">
        <f>SUMIF(修正!A45:A56,H58,修正!C45:C56)</f>
        <v>0</v>
      </c>
      <c r="J58" s="1110"/>
      <c r="K58" s="1143"/>
      <c r="L58" s="939"/>
      <c r="M58" s="939"/>
      <c r="N58" s="939"/>
      <c r="O58" s="939"/>
    </row>
    <row r="59" spans="1:15" s="691" customFormat="1">
      <c r="A59" s="692" t="s">
        <v>2769</v>
      </c>
      <c r="B59" s="262" t="e">
        <f t="shared" si="17"/>
        <v>#DIV/0!</v>
      </c>
      <c r="C59" s="200">
        <f t="shared" si="16"/>
        <v>0</v>
      </c>
      <c r="D59" s="1162">
        <v>0.25</v>
      </c>
      <c r="E59" s="693"/>
      <c r="F59" s="1101" t="e">
        <f t="shared" si="15"/>
        <v>#DIV/0!</v>
      </c>
      <c r="G59" s="3231"/>
      <c r="H59" s="1102">
        <f>项目基本情况!B37</f>
        <v>0</v>
      </c>
      <c r="I59" s="1106">
        <f>SUMIF(修正!A45:A56,H59,修正!D45:D56)</f>
        <v>0</v>
      </c>
      <c r="J59" s="1110"/>
      <c r="K59" s="1142"/>
      <c r="L59" s="939"/>
      <c r="M59" s="939"/>
      <c r="N59" s="939"/>
      <c r="O59" s="939"/>
    </row>
    <row r="60" spans="1:15" s="691" customFormat="1">
      <c r="A60" s="692" t="s">
        <v>2770</v>
      </c>
      <c r="B60" s="262" t="e">
        <f t="shared" si="17"/>
        <v>#DIV/0!</v>
      </c>
      <c r="C60" s="200">
        <f t="shared" si="16"/>
        <v>0</v>
      </c>
      <c r="D60" s="1162">
        <v>0.25</v>
      </c>
      <c r="E60" s="693"/>
      <c r="F60" s="1101" t="e">
        <f t="shared" si="15"/>
        <v>#DIV/0!</v>
      </c>
      <c r="G60" s="3231"/>
      <c r="H60" s="1102">
        <f>项目基本情况!B37</f>
        <v>0</v>
      </c>
      <c r="I60" s="1106">
        <f>SUMIF(修正!A45:A56,H60,修正!E45:E56)</f>
        <v>0</v>
      </c>
      <c r="J60" s="1110"/>
      <c r="K60" s="1143"/>
      <c r="L60" s="939"/>
      <c r="M60" s="939"/>
      <c r="N60" s="939"/>
      <c r="O60" s="939"/>
    </row>
    <row r="61" spans="1:15" s="691" customFormat="1">
      <c r="A61" s="692" t="s">
        <v>2771</v>
      </c>
      <c r="B61" s="262" t="e">
        <f t="shared" si="17"/>
        <v>#DIV/0!</v>
      </c>
      <c r="C61" s="200">
        <f t="shared" si="16"/>
        <v>0</v>
      </c>
      <c r="D61" s="1162">
        <v>0.25</v>
      </c>
      <c r="E61" s="261">
        <f>'数据-汇总表'!E11</f>
        <v>0</v>
      </c>
      <c r="F61" s="1101" t="e">
        <f t="shared" si="15"/>
        <v>#DIV/0!</v>
      </c>
      <c r="G61" s="2704" t="s">
        <v>2772</v>
      </c>
      <c r="H61" s="1102">
        <f>项目基本情况!C37</f>
        <v>0</v>
      </c>
      <c r="I61" s="1106">
        <f>SUMIF(修正!A45:A56,H61,修正!F45:F56)</f>
        <v>0</v>
      </c>
      <c r="J61" s="1110"/>
      <c r="K61" s="1142"/>
      <c r="L61" s="939"/>
      <c r="M61" s="939"/>
      <c r="N61" s="939"/>
      <c r="O61" s="939"/>
    </row>
    <row r="62" spans="1:15" s="691" customFormat="1">
      <c r="A62" s="692"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2775</v>
      </c>
      <c r="B63" s="262" t="e">
        <f t="shared" si="17"/>
        <v>#DIV/0!</v>
      </c>
      <c r="C63" s="200">
        <f t="shared" si="16"/>
        <v>0</v>
      </c>
      <c r="D63" s="1162">
        <v>0.25</v>
      </c>
      <c r="E63" s="261">
        <f>'数据-汇总表'!E13</f>
        <v>3184.2</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2777</v>
      </c>
      <c r="B64" s="262" t="e">
        <f t="shared" si="17"/>
        <v>#DIV/0!</v>
      </c>
      <c r="C64" s="200">
        <f t="shared" si="16"/>
        <v>0</v>
      </c>
      <c r="D64" s="1162">
        <v>0.25</v>
      </c>
      <c r="E64" s="261">
        <f>'数据-汇总表'!E14</f>
        <v>0</v>
      </c>
      <c r="F64" s="1101" t="e">
        <f t="shared" si="15"/>
        <v>#DIV/0!</v>
      </c>
      <c r="G64" s="2704" t="s">
        <v>2767</v>
      </c>
      <c r="H64" s="1102">
        <f>项目基本情况!B37</f>
        <v>0</v>
      </c>
      <c r="I64" s="1106">
        <f>SUMIF(修正!A45:A56,H64,修正!H45:H56)</f>
        <v>0</v>
      </c>
      <c r="J64" s="1110"/>
      <c r="K64" s="1143"/>
      <c r="L64" s="939"/>
      <c r="M64" s="939"/>
      <c r="N64" s="939"/>
      <c r="O64" s="939"/>
    </row>
    <row r="65" spans="1:17" s="691" customFormat="1" ht="15" thickBot="1">
      <c r="A65" s="692" t="s">
        <v>2778</v>
      </c>
      <c r="B65" s="262" t="e">
        <f t="shared" si="17"/>
        <v>#DIV/0!</v>
      </c>
      <c r="C65" s="200">
        <f t="shared" si="16"/>
        <v>0</v>
      </c>
      <c r="D65" s="1162">
        <v>0.25</v>
      </c>
      <c r="E65" s="261">
        <f>'数据-汇总表'!E15</f>
        <v>0</v>
      </c>
      <c r="F65" s="1101" t="e">
        <f t="shared" si="15"/>
        <v>#DIV/0!</v>
      </c>
      <c r="G65" s="2705" t="s">
        <v>2772</v>
      </c>
      <c r="H65" s="1112">
        <f>项目基本情况!C37</f>
        <v>0</v>
      </c>
      <c r="I65" s="1108">
        <f>SUMIF(修正!A45:A56,H65,修正!H45:H56)</f>
        <v>0</v>
      </c>
      <c r="J65" s="1111"/>
      <c r="K65" s="1142"/>
      <c r="L65" s="939"/>
      <c r="M65" s="939"/>
      <c r="N65" s="939"/>
      <c r="O65" s="939"/>
    </row>
    <row r="66" spans="1:17" s="691" customFormat="1" ht="13.5" thickBot="1">
      <c r="A66" s="694" t="s">
        <v>2779</v>
      </c>
      <c r="B66" s="695" t="s">
        <v>28</v>
      </c>
      <c r="C66" s="695" t="s">
        <v>29</v>
      </c>
      <c r="D66" s="695" t="s">
        <v>1029</v>
      </c>
      <c r="E66" s="695">
        <f>IF(B46="楼面地价",SUM(E56:E65),'数据-汇总表'!D3)</f>
        <v>20301.189999999999</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2673</v>
      </c>
      <c r="B69" s="758"/>
      <c r="C69" s="763"/>
      <c r="D69" s="763"/>
      <c r="E69" s="763"/>
      <c r="F69" s="764"/>
      <c r="G69" s="764"/>
      <c r="H69" s="763"/>
      <c r="I69" s="763"/>
      <c r="J69" s="1157"/>
      <c r="K69" s="1158"/>
      <c r="L69" s="1159"/>
      <c r="M69" s="1157"/>
      <c r="N69" s="1157"/>
      <c r="O69" s="1157"/>
      <c r="P69" s="502"/>
      <c r="Q69" s="503"/>
    </row>
    <row r="70" spans="1:17" s="507" customFormat="1" ht="15">
      <c r="A70" s="2706" t="s">
        <v>2780</v>
      </c>
      <c r="B70" s="1357"/>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6"/>
    </row>
    <row r="71" spans="1:17" s="117" customFormat="1" ht="30" customHeight="1">
      <c r="A71" s="2707" t="s">
        <v>2781</v>
      </c>
      <c r="B71" s="332" t="str">
        <f>"北京市平均增长率"&amp;TEXT(SUMIF(基准地价修正!N21:N25,A71,基准地价修正!P21:P25),"0.00%")</f>
        <v>北京市平均增长率0.00%</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2584</v>
      </c>
      <c r="B72" s="515"/>
      <c r="C72" s="516"/>
      <c r="D72" s="517"/>
      <c r="E72" s="517"/>
      <c r="F72" s="517"/>
      <c r="G72" s="517"/>
      <c r="H72" s="517"/>
      <c r="I72" s="517"/>
      <c r="J72" s="517"/>
      <c r="K72" s="517"/>
      <c r="L72" s="517"/>
      <c r="M72" s="518"/>
      <c r="N72" s="517"/>
      <c r="O72" s="1160"/>
      <c r="P72" s="503"/>
      <c r="Q72" s="503"/>
    </row>
    <row r="73" spans="1:17" s="117" customFormat="1" ht="15">
      <c r="A73" s="520" t="s">
        <v>2549</v>
      </c>
      <c r="B73" s="509"/>
      <c r="C73" s="521" t="s">
        <v>2651</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2587</v>
      </c>
      <c r="B75" s="527" t="s">
        <v>2553</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v>4</v>
      </c>
      <c r="H80" s="548"/>
      <c r="I80" s="548"/>
      <c r="J80" s="548"/>
      <c r="K80" s="549"/>
      <c r="L80" s="550"/>
      <c r="M80" s="551"/>
      <c r="N80" s="1150"/>
      <c r="O80" s="1150"/>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2782</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2783</v>
      </c>
      <c r="C96" s="577" t="s">
        <v>2596</v>
      </c>
      <c r="D96" s="577" t="s">
        <v>2597</v>
      </c>
      <c r="E96" s="577" t="s">
        <v>2598</v>
      </c>
      <c r="F96" s="577" t="s">
        <v>2599</v>
      </c>
      <c r="G96" s="577" t="s">
        <v>2600</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2784</v>
      </c>
      <c r="C98" s="572" t="s">
        <v>2596</v>
      </c>
      <c r="D98" s="572" t="s">
        <v>2597</v>
      </c>
      <c r="E98" s="572" t="s">
        <v>2598</v>
      </c>
      <c r="F98" s="572" t="s">
        <v>2599</v>
      </c>
      <c r="G98" s="572" t="s">
        <v>2600</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7.75" thickTop="1">
      <c r="A106" s="533"/>
      <c r="B106" s="537" t="s">
        <v>2690</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5.75" thickTop="1">
      <c r="A108" s="533"/>
      <c r="B108" s="537" t="s">
        <v>2748</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2562</v>
      </c>
      <c r="B116" s="527" t="s">
        <v>2789</v>
      </c>
      <c r="C116" s="528" t="str">
        <f>C117&amp;"(含)"&amp;"-"&amp;D117</f>
        <v>0(含)-30000</v>
      </c>
      <c r="D116" s="528" t="str">
        <f t="shared" ref="D116:M116" si="26">D117&amp;"(含)"&amp;"-"&amp;E117</f>
        <v>30000(含)-60000</v>
      </c>
      <c r="E116" s="528" t="str">
        <f t="shared" si="26"/>
        <v>60000(含)-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ht="15">
      <c r="A117" s="533"/>
      <c r="B117" s="545"/>
      <c r="C117" s="594">
        <v>0</v>
      </c>
      <c r="D117" s="594">
        <v>30000</v>
      </c>
      <c r="E117" s="594">
        <v>60000</v>
      </c>
      <c r="F117" s="594"/>
      <c r="G117" s="594"/>
      <c r="H117" s="594"/>
      <c r="I117" s="594"/>
      <c r="J117" s="595"/>
      <c r="K117" s="595"/>
      <c r="L117" s="596"/>
      <c r="M117" s="597"/>
      <c r="N117" s="1150"/>
      <c r="O117" s="1150"/>
      <c r="P117" s="45"/>
      <c r="Q117" s="503"/>
    </row>
    <row r="118" spans="1:17" ht="15.75" thickBot="1">
      <c r="A118" s="533"/>
      <c r="B118" s="542"/>
      <c r="C118" s="569">
        <v>100</v>
      </c>
      <c r="D118" s="590">
        <f>C118+0.5</f>
        <v>100.5</v>
      </c>
      <c r="E118" s="590">
        <f>D118+0.5</f>
        <v>101</v>
      </c>
      <c r="F118" s="590"/>
      <c r="G118" s="590"/>
      <c r="H118" s="590"/>
      <c r="I118" s="590"/>
      <c r="J118" s="590"/>
      <c r="K118" s="590"/>
      <c r="L118" s="590"/>
      <c r="M118" s="591"/>
      <c r="N118" s="1151"/>
      <c r="O118" s="1151"/>
      <c r="P118" s="45"/>
      <c r="Q118" s="503"/>
    </row>
    <row r="119" spans="1:17" ht="15" thickTop="1">
      <c r="A119" s="598"/>
      <c r="B119" s="537" t="s">
        <v>2790</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51"/>
      <c r="O120" s="1151"/>
      <c r="P120" s="45"/>
      <c r="Q120" s="503"/>
    </row>
    <row r="121" spans="1:17" ht="15" thickTop="1">
      <c r="A121" s="598"/>
      <c r="B121" s="537" t="s">
        <v>2791</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1"/>
      <c r="O122" s="1151"/>
      <c r="P122" s="45"/>
      <c r="Q122" s="503"/>
    </row>
    <row r="123" spans="1:17" s="470" customFormat="1" ht="15" thickTop="1">
      <c r="A123" s="592"/>
      <c r="B123" s="537" t="s">
        <v>2792</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9">D124-$K41</f>
        <v>100</v>
      </c>
      <c r="F124" s="543">
        <f t="shared" si="29"/>
        <v>100</v>
      </c>
      <c r="G124" s="543">
        <f t="shared" si="29"/>
        <v>100</v>
      </c>
      <c r="H124" s="543">
        <f t="shared" si="29"/>
        <v>100</v>
      </c>
      <c r="I124" s="543">
        <f t="shared" si="29"/>
        <v>100</v>
      </c>
      <c r="J124" s="543">
        <f t="shared" si="29"/>
        <v>100</v>
      </c>
      <c r="K124" s="543">
        <f t="shared" si="29"/>
        <v>100</v>
      </c>
      <c r="L124" s="543">
        <f t="shared" si="29"/>
        <v>100</v>
      </c>
      <c r="M124" s="544">
        <f t="shared" si="29"/>
        <v>100</v>
      </c>
      <c r="N124" s="1152"/>
      <c r="O124" s="1152"/>
      <c r="P124" s="557"/>
      <c r="Q124" s="558"/>
    </row>
    <row r="125" spans="1:17" ht="15" thickTop="1">
      <c r="A125" s="598"/>
      <c r="B125" s="537" t="s">
        <v>2793</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2" priority="14" stopIfTrue="1" operator="containsText" text="超过">
      <formula>NOT(ISERROR(SEARCH("超过",F51)))</formula>
    </cfRule>
  </conditionalFormatting>
  <conditionalFormatting sqref="J53">
    <cfRule type="containsText" dxfId="161" priority="13" stopIfTrue="1" operator="containsText" text="超过">
      <formula>NOT(ISERROR(SEARCH("超过",J53)))</formula>
    </cfRule>
  </conditionalFormatting>
  <conditionalFormatting sqref="H53">
    <cfRule type="containsText" dxfId="160" priority="12" stopIfTrue="1" operator="containsText" text="超过">
      <formula>NOT(ISERROR(SEARCH("超过",H53)))</formula>
    </cfRule>
  </conditionalFormatting>
  <conditionalFormatting sqref="F53">
    <cfRule type="containsText" dxfId="159" priority="11" stopIfTrue="1" operator="containsText" text="超过">
      <formula>NOT(ISERROR(SEARCH("超过",F53)))</formula>
    </cfRule>
  </conditionalFormatting>
  <conditionalFormatting sqref="F52 H52 J52">
    <cfRule type="containsText" dxfId="158" priority="10" stopIfTrue="1" operator="containsText" text="超过">
      <formula>NOT(ISERROR(SEARCH("超过",F52)))</formula>
    </cfRule>
  </conditionalFormatting>
  <conditionalFormatting sqref="E51">
    <cfRule type="expression" dxfId="157" priority="9" stopIfTrue="1">
      <formula>$F$51="超过30%"</formula>
    </cfRule>
  </conditionalFormatting>
  <conditionalFormatting sqref="G53">
    <cfRule type="expression" dxfId="156" priority="8" stopIfTrue="1">
      <formula>$H$53="超过30%"</formula>
    </cfRule>
  </conditionalFormatting>
  <conditionalFormatting sqref="E52">
    <cfRule type="expression" dxfId="155" priority="7" stopIfTrue="1">
      <formula>$F$52="超过20%"</formula>
    </cfRule>
  </conditionalFormatting>
  <conditionalFormatting sqref="E53">
    <cfRule type="expression" dxfId="154" priority="6" stopIfTrue="1">
      <formula>$F$53="超过30%"</formula>
    </cfRule>
  </conditionalFormatting>
  <conditionalFormatting sqref="G51">
    <cfRule type="expression" dxfId="153" priority="5" stopIfTrue="1">
      <formula>$H$53+$H$51="超过30%"</formula>
    </cfRule>
  </conditionalFormatting>
  <conditionalFormatting sqref="G52">
    <cfRule type="expression" dxfId="152" priority="4" stopIfTrue="1">
      <formula>$H$52="超过20%"</formula>
    </cfRule>
  </conditionalFormatting>
  <conditionalFormatting sqref="I51">
    <cfRule type="expression" dxfId="151" priority="3" stopIfTrue="1">
      <formula>$J$51="超过30%"</formula>
    </cfRule>
  </conditionalFormatting>
  <conditionalFormatting sqref="I52">
    <cfRule type="expression" dxfId="150" priority="2" stopIfTrue="1">
      <formula>$J$52="超过20%"</formula>
    </cfRule>
  </conditionalFormatting>
  <conditionalFormatting sqref="I53">
    <cfRule type="expression" dxfId="1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3" t="str">
        <f>项目基本情况!B1</f>
        <v>北京市诺德中心三期出让国有建设用地使用权及在建建筑物房地产抵押价值预评估</v>
      </c>
      <c r="C37" s="3003"/>
      <c r="D37" s="3003"/>
      <c r="E37" s="3003"/>
      <c r="F37" s="3003"/>
      <c r="G37" s="3003"/>
      <c r="H37" s="3003"/>
      <c r="I37" s="3003"/>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吴薇（注册号：1419970001)、崔锴（注册号：1120100036)</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G59" sqref="G5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7">
        <f>MATCH(B1,'数据-取费表'!A6:A16,0)+5</f>
        <v>9</v>
      </c>
    </row>
    <row r="2" spans="1:9" s="244" customFormat="1" ht="18" customHeight="1">
      <c r="A2" s="245" t="s">
        <v>2329</v>
      </c>
      <c r="B2" s="246" t="e">
        <f ca="1">IF(D2="——",C52,C52-E2)</f>
        <v>#DIV/0!</v>
      </c>
      <c r="C2" s="243" t="s">
        <v>2330</v>
      </c>
      <c r="D2" s="2542" t="s">
        <v>70</v>
      </c>
      <c r="E2" s="1438" t="e">
        <f ca="1">SUMIF(INDIRECT("'"&amp;G2&amp;"'"&amp;"!A:A"),"承租人权益价值",INDIRECT("'"&amp;G2&amp;"'"&amp;"!c:c"))</f>
        <v>#REF!</v>
      </c>
      <c r="F2" s="2543" t="s">
        <v>2330</v>
      </c>
      <c r="G2" s="2544"/>
    </row>
    <row r="3" spans="1:9" s="244" customFormat="1" ht="18" customHeight="1" thickBot="1">
      <c r="A3" s="247" t="s">
        <v>2331</v>
      </c>
      <c r="B3" s="248" t="e">
        <f ca="1">ROUND(B2*10000/(IF(B1="",'数据-汇总表'!E3,INDIRECT("'数据-取费表'!k"&amp;$G$1))),0)</f>
        <v>#DIV/0!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t="e">
        <f>C6+C7+C8</f>
        <v>#DIV/0!</v>
      </c>
      <c r="D5" s="255" t="s">
        <v>2336</v>
      </c>
      <c r="E5" s="256" t="s">
        <v>2337</v>
      </c>
      <c r="F5" s="256" t="s">
        <v>2338</v>
      </c>
      <c r="G5" s="257"/>
    </row>
    <row r="6" spans="1:9" s="258" customFormat="1" ht="13.5" customHeight="1">
      <c r="A6" s="947" t="s">
        <v>2339</v>
      </c>
      <c r="B6" s="259" t="s">
        <v>2340</v>
      </c>
      <c r="C6" s="260" t="e">
        <f>'土地比较法-住宅、综合'!F56</f>
        <v>#DIV/0!</v>
      </c>
      <c r="D6" s="261"/>
      <c r="E6" s="262"/>
      <c r="F6" s="262"/>
      <c r="G6" s="263"/>
    </row>
    <row r="7" spans="1:9" s="258" customFormat="1" ht="13.5" customHeight="1">
      <c r="A7" s="947" t="s">
        <v>2341</v>
      </c>
      <c r="B7" s="259" t="s">
        <v>2342</v>
      </c>
      <c r="C7" s="264" t="e">
        <f>ROUND(C6*F7,0)</f>
        <v>#DIV/0!</v>
      </c>
      <c r="D7" s="264"/>
      <c r="E7" s="262"/>
      <c r="F7" s="265">
        <f>'数据-取费表'!B48+'数据-取费表'!B49</f>
        <v>3.0499999999999999E-2</v>
      </c>
      <c r="G7" s="263"/>
    </row>
    <row r="8" spans="1:9" s="267" customFormat="1">
      <c r="A8" s="947" t="s">
        <v>2343</v>
      </c>
      <c r="B8" s="259" t="s">
        <v>2344</v>
      </c>
      <c r="C8" s="264">
        <f>IF(G8="已包含在土地购买价格中","0",IF(B1="",'数据-取费表'!B29,IF(G9="全部缴纳",C9+C10,H9)))</f>
        <v>446.36660000000001</v>
      </c>
      <c r="D8" s="266"/>
      <c r="E8" s="264"/>
      <c r="F8" s="265"/>
      <c r="G8" s="2545"/>
    </row>
    <row r="9" spans="1:9" s="258" customFormat="1" ht="13.5" customHeight="1">
      <c r="A9" s="948" t="s">
        <v>800</v>
      </c>
      <c r="B9" s="268" t="s">
        <v>2345</v>
      </c>
      <c r="C9" s="269">
        <f ca="1">ROUND(D9*E9/10000,0)</f>
        <v>0</v>
      </c>
      <c r="D9" s="1030">
        <f ca="1">IF(B1="",'数据-汇总表'!E5,IF(INDIRECT("'数据-取费表'!c"&amp;$G$1)="住宅",INDIRECT("'数据-取费表'!k"&amp;$G$1),0))</f>
        <v>0</v>
      </c>
      <c r="E9" s="269">
        <f>'数据-取费表'!B27</f>
        <v>200</v>
      </c>
      <c r="F9" s="265"/>
      <c r="G9" s="2546"/>
      <c r="H9" s="1388"/>
      <c r="I9" s="2547" t="s">
        <v>2346</v>
      </c>
    </row>
    <row r="10" spans="1:9" s="258" customFormat="1" ht="13.5" customHeight="1">
      <c r="A10" s="948" t="s">
        <v>801</v>
      </c>
      <c r="B10" s="268" t="s">
        <v>2347</v>
      </c>
      <c r="C10" s="269">
        <f ca="1">ROUND(D10*E10/10000,0)</f>
        <v>446</v>
      </c>
      <c r="D10" s="1030">
        <f ca="1">IF(B1="",'数据-汇总表'!E6,IF(INDIRECT("'数据-取费表'!c"&amp;$G$1)="住宅",INDIRECT("'数据-取费表'!s"&amp;$G$1),INDIRECT("'数据-取费表'!k"&amp;$G$1)+INDIRECT("'数据-取费表'!s"&amp;$G$1)))</f>
        <v>22318.329999999998</v>
      </c>
      <c r="E10" s="269">
        <f>'数据-取费表'!B28</f>
        <v>200</v>
      </c>
      <c r="F10" s="265"/>
      <c r="G10" s="270"/>
    </row>
    <row r="11" spans="1:9" s="258" customFormat="1" ht="13.5" hidden="1" customHeight="1">
      <c r="A11" s="271" t="s">
        <v>7</v>
      </c>
      <c r="B11" s="259" t="s">
        <v>2348</v>
      </c>
      <c r="C11" s="255"/>
      <c r="D11" s="1032"/>
      <c r="E11" s="262"/>
      <c r="F11" s="262"/>
      <c r="G11" s="263"/>
    </row>
    <row r="12" spans="1:9" s="258" customFormat="1" ht="13.5" hidden="1" customHeight="1">
      <c r="A12" s="271" t="s">
        <v>8</v>
      </c>
      <c r="B12" s="259" t="s">
        <v>2349</v>
      </c>
      <c r="C12" s="255">
        <v>0</v>
      </c>
      <c r="D12" s="1032"/>
      <c r="E12" s="272"/>
      <c r="F12" s="265">
        <v>3.0499999999999999E-2</v>
      </c>
      <c r="G12" s="263"/>
    </row>
    <row r="13" spans="1:9" s="258" customFormat="1" ht="13.5" hidden="1" customHeight="1">
      <c r="A13" s="271" t="s">
        <v>9</v>
      </c>
      <c r="B13" s="259" t="s">
        <v>2350</v>
      </c>
      <c r="C13" s="255"/>
      <c r="D13" s="1032"/>
      <c r="E13" s="262"/>
      <c r="F13" s="262"/>
      <c r="G13" s="263"/>
    </row>
    <row r="14" spans="1:9" s="258" customFormat="1" ht="13.5" hidden="1" customHeight="1">
      <c r="A14" s="271" t="s">
        <v>10</v>
      </c>
      <c r="B14" s="259" t="s">
        <v>2351</v>
      </c>
      <c r="C14" s="255"/>
      <c r="D14" s="1032"/>
      <c r="E14" s="262"/>
      <c r="F14" s="262"/>
      <c r="G14" s="263" t="s">
        <v>2352</v>
      </c>
    </row>
    <row r="15" spans="1:9" s="258" customFormat="1" ht="13.5" hidden="1" customHeight="1">
      <c r="A15" s="271" t="s">
        <v>11</v>
      </c>
      <c r="B15" s="259" t="s">
        <v>2353</v>
      </c>
      <c r="C15" s="264"/>
      <c r="D15" s="1032"/>
      <c r="E15" s="262"/>
      <c r="F15" s="262"/>
      <c r="G15" s="263" t="s">
        <v>2354</v>
      </c>
    </row>
    <row r="16" spans="1:9" s="258" customFormat="1" ht="13.5" hidden="1" customHeight="1">
      <c r="A16" s="271" t="s">
        <v>12</v>
      </c>
      <c r="B16" s="259" t="s">
        <v>2351</v>
      </c>
      <c r="C16" s="264"/>
      <c r="D16" s="1032"/>
      <c r="E16" s="262"/>
      <c r="F16" s="262"/>
      <c r="G16" s="263"/>
    </row>
    <row r="17" spans="1:7" s="258" customFormat="1" ht="13.5" hidden="1" customHeight="1">
      <c r="A17" s="271" t="s">
        <v>13</v>
      </c>
      <c r="B17" s="259" t="s">
        <v>2355</v>
      </c>
      <c r="C17" s="273"/>
      <c r="D17" s="1033"/>
      <c r="E17" s="273"/>
      <c r="F17" s="273"/>
      <c r="G17" s="263" t="s">
        <v>2354</v>
      </c>
    </row>
    <row r="18" spans="1:7" s="258" customFormat="1" ht="13.5" hidden="1" customHeight="1">
      <c r="A18" s="271" t="s">
        <v>14</v>
      </c>
      <c r="B18" s="259" t="s">
        <v>2356</v>
      </c>
      <c r="C18" s="264">
        <v>0</v>
      </c>
      <c r="D18" s="1032"/>
      <c r="E18" s="262"/>
      <c r="F18" s="265">
        <v>3.0499999999999999E-2</v>
      </c>
      <c r="G18" s="263" t="s">
        <v>2357</v>
      </c>
    </row>
    <row r="19" spans="1:7" s="267" customFormat="1" ht="13.5" customHeight="1">
      <c r="A19" s="299" t="s">
        <v>2358</v>
      </c>
      <c r="B19" s="254" t="s">
        <v>2359</v>
      </c>
      <c r="C19" s="255">
        <f ca="1">IF(G19="已包含在土地取得成本中","0",ROUND(D19*E19/10000,0))</f>
        <v>446</v>
      </c>
      <c r="D19" s="1034">
        <f ca="1">D9+D10</f>
        <v>22318.329999999998</v>
      </c>
      <c r="E19" s="255">
        <f>'数据-取费表'!B31</f>
        <v>200</v>
      </c>
      <c r="F19" s="275"/>
      <c r="G19" s="2545"/>
    </row>
    <row r="20" spans="1:7" s="258" customFormat="1" ht="13.5" customHeight="1">
      <c r="A20" s="299" t="s">
        <v>2360</v>
      </c>
      <c r="B20" s="254" t="s">
        <v>2361</v>
      </c>
      <c r="C20" s="276" t="e">
        <f ca="1">ROUND((C5+C19)*F20,0)</f>
        <v>#DIV/0!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2" t="e">
        <f ca="1">ROUND(SUM(C23:C25),0)</f>
        <v>#DIV/0!</v>
      </c>
      <c r="D22" s="279">
        <f ca="1">C26</f>
        <v>1E-3</v>
      </c>
      <c r="E22" s="280" t="s">
        <v>2365</v>
      </c>
      <c r="F22" s="281">
        <f ca="1">'数据-取费表'!B40</f>
        <v>4.7500000000000001E-2</v>
      </c>
      <c r="G22" s="278" t="str">
        <f>IF('数据-取费表'!B22&lt;=1,"单利计息","复利计息")</f>
        <v>复利计息</v>
      </c>
    </row>
    <row r="23" spans="1:7" s="258" customFormat="1" ht="13.5" customHeight="1">
      <c r="A23" s="949" t="s">
        <v>2369</v>
      </c>
      <c r="B23" s="259" t="s">
        <v>2370</v>
      </c>
      <c r="C23" s="1353" t="e">
        <f ca="1">ROUND(IF('数据-取费表'!B22&lt;=1,C5*F22*'数据-取费表'!B23,C5*(POWER((1+F22),'数据-取费表'!B23)-1)),0)</f>
        <v>#DIV/0!</v>
      </c>
      <c r="D23" s="282"/>
      <c r="E23" s="282"/>
      <c r="F23" s="283"/>
      <c r="G23" s="284" t="s">
        <v>2371</v>
      </c>
    </row>
    <row r="24" spans="1:7" s="258" customFormat="1" ht="13.5" customHeight="1">
      <c r="A24" s="949" t="s">
        <v>2372</v>
      </c>
      <c r="B24" s="259" t="s">
        <v>2373</v>
      </c>
      <c r="C24" s="1353">
        <f ca="1">ROUND(IF('数据-取费表'!B22&lt;=1,C19*F22*('数据-取费表'!B19/2+'数据-取费表'!B21),C19*(POWER((1+F22),('数据-取费表'!B19/2+'数据-取费表'!B21))-1)),0)</f>
        <v>43</v>
      </c>
      <c r="D24" s="282"/>
      <c r="E24" s="282"/>
      <c r="F24" s="283"/>
      <c r="G24" s="284" t="s">
        <v>2374</v>
      </c>
    </row>
    <row r="25" spans="1:7" s="258" customFormat="1" ht="24">
      <c r="A25" s="949" t="s">
        <v>2375</v>
      </c>
      <c r="B25" s="259" t="s">
        <v>2376</v>
      </c>
      <c r="C25" s="1353" t="e">
        <f ca="1">ROUND(IF('数据-取费表'!B22&lt;=1,C20*F22*'数据-取费表'!B23/2,C20*(POWER((1+F22),'数据-取费表'!B23/2)-1)),0)</f>
        <v>#DIV/0!</v>
      </c>
      <c r="D25" s="282"/>
      <c r="E25" s="285"/>
      <c r="F25" s="283"/>
      <c r="G25" s="286" t="s">
        <v>2377</v>
      </c>
    </row>
    <row r="26" spans="1:7" s="258" customFormat="1">
      <c r="A26" s="949"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t="e">
        <f ca="1">C28</f>
        <v>#DIV/0!</v>
      </c>
      <c r="D27" s="279">
        <f ca="1">C29</f>
        <v>2.8E-3</v>
      </c>
      <c r="E27" s="280" t="s">
        <v>2381</v>
      </c>
      <c r="F27" s="290">
        <f ca="1">IF(B1="",'数据-取费表'!Q16,INDIRECT("'数据-取费表'!q"&amp;$G$1))</f>
        <v>0.14000000000000001</v>
      </c>
      <c r="G27" s="291" t="s">
        <v>2382</v>
      </c>
    </row>
    <row r="28" spans="1:7" s="258" customFormat="1" ht="13.5" customHeight="1">
      <c r="A28" s="949" t="s">
        <v>791</v>
      </c>
      <c r="B28" s="292" t="s">
        <v>2383</v>
      </c>
      <c r="C28" s="293" t="e">
        <f ca="1">ROUND((C5+C19+C20)*F27*'数据-取费表'!B21/'数据-取费表'!B20,0)</f>
        <v>#DIV/0!</v>
      </c>
      <c r="D28" s="279"/>
      <c r="E28" s="280"/>
      <c r="F28" s="290"/>
      <c r="G28" s="291"/>
    </row>
    <row r="29" spans="1:7" s="258" customFormat="1" ht="13.5" customHeight="1">
      <c r="A29" s="949" t="s">
        <v>792</v>
      </c>
      <c r="B29" s="292" t="s">
        <v>2384</v>
      </c>
      <c r="C29" s="282">
        <f ca="1">ROUND(C21*F27*'数据-取费表'!B21/'数据-取费表'!B20,4)</f>
        <v>2.8E-3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t="e">
        <f ca="1">ROUND((C5+C19+C20+C22+C27)/(1-C21-D22-D27-C30),0)</f>
        <v>#DIV/0!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7442</v>
      </c>
      <c r="D33" s="276"/>
      <c r="E33" s="256"/>
      <c r="F33" s="285"/>
      <c r="G33" s="278"/>
    </row>
    <row r="34" spans="1:7" s="302" customFormat="1" ht="13.5" customHeight="1">
      <c r="A34" s="949" t="s">
        <v>791</v>
      </c>
      <c r="B34" s="259" t="s">
        <v>2392</v>
      </c>
      <c r="C34" s="264">
        <f ca="1">IF(B1="",IF(F34=100%,'数据-取费表'!M16,'数据-取费表'!O16),IF(F34=100%,INDIRECT("'数据-取费表'!m"&amp;$G$1)+INDIRECT("'数据-取费表'!t"&amp;$G$1),INDIRECT("'数据-取费表'!o"&amp;$G$1)+INDIRECT("'数据-取费表'!aq"&amp;$G$1)))</f>
        <v>6695</v>
      </c>
      <c r="D34" s="261"/>
      <c r="E34" s="264"/>
      <c r="F34" s="301">
        <f ca="1">IF('数据-取费表'!B24=0,1,IF(B1="",'数据-取费表'!N16,INDIRECT("'数据-取费表'!n"&amp;$G$1)))</f>
        <v>1</v>
      </c>
      <c r="G34" s="263" t="s">
        <v>2393</v>
      </c>
    </row>
    <row r="35" spans="1:7" ht="13.5" customHeight="1">
      <c r="A35" s="949" t="s">
        <v>796</v>
      </c>
      <c r="B35" s="259" t="s">
        <v>2394</v>
      </c>
      <c r="C35" s="264">
        <f ca="1">ROUND(C34*F35,0)</f>
        <v>201</v>
      </c>
      <c r="D35" s="264"/>
      <c r="E35" s="264"/>
      <c r="F35" s="303">
        <f>'数据-取费表'!B33</f>
        <v>0.03</v>
      </c>
      <c r="G35" s="263" t="s">
        <v>2395</v>
      </c>
    </row>
    <row r="36" spans="1:7" ht="24">
      <c r="A36" s="949"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2397</v>
      </c>
    </row>
    <row r="37" spans="1:7" s="302" customFormat="1" ht="13.5" customHeight="1">
      <c r="A37" s="949" t="s">
        <v>798</v>
      </c>
      <c r="B37" s="259" t="s">
        <v>2398</v>
      </c>
      <c r="C37" s="293">
        <f ca="1">ROUND(E37*D37*F34/10000,0)</f>
        <v>446</v>
      </c>
      <c r="D37" s="261">
        <f ca="1">D19</f>
        <v>22318.329999999998</v>
      </c>
      <c r="E37" s="293">
        <f>'数据-取费表'!B35</f>
        <v>200</v>
      </c>
      <c r="F37" s="303"/>
      <c r="G37" s="305" t="s">
        <v>2399</v>
      </c>
    </row>
    <row r="38" spans="1:7" ht="13.5" customHeight="1">
      <c r="A38" s="949" t="s">
        <v>799</v>
      </c>
      <c r="B38" s="259" t="s">
        <v>2400</v>
      </c>
      <c r="C38" s="264">
        <f ca="1">ROUND(C34*F38,0)</f>
        <v>100</v>
      </c>
      <c r="D38" s="264"/>
      <c r="E38" s="264"/>
      <c r="F38" s="303">
        <f>'数据-取费表'!B36</f>
        <v>1.4999999999999999E-2</v>
      </c>
      <c r="G38" s="263" t="s">
        <v>2395</v>
      </c>
    </row>
    <row r="39" spans="1:7" s="258" customFormat="1" ht="13.5" customHeight="1">
      <c r="A39" s="299" t="s">
        <v>2401</v>
      </c>
      <c r="B39" s="254" t="s">
        <v>2402</v>
      </c>
      <c r="C39" s="276">
        <f ca="1">ROUND(C33*F20,0)</f>
        <v>149</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360</v>
      </c>
      <c r="D41" s="279">
        <f ca="1">C44</f>
        <v>1E-3</v>
      </c>
      <c r="E41" s="280" t="s">
        <v>2406</v>
      </c>
      <c r="F41" s="281"/>
      <c r="G41" s="278" t="str">
        <f>IF('数据-取费表'!B22&lt;=1,"单利计息","复利计息")</f>
        <v>复利计息</v>
      </c>
    </row>
    <row r="42" spans="1:7" ht="13.5" customHeight="1">
      <c r="A42" s="949" t="s">
        <v>791</v>
      </c>
      <c r="B42" s="259" t="s">
        <v>2410</v>
      </c>
      <c r="C42" s="282">
        <f ca="1">ROUND(IF('数据-取费表'!B22&lt;=1,C33*F22*'数据-取费表'!B21/2,C33*(POWER((1+F22),'数据-取费表'!B21/2)-1)),0)</f>
        <v>353</v>
      </c>
      <c r="D42" s="282"/>
      <c r="E42" s="282"/>
      <c r="F42" s="283"/>
      <c r="G42" s="3232" t="s">
        <v>2411</v>
      </c>
    </row>
    <row r="43" spans="1:7" ht="13.5" customHeight="1">
      <c r="A43" s="949" t="s">
        <v>792</v>
      </c>
      <c r="B43" s="259" t="s">
        <v>2412</v>
      </c>
      <c r="C43" s="282">
        <f ca="1">ROUND(IF('数据-取费表'!B22&lt;=1,C39*F22*'数据-取费表'!B21/2,C39*(POWER((1+F22),'数据-取费表'!B21/2)-1)),0)</f>
        <v>7</v>
      </c>
      <c r="D43" s="282"/>
      <c r="E43" s="282"/>
      <c r="F43" s="283"/>
      <c r="G43" s="3233"/>
    </row>
    <row r="44" spans="1:7" ht="13.5" customHeight="1">
      <c r="A44" s="949" t="s">
        <v>793</v>
      </c>
      <c r="B44" s="259" t="s">
        <v>2413</v>
      </c>
      <c r="C44" s="282">
        <f ca="1">ROUND(IF('数据-取费表'!B22&lt;=1,C40*F22*'数据-取费表'!B21/2,C40*(POWER((1+F22),'数据-取费表'!B21/2)-1)),4)</f>
        <v>1E-3</v>
      </c>
      <c r="D44" s="282"/>
      <c r="E44" s="282"/>
      <c r="F44" s="283"/>
      <c r="G44" s="3234"/>
    </row>
    <row r="45" spans="1:7" s="258" customFormat="1" ht="13.5" customHeight="1">
      <c r="A45" s="299" t="s">
        <v>2414</v>
      </c>
      <c r="B45" s="288" t="s">
        <v>2380</v>
      </c>
      <c r="C45" s="289">
        <f ca="1">C46</f>
        <v>1063</v>
      </c>
      <c r="D45" s="279">
        <f ca="1">C47</f>
        <v>2.8E-3</v>
      </c>
      <c r="E45" s="280" t="s">
        <v>2406</v>
      </c>
      <c r="F45" s="290"/>
      <c r="G45" s="291" t="s">
        <v>2415</v>
      </c>
    </row>
    <row r="46" spans="1:7" s="258" customFormat="1" ht="13.5" customHeight="1">
      <c r="A46" s="949" t="s">
        <v>791</v>
      </c>
      <c r="B46" s="292" t="s">
        <v>2416</v>
      </c>
      <c r="C46" s="293">
        <f ca="1">ROUND((C33+C39)*F27,0)</f>
        <v>1063</v>
      </c>
      <c r="D46" s="307"/>
      <c r="E46" s="280"/>
      <c r="F46" s="290"/>
      <c r="G46" s="291"/>
    </row>
    <row r="47" spans="1:7" s="258" customFormat="1" ht="13.5" customHeight="1">
      <c r="A47" s="949" t="s">
        <v>792</v>
      </c>
      <c r="B47" s="292" t="s">
        <v>2417</v>
      </c>
      <c r="C47" s="282">
        <f ca="1">ROUND(C40*F27,4)</f>
        <v>2.8E-3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9767</v>
      </c>
      <c r="D49" s="276"/>
      <c r="E49" s="276"/>
      <c r="F49" s="308"/>
      <c r="G49" s="278" t="s">
        <v>2421</v>
      </c>
    </row>
    <row r="50" spans="1:7" s="302" customFormat="1" ht="24">
      <c r="A50" s="299" t="s">
        <v>2422</v>
      </c>
      <c r="B50" s="254" t="s">
        <v>2423</v>
      </c>
      <c r="C50" s="276"/>
      <c r="D50" s="276"/>
      <c r="E50" s="276"/>
      <c r="F50" s="308">
        <f>IF('数据-取费表'!B24=0,'数据-取费表'!N16,1)</f>
        <v>0.95</v>
      </c>
      <c r="G50" s="291" t="s">
        <v>2424</v>
      </c>
    </row>
    <row r="51" spans="1:7" ht="16.5" customHeight="1">
      <c r="A51" s="299" t="s">
        <v>2425</v>
      </c>
      <c r="B51" s="254" t="s">
        <v>2426</v>
      </c>
      <c r="C51" s="276">
        <f ca="1">ROUND(C49*F50,0)</f>
        <v>9279</v>
      </c>
      <c r="D51" s="276"/>
      <c r="E51" s="276"/>
      <c r="F51" s="308"/>
      <c r="G51" s="278" t="s">
        <v>2427</v>
      </c>
    </row>
    <row r="52" spans="1:7" s="252" customFormat="1" ht="16.5" thickBot="1">
      <c r="A52" s="309" t="s">
        <v>2428</v>
      </c>
      <c r="B52" s="310"/>
      <c r="C52" s="311" t="e">
        <f ca="1">C31+C51</f>
        <v>#DIV/0!</v>
      </c>
      <c r="D52" s="310"/>
      <c r="E52" s="310"/>
      <c r="F52" s="310"/>
      <c r="G52" s="312"/>
    </row>
    <row r="55" spans="1:7" ht="15">
      <c r="B55" s="314" t="s">
        <v>2429</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48" t="s">
        <v>2430</v>
      </c>
      <c r="D1" s="242"/>
      <c r="E1" s="242"/>
      <c r="F1" s="242"/>
      <c r="G1" s="1377">
        <f>MATCH(B1,'数据-取费表'!A6:A16,0)+5</f>
        <v>9</v>
      </c>
      <c r="H1" s="1280" t="str">
        <f>IF(ISERROR(FIND("住宅",B1)),"非住宅","住宅")</f>
        <v>非住宅</v>
      </c>
    </row>
    <row r="2" spans="1:8" s="244" customFormat="1" ht="18" customHeight="1">
      <c r="A2" s="245" t="s">
        <v>2329</v>
      </c>
      <c r="B2" s="246">
        <f ca="1">ROUND(IF(D2="——",C52/10000,C52/10000-E2),0)</f>
        <v>10500</v>
      </c>
      <c r="C2" s="243" t="s">
        <v>2330</v>
      </c>
      <c r="D2" s="2542" t="s">
        <v>70</v>
      </c>
      <c r="E2" s="1438" t="e">
        <f ca="1">SUMIF(INDIRECT("'"&amp;G2&amp;"'"&amp;"!A:A"),"承租人权益价值",INDIRECT("'"&amp;G2&amp;"'"&amp;"!c:c"))</f>
        <v>#REF!</v>
      </c>
      <c r="F2" s="2543" t="s">
        <v>2330</v>
      </c>
      <c r="G2" s="2544"/>
    </row>
    <row r="3" spans="1:8" s="244" customFormat="1" ht="18" customHeight="1" thickBot="1">
      <c r="A3" s="247" t="s">
        <v>2331</v>
      </c>
      <c r="B3" s="248">
        <f ca="1">ROUND(B2*10000/(IF(B1="",'数据-汇总表'!E3,INDIRECT("'数据-取费表'!k"&amp;$G$1))),0)</f>
        <v>4705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4463666</v>
      </c>
      <c r="D5" s="255" t="s">
        <v>2336</v>
      </c>
      <c r="E5" s="256" t="s">
        <v>2337</v>
      </c>
      <c r="F5" s="256" t="s">
        <v>2338</v>
      </c>
      <c r="G5" s="257"/>
    </row>
    <row r="6" spans="1:8" s="258" customFormat="1" ht="13.5" customHeight="1">
      <c r="A6" s="947" t="s">
        <v>2339</v>
      </c>
      <c r="B6" s="259" t="s">
        <v>2340</v>
      </c>
      <c r="C6" s="260"/>
      <c r="D6" s="261"/>
      <c r="E6" s="262"/>
      <c r="F6" s="262"/>
      <c r="G6" s="263"/>
    </row>
    <row r="7" spans="1:8" s="258" customFormat="1" ht="13.5" customHeight="1">
      <c r="A7" s="947" t="s">
        <v>2341</v>
      </c>
      <c r="B7" s="259" t="s">
        <v>2342</v>
      </c>
      <c r="C7" s="264">
        <f>ROUND(C6*F7,0)</f>
        <v>0</v>
      </c>
      <c r="D7" s="264"/>
      <c r="E7" s="262"/>
      <c r="F7" s="265">
        <f>'数据-取费表'!B48+'数据-取费表'!B49</f>
        <v>3.0499999999999999E-2</v>
      </c>
      <c r="G7" s="263"/>
    </row>
    <row r="8" spans="1:8" s="267" customFormat="1">
      <c r="A8" s="947" t="s">
        <v>2343</v>
      </c>
      <c r="B8" s="259" t="s">
        <v>2344</v>
      </c>
      <c r="C8" s="264">
        <f ca="1">IF(G8="已包含在土地购买价格中",0,C9+C10)</f>
        <v>4463666</v>
      </c>
      <c r="D8" s="266"/>
      <c r="E8" s="264"/>
      <c r="F8" s="265"/>
      <c r="G8" s="2545"/>
    </row>
    <row r="9" spans="1:8" s="258" customFormat="1" ht="13.5" customHeight="1">
      <c r="A9" s="948" t="s">
        <v>800</v>
      </c>
      <c r="B9" s="268" t="s">
        <v>2345</v>
      </c>
      <c r="C9" s="269">
        <f ca="1">ROUND(D9*E9,0)</f>
        <v>0</v>
      </c>
      <c r="D9" s="1030">
        <f ca="1">IF(B1="",'数据-汇总表'!E5,IF(INDIRECT("'数据-取费表'!c"&amp;$G$1)="住宅",INDIRECT("'数据-取费表'!k"&amp;$G$1),0))</f>
        <v>0</v>
      </c>
      <c r="E9" s="269">
        <f>'数据-取费表'!B27</f>
        <v>200</v>
      </c>
      <c r="F9" s="265"/>
      <c r="G9" s="270"/>
    </row>
    <row r="10" spans="1:8" s="258" customFormat="1" ht="13.5" customHeight="1">
      <c r="A10" s="948" t="s">
        <v>801</v>
      </c>
      <c r="B10" s="268" t="s">
        <v>2347</v>
      </c>
      <c r="C10" s="269">
        <f ca="1">ROUND(D10*E10,0)</f>
        <v>4463666</v>
      </c>
      <c r="D10" s="1030">
        <f ca="1">IF(B1="",'数据-汇总表'!E6,IF(INDIRECT("'数据-取费表'!c"&amp;$G$1)="住宅",INDIRECT("'数据-取费表'!s"&amp;$G$1),INDIRECT("'数据-取费表'!k"&amp;$G$1)+INDIRECT("'数据-取费表'!s"&amp;$G$1)))</f>
        <v>22318.329999999998</v>
      </c>
      <c r="E10" s="269">
        <f>'数据-取费表'!B28</f>
        <v>200</v>
      </c>
      <c r="F10" s="265"/>
      <c r="G10" s="270"/>
    </row>
    <row r="11" spans="1:8" s="258" customFormat="1" ht="13.5" hidden="1" customHeight="1">
      <c r="A11" s="271" t="s">
        <v>7</v>
      </c>
      <c r="B11" s="259" t="s">
        <v>2348</v>
      </c>
      <c r="C11" s="255"/>
      <c r="D11" s="1032"/>
      <c r="E11" s="262"/>
      <c r="F11" s="262"/>
      <c r="G11" s="263"/>
    </row>
    <row r="12" spans="1:8" s="258" customFormat="1" ht="13.5" hidden="1" customHeight="1">
      <c r="A12" s="271" t="s">
        <v>8</v>
      </c>
      <c r="B12" s="259" t="s">
        <v>2431</v>
      </c>
      <c r="C12" s="255">
        <v>0</v>
      </c>
      <c r="D12" s="1032"/>
      <c r="E12" s="272"/>
      <c r="F12" s="265">
        <v>3.0499999999999999E-2</v>
      </c>
      <c r="G12" s="263"/>
    </row>
    <row r="13" spans="1:8" s="258" customFormat="1" ht="13.5" hidden="1" customHeight="1">
      <c r="A13" s="271" t="s">
        <v>9</v>
      </c>
      <c r="B13" s="259" t="s">
        <v>2432</v>
      </c>
      <c r="C13" s="255"/>
      <c r="D13" s="1032"/>
      <c r="E13" s="262"/>
      <c r="F13" s="262"/>
      <c r="G13" s="263"/>
    </row>
    <row r="14" spans="1:8" s="258" customFormat="1" ht="13.5" hidden="1" customHeight="1">
      <c r="A14" s="271" t="s">
        <v>10</v>
      </c>
      <c r="B14" s="259" t="s">
        <v>2344</v>
      </c>
      <c r="C14" s="255"/>
      <c r="D14" s="1032"/>
      <c r="E14" s="262"/>
      <c r="F14" s="262"/>
      <c r="G14" s="263" t="s">
        <v>2433</v>
      </c>
    </row>
    <row r="15" spans="1:8" s="258" customFormat="1" ht="13.5" hidden="1" customHeight="1">
      <c r="A15" s="271" t="s">
        <v>11</v>
      </c>
      <c r="B15" s="259" t="s">
        <v>2434</v>
      </c>
      <c r="C15" s="264"/>
      <c r="D15" s="1032"/>
      <c r="E15" s="262"/>
      <c r="F15" s="262"/>
      <c r="G15" s="263" t="s">
        <v>2435</v>
      </c>
    </row>
    <row r="16" spans="1:8" s="258" customFormat="1" ht="13.5" hidden="1" customHeight="1">
      <c r="A16" s="271" t="s">
        <v>12</v>
      </c>
      <c r="B16" s="259" t="s">
        <v>2344</v>
      </c>
      <c r="C16" s="264"/>
      <c r="D16" s="1032"/>
      <c r="E16" s="262"/>
      <c r="F16" s="262"/>
      <c r="G16" s="263"/>
    </row>
    <row r="17" spans="1:7" s="258" customFormat="1" ht="13.5" hidden="1" customHeight="1">
      <c r="A17" s="271" t="s">
        <v>13</v>
      </c>
      <c r="B17" s="259" t="s">
        <v>2436</v>
      </c>
      <c r="C17" s="273"/>
      <c r="D17" s="1033"/>
      <c r="E17" s="273"/>
      <c r="F17" s="273"/>
      <c r="G17" s="263" t="s">
        <v>2435</v>
      </c>
    </row>
    <row r="18" spans="1:7" s="258" customFormat="1" ht="13.5" hidden="1" customHeight="1">
      <c r="A18" s="271" t="s">
        <v>14</v>
      </c>
      <c r="B18" s="259" t="s">
        <v>2437</v>
      </c>
      <c r="C18" s="264">
        <v>0</v>
      </c>
      <c r="D18" s="1032"/>
      <c r="E18" s="262"/>
      <c r="F18" s="265">
        <v>3.0499999999999999E-2</v>
      </c>
      <c r="G18" s="263" t="s">
        <v>2438</v>
      </c>
    </row>
    <row r="19" spans="1:7" s="267" customFormat="1" ht="13.5" customHeight="1">
      <c r="A19" s="299" t="s">
        <v>2439</v>
      </c>
      <c r="B19" s="254" t="s">
        <v>2440</v>
      </c>
      <c r="C19" s="255">
        <f ca="1">IF(G19="已包含在土地取得成本中","0",ROUND(D19*E19,0))</f>
        <v>4463666</v>
      </c>
      <c r="D19" s="1034">
        <f ca="1">D9+D10</f>
        <v>22318.329999999998</v>
      </c>
      <c r="E19" s="255">
        <f>'数据-取费表'!B31</f>
        <v>200</v>
      </c>
      <c r="F19" s="275"/>
      <c r="G19" s="2545"/>
    </row>
    <row r="20" spans="1:7" s="258" customFormat="1" ht="13.5" customHeight="1">
      <c r="A20" s="299" t="s">
        <v>2441</v>
      </c>
      <c r="B20" s="254" t="s">
        <v>2442</v>
      </c>
      <c r="C20" s="276">
        <f ca="1">ROUND((C5+C19)*F20,0)</f>
        <v>178547</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8">
        <f ca="1">ROUND(SUM(C23:C25),0)</f>
        <v>876719</v>
      </c>
      <c r="D22" s="279">
        <f ca="1">C26</f>
        <v>1E-3</v>
      </c>
      <c r="E22" s="280" t="s">
        <v>2446</v>
      </c>
      <c r="F22" s="281">
        <f ca="1">'数据-取费表'!B40</f>
        <v>4.7500000000000001E-2</v>
      </c>
      <c r="G22" s="278" t="str">
        <f>IF('数据-取费表'!B22&lt;=1,"单利计息","复利计息")</f>
        <v>复利计息</v>
      </c>
    </row>
    <row r="23" spans="1:7" s="258" customFormat="1" ht="13.5" customHeight="1">
      <c r="A23" s="949" t="s">
        <v>2339</v>
      </c>
      <c r="B23" s="259" t="s">
        <v>2450</v>
      </c>
      <c r="C23" s="1379">
        <f ca="1">ROUND(IF('数据-取费表'!B22&lt;=1,C5*F22*'数据-取费表'!B22,C5*(POWER((1+F22),'数据-取费表'!B22)-1)),0)</f>
        <v>434119</v>
      </c>
      <c r="D23" s="282"/>
      <c r="E23" s="282"/>
      <c r="F23" s="283"/>
      <c r="G23" s="284" t="s">
        <v>2451</v>
      </c>
    </row>
    <row r="24" spans="1:7" s="258" customFormat="1" ht="13.5" customHeight="1">
      <c r="A24" s="949" t="s">
        <v>2341</v>
      </c>
      <c r="B24" s="259" t="s">
        <v>2452</v>
      </c>
      <c r="C24" s="1379">
        <f ca="1">ROUND(IF('数据-取费表'!B22&lt;=1,C19*F22*('数据-取费表'!B19/2+'数据-取费表'!B20),C19*(POWER((1+F22),('数据-取费表'!B19/2+'数据-取费表'!B20))-1)),0)</f>
        <v>434119</v>
      </c>
      <c r="D24" s="282"/>
      <c r="E24" s="282"/>
      <c r="F24" s="283"/>
      <c r="G24" s="284" t="s">
        <v>2453</v>
      </c>
    </row>
    <row r="25" spans="1:7" s="258" customFormat="1" ht="24">
      <c r="A25" s="949" t="s">
        <v>2343</v>
      </c>
      <c r="B25" s="259" t="s">
        <v>2454</v>
      </c>
      <c r="C25" s="1379">
        <f ca="1">ROUND(IF('数据-取费表'!B22&lt;=1,C20*F22*'数据-取费表'!B22/2,C20*(POWER((1+F22),'数据-取费表'!B22/2)-1)),0)</f>
        <v>8481</v>
      </c>
      <c r="D25" s="282"/>
      <c r="E25" s="285"/>
      <c r="F25" s="283"/>
      <c r="G25" s="286" t="s">
        <v>2455</v>
      </c>
    </row>
    <row r="26" spans="1:7" s="258" customFormat="1">
      <c r="A26" s="949"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1274823</v>
      </c>
      <c r="D27" s="279">
        <f ca="1">C29</f>
        <v>2.8E-3</v>
      </c>
      <c r="E27" s="280" t="s">
        <v>2381</v>
      </c>
      <c r="F27" s="290">
        <f ca="1">IF(B1="",'数据-取费表'!Q16,INDIRECT("'数据-取费表'!q"&amp;$G$1))</f>
        <v>0.14000000000000001</v>
      </c>
      <c r="G27" s="291" t="s">
        <v>2382</v>
      </c>
    </row>
    <row r="28" spans="1:7" s="258" customFormat="1" ht="13.5" customHeight="1">
      <c r="A28" s="949" t="s">
        <v>791</v>
      </c>
      <c r="B28" s="292" t="s">
        <v>2383</v>
      </c>
      <c r="C28" s="293">
        <f ca="1">ROUND((C5+C19+C20)*F27,0)</f>
        <v>1274823</v>
      </c>
      <c r="D28" s="279"/>
      <c r="E28" s="280"/>
      <c r="F28" s="290"/>
      <c r="G28" s="291"/>
    </row>
    <row r="29" spans="1:7" s="258" customFormat="1" ht="13.5" customHeight="1">
      <c r="A29" s="949" t="s">
        <v>792</v>
      </c>
      <c r="B29" s="292" t="s">
        <v>2384</v>
      </c>
      <c r="C29" s="282">
        <f ca="1">ROUND(C21*F27,4)</f>
        <v>2.8E-3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12197877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74431631</v>
      </c>
      <c r="D33" s="276"/>
      <c r="E33" s="256"/>
      <c r="F33" s="285"/>
      <c r="G33" s="278"/>
    </row>
    <row r="34" spans="1:7" s="302" customFormat="1" ht="13.5" customHeight="1">
      <c r="A34" s="949" t="s">
        <v>791</v>
      </c>
      <c r="B34" s="259" t="s">
        <v>2392</v>
      </c>
      <c r="C34" s="264">
        <f ca="1">ROUND(IF(B1="",SUMPRODUCT('数据-取费表'!K6:K14,'数据-取费表'!L6:L14),INDIRECT("'数据-取费表'!l"&amp;$G$1)*INDIRECT("'数据-取费表'!k"&amp;$G$1)+'数据-取费表'!L14*INDIRECT("'数据-取费表'!S"&amp;$G$1)),0)</f>
        <v>66954990</v>
      </c>
      <c r="D34" s="261"/>
      <c r="E34" s="264"/>
      <c r="F34" s="301"/>
      <c r="G34" s="263"/>
    </row>
    <row r="35" spans="1:7" ht="13.5" customHeight="1">
      <c r="A35" s="949" t="s">
        <v>796</v>
      </c>
      <c r="B35" s="259" t="s">
        <v>2394</v>
      </c>
      <c r="C35" s="264">
        <f ca="1">ROUND(C34*F35,0)</f>
        <v>2008650</v>
      </c>
      <c r="D35" s="264"/>
      <c r="E35" s="264"/>
      <c r="F35" s="303">
        <f>'数据-取费表'!B33</f>
        <v>0.03</v>
      </c>
      <c r="G35" s="263" t="s">
        <v>2395</v>
      </c>
    </row>
    <row r="36" spans="1:7" ht="24">
      <c r="A36" s="949" t="s">
        <v>797</v>
      </c>
      <c r="B36" s="259" t="s">
        <v>2396</v>
      </c>
      <c r="C36" s="264">
        <f ca="1">ROUND(IF(B1="",SUM('数据-取费表'!AP6:AP13)*F36,IF(INDIRECT("'数据-取费表'!c"&amp;$G$1)="住宅",INDIRECT("'数据-取费表'!k"&amp;$G$1)*INDIRECT("'数据-取费表'!l"&amp;$G$1)*F36,0)),0)</f>
        <v>0</v>
      </c>
      <c r="D36" s="264"/>
      <c r="E36" s="264"/>
      <c r="F36" s="303">
        <f>'数据-取费表'!B34</f>
        <v>0.05</v>
      </c>
      <c r="G36" s="304" t="s">
        <v>2397</v>
      </c>
    </row>
    <row r="37" spans="1:7" s="302" customFormat="1" ht="13.5" customHeight="1">
      <c r="A37" s="949" t="s">
        <v>798</v>
      </c>
      <c r="B37" s="259" t="s">
        <v>2398</v>
      </c>
      <c r="C37" s="293">
        <f ca="1">ROUND(E37*D37,0)</f>
        <v>4463666</v>
      </c>
      <c r="D37" s="261">
        <f ca="1">D19</f>
        <v>22318.329999999998</v>
      </c>
      <c r="E37" s="293">
        <f>'数据-取费表'!B35</f>
        <v>200</v>
      </c>
      <c r="F37" s="303"/>
      <c r="G37" s="305"/>
    </row>
    <row r="38" spans="1:7" ht="13.5" customHeight="1">
      <c r="A38" s="949" t="s">
        <v>799</v>
      </c>
      <c r="B38" s="259" t="s">
        <v>2400</v>
      </c>
      <c r="C38" s="264">
        <f ca="1">ROUND(C34*F38,0)</f>
        <v>1004325</v>
      </c>
      <c r="D38" s="264"/>
      <c r="E38" s="264"/>
      <c r="F38" s="303">
        <f>'数据-取费表'!B36</f>
        <v>1.4999999999999999E-2</v>
      </c>
      <c r="G38" s="263" t="s">
        <v>2395</v>
      </c>
    </row>
    <row r="39" spans="1:7" s="258" customFormat="1" ht="13.5" customHeight="1">
      <c r="A39" s="299" t="s">
        <v>2401</v>
      </c>
      <c r="B39" s="254" t="s">
        <v>2402</v>
      </c>
      <c r="C39" s="276">
        <f ca="1">ROUND(C33*F20,0)</f>
        <v>1488633</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3606212</v>
      </c>
      <c r="D41" s="279">
        <f ca="1">C44</f>
        <v>1E-3</v>
      </c>
      <c r="E41" s="280" t="s">
        <v>2406</v>
      </c>
      <c r="F41" s="281"/>
      <c r="G41" s="278" t="str">
        <f>IF('数据-取费表'!B22&lt;=1,"单利计息","复利计息")</f>
        <v>复利计息</v>
      </c>
    </row>
    <row r="42" spans="1:7" ht="13.5" customHeight="1">
      <c r="A42" s="949" t="s">
        <v>791</v>
      </c>
      <c r="B42" s="259" t="s">
        <v>2410</v>
      </c>
      <c r="C42" s="282">
        <f ca="1">ROUND(IF('数据-取费表'!B22&lt;=1,C33*F22*'数据-取费表'!B20/2,C33*(POWER((1+F22),'数据-取费表'!B20/2)-1)),0)</f>
        <v>3535502</v>
      </c>
      <c r="D42" s="282"/>
      <c r="E42" s="282"/>
      <c r="F42" s="283"/>
      <c r="G42" s="3232" t="s">
        <v>2458</v>
      </c>
    </row>
    <row r="43" spans="1:7" ht="13.5" customHeight="1">
      <c r="A43" s="949" t="s">
        <v>792</v>
      </c>
      <c r="B43" s="259" t="s">
        <v>2412</v>
      </c>
      <c r="C43" s="282">
        <f ca="1">ROUND(IF('数据-取费表'!B22&lt;=1,C39*F22*'数据-取费表'!B20/2,C39*(POWER((1+F22),'数据-取费表'!B20/2)-1)),0)</f>
        <v>70710</v>
      </c>
      <c r="D43" s="282"/>
      <c r="E43" s="282"/>
      <c r="F43" s="283"/>
      <c r="G43" s="3233"/>
    </row>
    <row r="44" spans="1:7" ht="13.5" customHeight="1">
      <c r="A44" s="949" t="s">
        <v>793</v>
      </c>
      <c r="B44" s="259" t="s">
        <v>2413</v>
      </c>
      <c r="C44" s="282">
        <f ca="1">ROUND(IF('数据-取费表'!B22&lt;=1,C40*F22*'数据-取费表'!B20/2,C40*(POWER((1+F22),'数据-取费表'!B20/2)-1)),4)</f>
        <v>1E-3</v>
      </c>
      <c r="D44" s="282"/>
      <c r="E44" s="282"/>
      <c r="F44" s="283"/>
      <c r="G44" s="3234"/>
    </row>
    <row r="45" spans="1:7" s="258" customFormat="1" ht="13.5" customHeight="1">
      <c r="A45" s="299" t="s">
        <v>2414</v>
      </c>
      <c r="B45" s="288" t="s">
        <v>2380</v>
      </c>
      <c r="C45" s="289">
        <f ca="1">C46</f>
        <v>10628837</v>
      </c>
      <c r="D45" s="279">
        <f ca="1">C47</f>
        <v>2.8E-3</v>
      </c>
      <c r="E45" s="280" t="s">
        <v>2406</v>
      </c>
      <c r="F45" s="290"/>
      <c r="G45" s="291" t="s">
        <v>2415</v>
      </c>
    </row>
    <row r="46" spans="1:7" s="258" customFormat="1" ht="13.5" customHeight="1">
      <c r="A46" s="949" t="s">
        <v>791</v>
      </c>
      <c r="B46" s="292" t="s">
        <v>2416</v>
      </c>
      <c r="C46" s="293">
        <f ca="1">ROUND((C33+C39)*F27,0)</f>
        <v>10628837</v>
      </c>
      <c r="D46" s="307"/>
      <c r="E46" s="280"/>
      <c r="F46" s="290"/>
      <c r="G46" s="291"/>
    </row>
    <row r="47" spans="1:7" s="258" customFormat="1" ht="13.5" customHeight="1">
      <c r="A47" s="949" t="s">
        <v>792</v>
      </c>
      <c r="B47" s="292" t="s">
        <v>2417</v>
      </c>
      <c r="C47" s="282">
        <f ca="1">ROUND(C40*F27,4)</f>
        <v>2.8E-3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97686979</v>
      </c>
      <c r="D49" s="276"/>
      <c r="E49" s="276"/>
      <c r="F49" s="308"/>
      <c r="G49" s="278" t="s">
        <v>2421</v>
      </c>
    </row>
    <row r="50" spans="1:7" s="302" customFormat="1">
      <c r="A50" s="299" t="s">
        <v>2422</v>
      </c>
      <c r="B50" s="254" t="s">
        <v>2423</v>
      </c>
      <c r="C50" s="276"/>
      <c r="D50" s="276"/>
      <c r="E50" s="276"/>
      <c r="F50" s="308">
        <f>IF('数据-取费表'!B24=0,'数据-取费表'!N16,1)</f>
        <v>0.95</v>
      </c>
      <c r="G50" s="291"/>
    </row>
    <row r="51" spans="1:7" ht="16.5" customHeight="1">
      <c r="A51" s="299" t="s">
        <v>2425</v>
      </c>
      <c r="B51" s="254" t="s">
        <v>2460</v>
      </c>
      <c r="C51" s="276">
        <f ca="1">ROUND(C49*F50,0)</f>
        <v>92802630</v>
      </c>
      <c r="D51" s="276"/>
      <c r="E51" s="276"/>
      <c r="F51" s="308"/>
      <c r="G51" s="278" t="s">
        <v>2427</v>
      </c>
    </row>
    <row r="52" spans="1:7" s="252" customFormat="1" ht="16.5" thickBot="1">
      <c r="A52" s="309" t="s">
        <v>2428</v>
      </c>
      <c r="B52" s="310"/>
      <c r="C52" s="311">
        <f ca="1">C31+C51</f>
        <v>105000507</v>
      </c>
      <c r="D52" s="310"/>
      <c r="E52" s="310"/>
      <c r="F52" s="310"/>
      <c r="G52" s="312"/>
    </row>
    <row r="55" spans="1:7" ht="15">
      <c r="B55" s="314" t="s">
        <v>2429</v>
      </c>
      <c r="C55" s="315"/>
    </row>
    <row r="56" spans="1:7">
      <c r="B56" s="317" t="s">
        <v>1513</v>
      </c>
      <c r="C56" s="319">
        <f ca="1">1-C57</f>
        <v>0.11599999999999999</v>
      </c>
    </row>
    <row r="57" spans="1:7">
      <c r="B57" s="317" t="s">
        <v>1514</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2461</v>
      </c>
      <c r="B1" s="1578"/>
      <c r="C1" s="1579"/>
      <c r="D1" s="1577"/>
      <c r="E1" s="320"/>
      <c r="F1" s="320"/>
      <c r="G1" s="1578"/>
      <c r="H1" s="320"/>
      <c r="I1" s="320"/>
      <c r="J1" s="320"/>
      <c r="K1" s="320">
        <f>MATCH(C1,'数据-取费表'!A6:A16,0)+5</f>
        <v>9</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4" customFormat="1" ht="16.5" customHeight="1">
      <c r="A4" s="951" t="s">
        <v>2464</v>
      </c>
      <c r="B4" s="952"/>
      <c r="C4" s="994">
        <f>SUM(C8:K8)</f>
        <v>0</v>
      </c>
      <c r="D4" s="952"/>
      <c r="E4" s="952"/>
      <c r="F4" s="952"/>
      <c r="G4" s="952"/>
      <c r="H4" s="952"/>
      <c r="I4" s="952"/>
      <c r="J4" s="952"/>
      <c r="K4" s="953"/>
    </row>
    <row r="5" spans="1:33" s="958" customFormat="1" ht="15">
      <c r="A5" s="955" t="s">
        <v>2465</v>
      </c>
      <c r="B5" s="956" t="s">
        <v>2466</v>
      </c>
      <c r="C5" s="2549" t="s">
        <v>3106</v>
      </c>
      <c r="D5" s="2549" t="s">
        <v>3225</v>
      </c>
      <c r="E5" s="2549" t="s">
        <v>1377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2467</v>
      </c>
      <c r="C6" s="960">
        <v>8500</v>
      </c>
      <c r="D6" s="960">
        <v>13000</v>
      </c>
      <c r="E6" s="960">
        <v>12000</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2470</v>
      </c>
      <c r="B8" s="177" t="s">
        <v>2471</v>
      </c>
      <c r="C8" s="995">
        <f>ROUND(C6*C7/10000,0)</f>
        <v>0</v>
      </c>
      <c r="D8" s="995">
        <f>ROUND(D6*D7/10000,0)</f>
        <v>0</v>
      </c>
      <c r="E8" s="995">
        <f>ROUND(E6*E7/10000,0)</f>
        <v>0</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2472</v>
      </c>
      <c r="B9" s="952"/>
      <c r="C9" s="952"/>
      <c r="D9" s="952"/>
      <c r="E9" s="952"/>
      <c r="F9" s="952"/>
      <c r="G9" s="952"/>
      <c r="H9" s="952"/>
      <c r="I9" s="952"/>
      <c r="J9" s="952"/>
      <c r="K9" s="953"/>
    </row>
    <row r="10" spans="1:33" s="968" customFormat="1" ht="13.5" customHeight="1">
      <c r="A10" s="955" t="s">
        <v>2473</v>
      </c>
      <c r="B10" s="8" t="s">
        <v>2474</v>
      </c>
      <c r="C10" s="964" t="s">
        <v>2475</v>
      </c>
      <c r="D10" s="965" t="s">
        <v>2476</v>
      </c>
      <c r="E10" s="965" t="s">
        <v>2477</v>
      </c>
      <c r="F10" s="965" t="s">
        <v>2478</v>
      </c>
      <c r="G10" s="8"/>
      <c r="H10" s="966"/>
      <c r="I10" s="966"/>
      <c r="J10" s="966"/>
      <c r="K10" s="967"/>
    </row>
    <row r="11" spans="1:33" s="973" customFormat="1" ht="13.5" customHeight="1">
      <c r="A11" s="969" t="s">
        <v>1334</v>
      </c>
      <c r="B11" s="970" t="s">
        <v>2479</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2480</v>
      </c>
      <c r="C12" s="24">
        <f ca="1">ROUND(C11*F12,0)</f>
        <v>0</v>
      </c>
      <c r="D12" s="971"/>
      <c r="E12" s="375"/>
      <c r="F12" s="974">
        <f>'数据-取费表'!B33</f>
        <v>0.03</v>
      </c>
      <c r="G12" s="8" t="s">
        <v>2481</v>
      </c>
      <c r="H12" s="966"/>
      <c r="I12" s="966"/>
      <c r="J12" s="966"/>
      <c r="K12" s="967"/>
    </row>
    <row r="13" spans="1:33" s="973" customFormat="1" ht="13.5" customHeight="1">
      <c r="A13" s="969" t="s">
        <v>1336</v>
      </c>
      <c r="B13" s="970" t="s">
        <v>2482</v>
      </c>
      <c r="C13" s="24">
        <f ca="1">ROUND(IF(C1="",SUMIF('数据-取费表'!C:C,"住宅",'数据-取费表'!P:P)*F13,IF(INDIRECT("'数据-取费表'!c"&amp;$K$1)="住宅",INDIRECT("'数据-取费表'!P"&amp;$K$1)*F13,0)),0)</f>
        <v>0</v>
      </c>
      <c r="D13" s="1031"/>
      <c r="E13" s="375"/>
      <c r="F13" s="974">
        <f>'数据-取费表'!B34</f>
        <v>0.05</v>
      </c>
      <c r="G13" s="8" t="s">
        <v>2483</v>
      </c>
      <c r="H13" s="966"/>
      <c r="I13" s="966"/>
      <c r="J13" s="966"/>
      <c r="K13" s="967"/>
    </row>
    <row r="14" spans="1:33" s="975" customFormat="1" ht="13.5" customHeight="1">
      <c r="A14" s="969" t="s">
        <v>1337</v>
      </c>
      <c r="B14" s="970" t="s">
        <v>2484</v>
      </c>
      <c r="C14" s="24">
        <f ca="1">ROUND(D14*E14*F11/10000,0)</f>
        <v>0</v>
      </c>
      <c r="D14" s="1031">
        <f ca="1">IF(C1="",'数据-汇总表'!E3,INDIRECT("'数据-取费表'!K"&amp;$K$1)+INDIRECT("'数据-取费表'!S"&amp;$K$1))</f>
        <v>22318.329999999998</v>
      </c>
      <c r="E14" s="24">
        <f>'数据-取费表'!B35</f>
        <v>200</v>
      </c>
      <c r="F14" s="974"/>
      <c r="G14" s="8" t="s">
        <v>2485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2486</v>
      </c>
      <c r="C15" s="981">
        <f ca="1">ROUND(C11*F15,0)</f>
        <v>0</v>
      </c>
      <c r="D15" s="976"/>
      <c r="E15" s="981"/>
      <c r="F15" s="982">
        <f>'数据-取费表'!B36</f>
        <v>1.4999999999999999E-2</v>
      </c>
      <c r="G15" s="140" t="s">
        <v>2487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2488</v>
      </c>
      <c r="C16" s="981">
        <f ca="1">SUM(C11:C15)</f>
        <v>0</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2489</v>
      </c>
      <c r="C17" s="24">
        <f ca="1">ROUND(D17*E17/10000,0)</f>
        <v>0</v>
      </c>
      <c r="D17" s="1031">
        <f ca="1">D14</f>
        <v>22318.329999999998</v>
      </c>
      <c r="E17" s="24">
        <f>'数据-取费表'!B32</f>
        <v>0</v>
      </c>
      <c r="F17" s="976"/>
      <c r="G17" s="140" t="s">
        <v>2490</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2491</v>
      </c>
      <c r="C18" s="24">
        <f ca="1">C19+C20-IF(C1="",'数据-取费表'!B29,IF(G18="已全部缴纳",C19+C20,H18))</f>
        <v>-0.36660000000000537</v>
      </c>
      <c r="D18" s="1031"/>
      <c r="E18" s="24"/>
      <c r="F18" s="974"/>
      <c r="G18" s="2551"/>
      <c r="H18" s="1574"/>
      <c r="I18" s="2552" t="s">
        <v>2492</v>
      </c>
      <c r="J18" s="977"/>
      <c r="K18" s="978"/>
    </row>
    <row r="19" spans="1:33" s="973" customFormat="1" ht="13.5" customHeight="1">
      <c r="A19" s="969" t="s">
        <v>805</v>
      </c>
      <c r="B19" s="970" t="s">
        <v>2493</v>
      </c>
      <c r="C19" s="24">
        <f ca="1">ROUND(D19*E19/10000,0)</f>
        <v>0</v>
      </c>
      <c r="D19" s="1031">
        <f ca="1">IF(C1="",'数据-汇总表'!E5,IF(INDIRECT("'数据-取费表'!c"&amp;$K$1)="住宅",INDIRECT("'数据-取费表'!k"&amp;$K$1),0))</f>
        <v>0</v>
      </c>
      <c r="E19" s="24">
        <f>'数据-取费表'!B27</f>
        <v>200</v>
      </c>
      <c r="F19" s="974"/>
      <c r="G19" s="15"/>
      <c r="H19" s="1576"/>
      <c r="I19" s="979"/>
      <c r="J19" s="979"/>
      <c r="K19" s="980"/>
    </row>
    <row r="20" spans="1:33" s="973" customFormat="1" ht="13.5" customHeight="1">
      <c r="A20" s="969" t="s">
        <v>806</v>
      </c>
      <c r="B20" s="970" t="s">
        <v>2494</v>
      </c>
      <c r="C20" s="24">
        <f ca="1">ROUND(D20*E20/10000,0)</f>
        <v>446</v>
      </c>
      <c r="D20" s="1031">
        <f ca="1">IF(C1="",'数据-汇总表'!E6,IF(INDIRECT("'数据-取费表'!c"&amp;$K$1)="住宅",INDIRECT("'数据-取费表'!s"&amp;$K$1),INDIRECT("'数据-取费表'!k"&amp;$K$1)+INDIRECT("'数据-取费表'!s"&amp;$K$1)))</f>
        <v>22318.329999999998</v>
      </c>
      <c r="E20" s="24">
        <f>'数据-取费表'!B28</f>
        <v>200</v>
      </c>
      <c r="F20" s="974"/>
      <c r="G20" s="15"/>
      <c r="H20" s="979"/>
      <c r="I20" s="979"/>
      <c r="J20" s="979"/>
      <c r="K20" s="980"/>
    </row>
    <row r="21" spans="1:33" s="973" customFormat="1" ht="13.5" customHeight="1">
      <c r="A21" s="959" t="s">
        <v>802</v>
      </c>
      <c r="B21" s="983" t="s">
        <v>2495</v>
      </c>
      <c r="C21" s="984">
        <f ca="1">C16+C17+C18</f>
        <v>-0.36660000000000537</v>
      </c>
      <c r="D21" s="985"/>
      <c r="E21" s="325"/>
      <c r="F21" s="325"/>
      <c r="G21" s="140" t="s">
        <v>2496</v>
      </c>
      <c r="H21" s="977"/>
      <c r="I21" s="977"/>
      <c r="J21" s="977"/>
      <c r="K21" s="978"/>
    </row>
    <row r="22" spans="1:33" s="973" customFormat="1" ht="13.5" customHeight="1">
      <c r="A22" s="959" t="s">
        <v>2468</v>
      </c>
      <c r="B22" s="983" t="s">
        <v>2497</v>
      </c>
      <c r="C22" s="984">
        <f ca="1">ROUND(C21*F22,0)</f>
        <v>0</v>
      </c>
      <c r="D22" s="325"/>
      <c r="E22" s="325"/>
      <c r="F22" s="986">
        <f>'数据-取费表'!B37</f>
        <v>0.02</v>
      </c>
      <c r="G22" s="8" t="s">
        <v>2498</v>
      </c>
      <c r="H22" s="966"/>
      <c r="I22" s="966"/>
      <c r="J22" s="966"/>
      <c r="K22" s="967"/>
    </row>
    <row r="23" spans="1:33" s="973" customFormat="1" ht="13.5" customHeight="1">
      <c r="A23" s="959" t="s">
        <v>2470</v>
      </c>
      <c r="B23" s="983" t="s">
        <v>2499</v>
      </c>
      <c r="C23" s="984">
        <f ca="1">ROUND(C4*F23*F11,0)</f>
        <v>0</v>
      </c>
      <c r="D23" s="325"/>
      <c r="E23" s="325"/>
      <c r="F23" s="986">
        <f>'数据-取费表'!B38</f>
        <v>0.02</v>
      </c>
      <c r="G23" s="8" t="s">
        <v>2500</v>
      </c>
      <c r="H23" s="966"/>
      <c r="I23" s="966"/>
      <c r="J23" s="966"/>
      <c r="K23" s="967"/>
    </row>
    <row r="24" spans="1:33" s="973" customFormat="1" ht="13.5" customHeight="1">
      <c r="A24" s="959" t="s">
        <v>2501</v>
      </c>
      <c r="B24" s="983" t="s">
        <v>2502</v>
      </c>
      <c r="C24" s="324">
        <f>ROUND(F24/(1+'数据-取费表'!C42),4)</f>
        <v>2.9000000000000001E-2</v>
      </c>
      <c r="D24" s="325" t="s">
        <v>15</v>
      </c>
      <c r="E24" s="325"/>
      <c r="F24" s="986">
        <f>'数据-取费表'!B48+'数据-取费表'!B49</f>
        <v>3.0499999999999999E-2</v>
      </c>
      <c r="G24" s="8" t="s">
        <v>2503</v>
      </c>
      <c r="H24" s="988"/>
      <c r="I24" s="988"/>
      <c r="J24" s="988"/>
      <c r="K24" s="989"/>
    </row>
    <row r="25" spans="1:33" s="973" customFormat="1" ht="13.5" customHeight="1">
      <c r="A25" s="959" t="s">
        <v>2504</v>
      </c>
      <c r="B25" s="985" t="s">
        <v>2505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2508</v>
      </c>
      <c r="B28" s="2554" t="s">
        <v>2509</v>
      </c>
      <c r="C28" s="331">
        <f ca="1">C30</f>
        <v>0</v>
      </c>
      <c r="D28" s="324">
        <f ca="1">C29</f>
        <v>0</v>
      </c>
      <c r="E28" s="326" t="s">
        <v>15</v>
      </c>
      <c r="F28" s="332">
        <f ca="1">IF(C1="",'数据-取费表'!Q16,INDIRECT("'数据-取费表'!q"&amp;$K$1))</f>
        <v>0.14000000000000001</v>
      </c>
      <c r="G28" s="987"/>
      <c r="H28" s="988"/>
      <c r="I28" s="988"/>
      <c r="J28" s="988"/>
      <c r="K28" s="989"/>
    </row>
    <row r="29" spans="1:33" s="335" customFormat="1" ht="13.5" customHeight="1">
      <c r="A29" s="969" t="s">
        <v>803</v>
      </c>
      <c r="B29" s="992" t="s">
        <v>2510</v>
      </c>
      <c r="C29" s="328">
        <f ca="1">ROUND((1+C24)*F28*'数据-取费表'!B24/'数据-取费表'!B20,4)</f>
        <v>0</v>
      </c>
      <c r="D29" s="328"/>
      <c r="E29" s="329"/>
      <c r="F29" s="334"/>
      <c r="G29" s="140" t="s">
        <v>2511</v>
      </c>
      <c r="H29" s="977"/>
      <c r="I29" s="977"/>
      <c r="J29" s="977"/>
      <c r="K29" s="978"/>
    </row>
    <row r="30" spans="1:33" s="335" customFormat="1" ht="13.5" customHeight="1">
      <c r="A30" s="969" t="s">
        <v>804</v>
      </c>
      <c r="B30" s="992" t="s">
        <v>2512</v>
      </c>
      <c r="C30" s="336">
        <f ca="1">ROUND((C21+C22+C23)*F28,0)</f>
        <v>0</v>
      </c>
      <c r="D30" s="328"/>
      <c r="E30" s="329"/>
      <c r="F30" s="334"/>
      <c r="G30" s="140"/>
      <c r="H30" s="977"/>
      <c r="I30" s="977"/>
      <c r="J30" s="977"/>
      <c r="K30" s="978"/>
    </row>
    <row r="31" spans="1:33" s="973" customFormat="1" ht="13.5" customHeight="1" thickBot="1">
      <c r="A31" s="2555" t="s">
        <v>2513</v>
      </c>
      <c r="B31" s="1003" t="s">
        <v>2514</v>
      </c>
      <c r="C31" s="1004">
        <f>ROUND(C4*F31/(1+'数据-取费表'!C42),0)</f>
        <v>0</v>
      </c>
      <c r="D31" s="1005"/>
      <c r="E31" s="1006"/>
      <c r="F31" s="1007">
        <f>'数据-取费表'!B41</f>
        <v>5.6000000000000001E-2</v>
      </c>
      <c r="G31" s="1008" t="s">
        <v>2515</v>
      </c>
      <c r="H31" s="1009"/>
      <c r="I31" s="1009"/>
      <c r="J31" s="1009"/>
      <c r="K31" s="1010"/>
    </row>
    <row r="32" spans="1:33" s="968" customFormat="1" ht="13.5" customHeight="1" thickBot="1">
      <c r="A32" s="998" t="s">
        <v>2516</v>
      </c>
      <c r="B32" s="999"/>
      <c r="C32" s="1000">
        <f ca="1">ROUND((C4-C21-C22-C23-C25-C28-C31)/(1+C24+D25+D28),0)</f>
        <v>0</v>
      </c>
      <c r="D32" s="999"/>
      <c r="E32" s="999"/>
      <c r="F32" s="999"/>
      <c r="G32" s="1001" t="s">
        <v>2517</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1"/>
      <c r="C1" s="1834"/>
      <c r="D1" s="1817"/>
      <c r="E1" s="1818" t="s">
        <v>1387</v>
      </c>
      <c r="F1" s="1281" t="b">
        <f>J53</f>
        <v>0</v>
      </c>
      <c r="G1" s="1833">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3"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235" t="s">
        <v>1403</v>
      </c>
      <c r="C6" s="1294">
        <f ca="1">ROUND(F6*F8*F7*(1-F9),0)</f>
        <v>0</v>
      </c>
      <c r="D6" s="164" t="s">
        <v>3027</v>
      </c>
      <c r="E6" s="347" t="s">
        <v>1405</v>
      </c>
      <c r="F6" s="348">
        <f ca="1">INDIRECT("'数据-取费表'!u"&amp;$G$1)</f>
        <v>0</v>
      </c>
      <c r="G6" s="1848"/>
      <c r="H6" s="1289" t="s">
        <v>1035</v>
      </c>
      <c r="I6" s="3235" t="s">
        <v>1403</v>
      </c>
      <c r="J6" s="346">
        <f ca="1">ROUND(M6*M8*M7*(1-M9),0)</f>
        <v>0</v>
      </c>
      <c r="K6" s="1831" t="s">
        <v>3028</v>
      </c>
      <c r="L6" s="347" t="s">
        <v>1405</v>
      </c>
      <c r="M6" s="348">
        <f ca="1">INDIRECT("'数据-取费表'!z"&amp;$G$1)</f>
        <v>0</v>
      </c>
    </row>
    <row r="7" spans="1:37" ht="18" customHeight="1">
      <c r="A7" s="1293"/>
      <c r="B7" s="3236"/>
      <c r="C7" s="1295"/>
      <c r="D7" s="352"/>
      <c r="E7" s="1296" t="s">
        <v>1406</v>
      </c>
      <c r="F7" s="348">
        <f ca="1">IF(INDIRECT("'数据-取费表'!ah"&amp;$G$1)="",INDIRECT("'数据-取费表'!k"&amp;$G$1),INDIRECT("'数据-取费表'!ah"&amp;$G$1))</f>
        <v>0</v>
      </c>
      <c r="G7" s="1848"/>
      <c r="H7" s="349"/>
      <c r="I7" s="3236"/>
      <c r="J7" s="351"/>
      <c r="K7" s="352"/>
      <c r="L7" s="347" t="s">
        <v>1406</v>
      </c>
      <c r="M7" s="348">
        <f ca="1">F7</f>
        <v>0</v>
      </c>
    </row>
    <row r="8" spans="1:37" ht="18" customHeight="1">
      <c r="A8" s="349"/>
      <c r="B8" s="3236"/>
      <c r="C8" s="351"/>
      <c r="D8" s="352"/>
      <c r="E8" s="347" t="s">
        <v>1407</v>
      </c>
      <c r="F8" s="348">
        <f ca="1">INDIRECT("'数据-取费表'!ai"&amp;$G$1)</f>
        <v>0</v>
      </c>
      <c r="G8" s="1848"/>
      <c r="H8" s="349"/>
      <c r="I8" s="3236"/>
      <c r="J8" s="351"/>
      <c r="K8" s="352"/>
      <c r="L8" s="347" t="s">
        <v>1407</v>
      </c>
      <c r="M8" s="348">
        <f ca="1">INDIRECT("'数据-取费表'!ai"&amp;$G$1)</f>
        <v>0</v>
      </c>
    </row>
    <row r="9" spans="1:37" ht="18" customHeight="1">
      <c r="A9" s="349"/>
      <c r="B9" s="3237"/>
      <c r="C9" s="351"/>
      <c r="D9" s="352"/>
      <c r="E9" s="347" t="s">
        <v>1408</v>
      </c>
      <c r="F9" s="357">
        <f ca="1">INDIRECT("'数据-取费表'!w"&amp;$G$1)</f>
        <v>0</v>
      </c>
      <c r="G9" s="1848"/>
      <c r="H9" s="349"/>
      <c r="I9" s="3237"/>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3038</v>
      </c>
      <c r="E10" s="358" t="s">
        <v>1410</v>
      </c>
      <c r="F10" s="1364"/>
      <c r="G10" s="1848"/>
      <c r="H10" s="1289" t="s">
        <v>1039</v>
      </c>
      <c r="I10" s="1820" t="s">
        <v>1409</v>
      </c>
      <c r="J10" s="346">
        <f ca="1">ROUND(IF(M10="押一",J6/12*M11,IF(M10="押二",J6/12*2*M11,IF(M10="押三",J6/12*3*M11,J11*M11))),0)</f>
        <v>0</v>
      </c>
      <c r="K10" s="1832" t="s">
        <v>3040</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7"/>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4"/>
      <c r="I30" s="745"/>
      <c r="J30" s="746"/>
      <c r="K30" s="747"/>
      <c r="L30" s="748"/>
      <c r="M30" s="749"/>
    </row>
    <row r="31" spans="1:37" ht="18" customHeight="1">
      <c r="A31" s="1199"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4"/>
      <c r="I32" s="745"/>
      <c r="J32" s="746"/>
      <c r="K32" s="747"/>
      <c r="L32" s="748"/>
      <c r="M32" s="749"/>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18</v>
      </c>
      <c r="G34" s="1848"/>
      <c r="H34" s="744"/>
      <c r="I34" s="1857"/>
      <c r="J34" s="1858"/>
      <c r="K34" s="1860"/>
      <c r="L34" s="1861"/>
      <c r="M34" s="1861"/>
    </row>
    <row r="35" spans="1:18" ht="18" customHeight="1">
      <c r="A35" s="1351"/>
      <c r="B35" s="1349"/>
      <c r="C35" s="29"/>
      <c r="D35" s="373"/>
      <c r="E35" s="347" t="s">
        <v>1447</v>
      </c>
      <c r="F35" s="348">
        <f ca="1">INDIRECT("'数据-取费表'!r"&amp;$G$1)</f>
        <v>0</v>
      </c>
      <c r="G35" s="1848"/>
      <c r="H35" s="744"/>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0"/>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0"/>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1477</v>
      </c>
      <c r="F42" s="357">
        <f ca="1">INDIRECT("'数据-取费表'!v"&amp;$G$1)</f>
        <v>0</v>
      </c>
      <c r="G42" s="1848"/>
      <c r="H42" s="731"/>
      <c r="I42" s="1857"/>
      <c r="J42" s="1858"/>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1"/>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1"/>
      <c r="H48" s="792"/>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2"/>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2"/>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3041</v>
      </c>
      <c r="E53" s="358"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238" t="s">
        <v>1548</v>
      </c>
      <c r="L53" s="3239"/>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18</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2525</v>
      </c>
      <c r="B1" s="2557"/>
      <c r="C1" s="2557"/>
      <c r="D1" s="2557"/>
      <c r="E1" s="2558"/>
    </row>
    <row r="2" spans="1:6" ht="15.75">
      <c r="A2" s="2559" t="s">
        <v>2329</v>
      </c>
      <c r="B2" s="2560">
        <f ca="1">SUMIF(B6:B13,"&lt;&gt;#ref!",B6:B13)</f>
        <v>57552</v>
      </c>
      <c r="C2" s="2561" t="s">
        <v>2518</v>
      </c>
      <c r="D2" s="2562" t="s">
        <v>2519</v>
      </c>
      <c r="E2" s="2563">
        <f>SUM(E6:E13)</f>
        <v>20301.189999999999</v>
      </c>
    </row>
    <row r="3" spans="1:6" ht="15.75">
      <c r="A3" s="2559" t="s">
        <v>1395</v>
      </c>
      <c r="B3" s="2560">
        <f ca="1">ROUND(B2*10000/E2,0)</f>
        <v>28349</v>
      </c>
      <c r="C3" s="2561" t="s">
        <v>2526</v>
      </c>
      <c r="D3" s="2564"/>
      <c r="E3" s="2565"/>
    </row>
    <row r="4" spans="1:6" ht="15.75">
      <c r="A4" s="2566"/>
      <c r="B4" s="2564"/>
      <c r="C4" s="2564"/>
      <c r="D4" s="2564"/>
      <c r="E4" s="2565"/>
    </row>
    <row r="5" spans="1:6" ht="15">
      <c r="A5" s="2567" t="s">
        <v>2520</v>
      </c>
      <c r="B5" s="3240" t="s">
        <v>2521</v>
      </c>
      <c r="C5" s="3240"/>
      <c r="D5" s="2568"/>
      <c r="E5" s="2569" t="s">
        <v>2522</v>
      </c>
      <c r="F5" s="2570" t="s">
        <v>2523</v>
      </c>
    </row>
    <row r="6" spans="1:6">
      <c r="A6" s="2571" t="str">
        <f>'数据-取费表'!AN6</f>
        <v>收益法办</v>
      </c>
      <c r="B6" s="2570">
        <f ca="1">IF(F6="是",'数据-取费表'!AO6,0)</f>
        <v>55225</v>
      </c>
      <c r="C6" s="2561" t="s">
        <v>2518</v>
      </c>
      <c r="D6" s="2564"/>
      <c r="E6" s="2572">
        <f>IF(OR(A6=0,F6="否"),0,'数据-取费表'!K6+'数据-取费表'!S6)</f>
        <v>17116.989999999998</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t="str">
        <f>'数据-取费表'!AN8</f>
        <v>收益法车</v>
      </c>
      <c r="B8" s="2570">
        <f ca="1">IF(F8="是",'数据-取费表'!AO8,0)</f>
        <v>2327</v>
      </c>
      <c r="C8" s="2561" t="s">
        <v>2518</v>
      </c>
      <c r="D8" s="2564"/>
      <c r="E8" s="2572">
        <f>IF(OR(A8=0,F8="否"),0,'数据-取费表'!K8+'数据-取费表'!S8)</f>
        <v>3184.2</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299" t="s">
        <v>1079</v>
      </c>
      <c r="E2" s="1299" t="s">
        <v>1080</v>
      </c>
      <c r="F2" s="1299" t="s">
        <v>1081</v>
      </c>
      <c r="G2" s="1299" t="s">
        <v>1082</v>
      </c>
      <c r="H2" s="1299" t="s">
        <v>1083</v>
      </c>
      <c r="I2" s="1300" t="s">
        <v>1084</v>
      </c>
    </row>
    <row r="3" spans="1:9">
      <c r="A3" s="3246"/>
      <c r="B3" s="3247" t="s">
        <v>1085</v>
      </c>
      <c r="C3" s="3247"/>
      <c r="D3" s="1301"/>
      <c r="E3" s="1299"/>
      <c r="F3" s="1302"/>
      <c r="G3" s="1302"/>
      <c r="H3" s="1303"/>
      <c r="I3" s="1304">
        <f>ROUND(D3*E3*F3*G3*H3/10000,0)</f>
        <v>0</v>
      </c>
    </row>
    <row r="4" spans="1:9">
      <c r="A4" s="3246"/>
      <c r="B4" s="3247" t="s">
        <v>1086</v>
      </c>
      <c r="C4" s="3247"/>
      <c r="D4" s="1301"/>
      <c r="E4" s="1299"/>
      <c r="F4" s="1302"/>
      <c r="G4" s="1302"/>
      <c r="H4" s="1303"/>
      <c r="I4" s="1304">
        <f t="shared" ref="I4:I9" si="0">ROUND(D4*E4*F4*G4*H4/10000,0)</f>
        <v>0</v>
      </c>
    </row>
    <row r="5" spans="1:9">
      <c r="A5" s="3246"/>
      <c r="B5" s="3247" t="s">
        <v>1087</v>
      </c>
      <c r="C5" s="3247"/>
      <c r="D5" s="1301"/>
      <c r="E5" s="1299"/>
      <c r="F5" s="1302"/>
      <c r="G5" s="1302"/>
      <c r="H5" s="1303"/>
      <c r="I5" s="1304">
        <f t="shared" si="0"/>
        <v>0</v>
      </c>
    </row>
    <row r="6" spans="1:9">
      <c r="A6" s="3246"/>
      <c r="B6" s="3247" t="s">
        <v>1088</v>
      </c>
      <c r="C6" s="3247"/>
      <c r="D6" s="1301"/>
      <c r="E6" s="1299"/>
      <c r="F6" s="1302"/>
      <c r="G6" s="1302"/>
      <c r="H6" s="1303"/>
      <c r="I6" s="1304">
        <f t="shared" si="0"/>
        <v>0</v>
      </c>
    </row>
    <row r="7" spans="1:9">
      <c r="A7" s="3246"/>
      <c r="B7" s="3247" t="s">
        <v>1089</v>
      </c>
      <c r="C7" s="3247"/>
      <c r="D7" s="1301"/>
      <c r="E7" s="1299"/>
      <c r="F7" s="1302"/>
      <c r="G7" s="1302"/>
      <c r="H7" s="1303"/>
      <c r="I7" s="1304">
        <f t="shared" si="0"/>
        <v>0</v>
      </c>
    </row>
    <row r="8" spans="1:9">
      <c r="A8" s="3246"/>
      <c r="B8" s="3247" t="s">
        <v>1090</v>
      </c>
      <c r="C8" s="3247"/>
      <c r="D8" s="1301"/>
      <c r="E8" s="1299"/>
      <c r="F8" s="1302"/>
      <c r="G8" s="1302"/>
      <c r="H8" s="1303"/>
      <c r="I8" s="1304">
        <f t="shared" si="0"/>
        <v>0</v>
      </c>
    </row>
    <row r="9" spans="1:9">
      <c r="A9" s="3246"/>
      <c r="B9" s="3247" t="s">
        <v>1091</v>
      </c>
      <c r="C9" s="3247"/>
      <c r="D9" s="1301"/>
      <c r="E9" s="1299"/>
      <c r="F9" s="1302"/>
      <c r="G9" s="1302"/>
      <c r="H9" s="1303"/>
      <c r="I9" s="1304">
        <f t="shared" si="0"/>
        <v>0</v>
      </c>
    </row>
    <row r="10" spans="1:9">
      <c r="A10" s="3246"/>
      <c r="B10" s="3248" t="s">
        <v>1092</v>
      </c>
      <c r="C10" s="3248"/>
      <c r="D10" s="1305"/>
      <c r="E10" s="1305" t="e">
        <f>ROUND(D1*10000/D10/H9,0)</f>
        <v>#DIV/0!</v>
      </c>
      <c r="F10" s="1306"/>
      <c r="G10" s="1306"/>
      <c r="H10" s="1307"/>
      <c r="I10" s="1308">
        <f>SUM(I3:I9)</f>
        <v>0</v>
      </c>
    </row>
    <row r="11" spans="1:9" ht="14.25">
      <c r="A11" s="3246" t="s">
        <v>1093</v>
      </c>
      <c r="B11" s="3247" t="s">
        <v>1094</v>
      </c>
      <c r="C11" s="3247"/>
      <c r="D11" s="1301" t="s">
        <v>1095</v>
      </c>
      <c r="E11" s="1301" t="s">
        <v>1096</v>
      </c>
      <c r="F11" s="1302" t="s">
        <v>1097</v>
      </c>
      <c r="G11" s="1302" t="s">
        <v>1083</v>
      </c>
      <c r="H11" s="1309" t="s">
        <v>1098</v>
      </c>
      <c r="I11" s="1300" t="s">
        <v>1084</v>
      </c>
    </row>
    <row r="12" spans="1:9">
      <c r="A12" s="3246"/>
      <c r="B12" s="3247" t="s">
        <v>1099</v>
      </c>
      <c r="C12" s="3247"/>
      <c r="D12" s="1301"/>
      <c r="E12" s="1301"/>
      <c r="F12" s="1302"/>
      <c r="G12" s="1303"/>
      <c r="H12" s="1310"/>
      <c r="I12" s="1300">
        <f>ROUND(D12*E12*F12*G12/10000,0)</f>
        <v>0</v>
      </c>
    </row>
    <row r="13" spans="1:9">
      <c r="A13" s="3246"/>
      <c r="B13" s="3247" t="s">
        <v>1100</v>
      </c>
      <c r="C13" s="3247"/>
      <c r="D13" s="1301"/>
      <c r="E13" s="1301"/>
      <c r="F13" s="1302"/>
      <c r="G13" s="1303"/>
      <c r="H13" s="1310"/>
      <c r="I13" s="1300">
        <f>ROUND(D13*E13*F13*G13/10000,0)</f>
        <v>0</v>
      </c>
    </row>
    <row r="14" spans="1:9">
      <c r="A14" s="3246"/>
      <c r="B14" s="3247" t="s">
        <v>1101</v>
      </c>
      <c r="C14" s="3247"/>
      <c r="D14" s="1301"/>
      <c r="E14" s="1301"/>
      <c r="F14" s="1302"/>
      <c r="G14" s="1303"/>
      <c r="H14" s="1310"/>
      <c r="I14" s="1300">
        <f>ROUND(D14*E14*F14*G14/10000,0)</f>
        <v>0</v>
      </c>
    </row>
    <row r="15" spans="1:9">
      <c r="A15" s="3246"/>
      <c r="B15" s="3248" t="s">
        <v>1092</v>
      </c>
      <c r="C15" s="3248"/>
      <c r="D15" s="1305"/>
      <c r="E15" s="1305">
        <f>SUM(E12:E14)</f>
        <v>0</v>
      </c>
      <c r="F15" s="1306"/>
      <c r="G15" s="1303"/>
      <c r="H15" s="1310"/>
      <c r="I15" s="1311">
        <f>SUM(I12:I14)</f>
        <v>0</v>
      </c>
    </row>
    <row r="16" spans="1:9" ht="24">
      <c r="A16" s="3246" t="s">
        <v>1102</v>
      </c>
      <c r="B16" s="3247" t="s">
        <v>1103</v>
      </c>
      <c r="C16" s="3247"/>
      <c r="D16" s="1301" t="s">
        <v>1079</v>
      </c>
      <c r="E16" s="1312" t="s">
        <v>1104</v>
      </c>
      <c r="F16" s="1302" t="s">
        <v>1105</v>
      </c>
      <c r="G16" s="1303" t="s">
        <v>1083</v>
      </c>
      <c r="H16" s="1309" t="s">
        <v>1098</v>
      </c>
      <c r="I16" s="1300" t="s">
        <v>1084</v>
      </c>
    </row>
    <row r="17" spans="1:9" ht="14.25">
      <c r="A17" s="3246"/>
      <c r="B17" s="3247" t="s">
        <v>1106</v>
      </c>
      <c r="C17" s="3247"/>
      <c r="D17" s="1301"/>
      <c r="E17" s="1301"/>
      <c r="F17" s="1302"/>
      <c r="G17" s="1303"/>
      <c r="H17" s="1313"/>
      <c r="I17" s="1314">
        <f>ROUND(D17*E17*F17*G17/10000,0)</f>
        <v>0</v>
      </c>
    </row>
    <row r="18" spans="1:9" ht="14.25">
      <c r="A18" s="3246"/>
      <c r="B18" s="3247" t="s">
        <v>1107</v>
      </c>
      <c r="C18" s="3247"/>
      <c r="D18" s="1301"/>
      <c r="E18" s="1301"/>
      <c r="F18" s="1302"/>
      <c r="G18" s="1303"/>
      <c r="H18" s="1313"/>
      <c r="I18" s="1314">
        <f>ROUND(D18*E18*F18*G18/10000,0)</f>
        <v>0</v>
      </c>
    </row>
    <row r="19" spans="1:9" ht="14.25">
      <c r="A19" s="3246"/>
      <c r="B19" s="3247" t="s">
        <v>1108</v>
      </c>
      <c r="C19" s="3247"/>
      <c r="D19" s="1301"/>
      <c r="E19" s="1301"/>
      <c r="F19" s="1302"/>
      <c r="G19" s="1303"/>
      <c r="H19" s="1313"/>
      <c r="I19" s="1314">
        <f>ROUND(D19*E19*F19*G19/10000,0)</f>
        <v>0</v>
      </c>
    </row>
    <row r="20" spans="1:9">
      <c r="A20" s="3246"/>
      <c r="B20" s="3248" t="s">
        <v>1092</v>
      </c>
      <c r="C20" s="3248"/>
      <c r="D20" s="1305">
        <f>SUM(D17:D19)</f>
        <v>0</v>
      </c>
      <c r="E20" s="1305"/>
      <c r="F20" s="1306"/>
      <c r="G20" s="1303"/>
      <c r="H20" s="1310"/>
      <c r="I20" s="1311">
        <f>SUM(I17:I19)</f>
        <v>0</v>
      </c>
    </row>
    <row r="21" spans="1:9">
      <c r="A21" s="3246" t="s">
        <v>1109</v>
      </c>
      <c r="B21" s="3250"/>
      <c r="C21" s="3250"/>
      <c r="D21" s="3250"/>
      <c r="E21" s="3250"/>
      <c r="F21" s="3250"/>
      <c r="G21" s="3250"/>
      <c r="H21" s="1762">
        <v>0.1</v>
      </c>
      <c r="I21" s="1308">
        <f>ROUND(I10*H21,0)</f>
        <v>0</v>
      </c>
    </row>
    <row r="22" spans="1:9" ht="14.25">
      <c r="A22" s="3251" t="s">
        <v>1110</v>
      </c>
      <c r="B22" s="3252"/>
      <c r="C22" s="3253"/>
      <c r="D22" s="1315" t="s">
        <v>1111</v>
      </c>
      <c r="E22" s="1315" t="s">
        <v>1112</v>
      </c>
      <c r="F22" s="1316" t="s">
        <v>1113</v>
      </c>
      <c r="G22" s="1316" t="s">
        <v>1114</v>
      </c>
      <c r="H22" s="1309" t="s">
        <v>1115</v>
      </c>
      <c r="I22" s="1300" t="s">
        <v>1116</v>
      </c>
    </row>
    <row r="23" spans="1:9" ht="14.25" thickBot="1">
      <c r="A23" s="3254"/>
      <c r="B23" s="3255"/>
      <c r="C23" s="3256"/>
      <c r="D23" s="1317"/>
      <c r="E23" s="1317"/>
      <c r="F23" s="1317"/>
      <c r="G23" s="1318"/>
      <c r="H23" s="1319"/>
      <c r="I23" s="1320">
        <f>ROUND(E23*D23*F23*(1-G23)/10000,0)</f>
        <v>0</v>
      </c>
    </row>
    <row r="26" spans="1:9">
      <c r="A26" s="1321" t="s">
        <v>1117</v>
      </c>
      <c r="B26" s="1321"/>
      <c r="C26" s="1321"/>
      <c r="D26" s="1321"/>
      <c r="E26" s="3257">
        <f>C27-C30-C31-C32</f>
        <v>0</v>
      </c>
      <c r="F26" s="3257"/>
      <c r="G26" s="3257"/>
      <c r="H26" s="1734" t="s">
        <v>1340</v>
      </c>
    </row>
    <row r="27" spans="1:9">
      <c r="A27" s="1322">
        <v>1</v>
      </c>
      <c r="B27" s="1323" t="s">
        <v>1118</v>
      </c>
      <c r="C27" s="1323">
        <f>C28+C29</f>
        <v>0</v>
      </c>
      <c r="D27" s="1323"/>
      <c r="E27" s="3258"/>
      <c r="F27" s="3258"/>
      <c r="G27" s="3258"/>
    </row>
    <row r="28" spans="1:9">
      <c r="A28" s="1324" t="s">
        <v>1119</v>
      </c>
      <c r="B28" s="1323" t="s">
        <v>1120</v>
      </c>
      <c r="C28" s="1323"/>
      <c r="D28" s="1323"/>
      <c r="E28" s="3258"/>
      <c r="F28" s="3258"/>
      <c r="G28" s="325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9"/>
      <c r="F32" s="3249"/>
      <c r="G32" s="3249"/>
    </row>
    <row r="33" spans="1:7" hidden="1">
      <c r="A33" s="3259" t="s">
        <v>1129</v>
      </c>
      <c r="B33" s="3260"/>
      <c r="C33" s="3260"/>
      <c r="D33" s="3261"/>
      <c r="E33" s="3257"/>
      <c r="F33" s="3257"/>
      <c r="G33" s="3257"/>
    </row>
    <row r="34" spans="1:7" hidden="1">
      <c r="A34" s="1326">
        <v>1</v>
      </c>
      <c r="B34" s="1323" t="s">
        <v>1130</v>
      </c>
      <c r="C34" s="1323"/>
      <c r="D34" s="1323"/>
      <c r="E34" s="3258"/>
      <c r="F34" s="3258"/>
      <c r="G34" s="3258"/>
    </row>
    <row r="35" spans="1:7" hidden="1">
      <c r="A35" s="1326">
        <v>2</v>
      </c>
      <c r="B35" s="1323" t="s">
        <v>1131</v>
      </c>
      <c r="C35" s="1323"/>
      <c r="D35" s="1323"/>
      <c r="E35" s="3258"/>
      <c r="F35" s="3258"/>
      <c r="G35" s="3258"/>
    </row>
    <row r="36" spans="1:7" hidden="1">
      <c r="A36" s="1326">
        <v>3</v>
      </c>
      <c r="B36" s="1323" t="s">
        <v>1132</v>
      </c>
      <c r="C36" s="1323"/>
      <c r="D36" s="1323"/>
      <c r="E36" s="3258"/>
      <c r="F36" s="3258"/>
      <c r="G36" s="3258"/>
    </row>
    <row r="37" spans="1:7" hidden="1">
      <c r="A37" s="1326">
        <v>4</v>
      </c>
      <c r="B37" s="1323" t="s">
        <v>1133</v>
      </c>
      <c r="C37" s="1323"/>
      <c r="D37" s="1323"/>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7" t="s">
        <v>2528</v>
      </c>
      <c r="C1" s="1631" t="s">
        <v>2529</v>
      </c>
      <c r="D1" s="1618"/>
      <c r="E1" s="2578"/>
      <c r="F1" s="2579" t="s">
        <v>2530</v>
      </c>
      <c r="G1" s="1628" t="s">
        <v>2531</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1"/>
      <c r="D2" s="1363" t="e">
        <f ca="1">SUMIF(INDIRECT("'"&amp;F2&amp;"'"&amp;"!A:A"),"承租人权益价值",INDIRECT("'"&amp;F2&amp;"'"&amp;"!c:c"))</f>
        <v>#REF!</v>
      </c>
      <c r="E2" s="2582" t="s">
        <v>2532</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2533</v>
      </c>
      <c r="D3" s="399">
        <f>IF(D1="",'数据-汇总表'!E3,SUMIF('数据-汇总表'!$C19:$C33,D1,'数据-汇总表'!$E19:$E33))</f>
        <v>22318.329999999998</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1" t="s">
        <v>2534</v>
      </c>
      <c r="B4" s="402"/>
      <c r="C4" s="3207" t="s">
        <v>2535</v>
      </c>
      <c r="D4" s="3208"/>
      <c r="E4" s="3209" t="s">
        <v>2536</v>
      </c>
      <c r="F4" s="3210"/>
      <c r="G4" s="3207" t="s">
        <v>2537</v>
      </c>
      <c r="H4" s="3208"/>
      <c r="I4" s="3207" t="s">
        <v>2538</v>
      </c>
      <c r="J4" s="3208"/>
      <c r="K4" s="2591" t="s">
        <v>2539</v>
      </c>
      <c r="L4" s="1128"/>
      <c r="M4" s="1129"/>
      <c r="N4" s="1129"/>
      <c r="O4" s="1129"/>
      <c r="P4" s="3211" t="s">
        <v>2540</v>
      </c>
      <c r="Q4" s="3212"/>
      <c r="R4" s="3194" t="s">
        <v>2536</v>
      </c>
      <c r="S4" s="3195"/>
      <c r="T4" s="3194" t="s">
        <v>2537</v>
      </c>
      <c r="U4" s="3195"/>
      <c r="V4" s="3219" t="s">
        <v>2538</v>
      </c>
      <c r="W4" s="3219"/>
      <c r="X4" s="1810"/>
      <c r="Y4" s="3194" t="s">
        <v>2540</v>
      </c>
      <c r="Z4" s="3195"/>
      <c r="AA4" s="3189" t="s">
        <v>2536</v>
      </c>
      <c r="AB4" s="3189" t="s">
        <v>2537</v>
      </c>
      <c r="AC4" s="3189" t="s">
        <v>2538</v>
      </c>
    </row>
    <row r="5" spans="1:29" ht="15">
      <c r="A5" s="404"/>
      <c r="B5" s="405"/>
      <c r="C5" s="3200" t="s">
        <v>2541</v>
      </c>
      <c r="D5" s="3201"/>
      <c r="E5" s="3198" t="s">
        <v>2542</v>
      </c>
      <c r="F5" s="3199"/>
      <c r="G5" s="3200" t="s">
        <v>2543</v>
      </c>
      <c r="H5" s="3201"/>
      <c r="I5" s="3200" t="s">
        <v>2544</v>
      </c>
      <c r="J5" s="3201"/>
      <c r="K5" s="2592"/>
      <c r="L5" s="1128"/>
      <c r="M5" s="1129"/>
      <c r="N5" s="1129"/>
      <c r="O5" s="1129"/>
      <c r="P5" s="3213"/>
      <c r="Q5" s="3214"/>
      <c r="R5" s="3196"/>
      <c r="S5" s="3197"/>
      <c r="T5" s="3196"/>
      <c r="U5" s="3197"/>
      <c r="V5" s="3219"/>
      <c r="W5" s="3219"/>
      <c r="X5" s="1810"/>
      <c r="Y5" s="3196"/>
      <c r="Z5" s="3197"/>
      <c r="AA5" s="3190"/>
      <c r="AB5" s="3190"/>
      <c r="AC5" s="3190"/>
    </row>
    <row r="6" spans="1:29" ht="15.75" thickBot="1">
      <c r="A6" s="406"/>
      <c r="B6" s="407"/>
      <c r="C6" s="3202" t="s">
        <v>2545</v>
      </c>
      <c r="D6" s="3203"/>
      <c r="E6" s="3204" t="s">
        <v>2545</v>
      </c>
      <c r="F6" s="3205"/>
      <c r="G6" s="3202" t="s">
        <v>2545</v>
      </c>
      <c r="H6" s="3203"/>
      <c r="I6" s="3202" t="s">
        <v>2545</v>
      </c>
      <c r="J6" s="3203"/>
      <c r="K6" s="2592" t="s">
        <v>2546</v>
      </c>
      <c r="L6" s="1128"/>
      <c r="M6" s="1129"/>
      <c r="N6" s="1129"/>
      <c r="O6" s="1129"/>
      <c r="P6" s="3215"/>
      <c r="Q6" s="3216"/>
      <c r="R6" s="3196"/>
      <c r="S6" s="3197"/>
      <c r="T6" s="3217"/>
      <c r="U6" s="3218"/>
      <c r="V6" s="3219"/>
      <c r="W6" s="3219"/>
      <c r="X6" s="1810"/>
      <c r="Y6" s="3217"/>
      <c r="Z6" s="3218"/>
      <c r="AA6" s="3191"/>
      <c r="AB6" s="3191"/>
      <c r="AC6" s="3191"/>
    </row>
    <row r="7" spans="1:29" s="117" customFormat="1" ht="15.75" thickBot="1">
      <c r="A7" s="408" t="s">
        <v>2547</v>
      </c>
      <c r="B7" s="409"/>
      <c r="C7" s="410">
        <f>'数据-取费表'!B2</f>
        <v>43539</v>
      </c>
      <c r="D7" s="411">
        <v>100</v>
      </c>
      <c r="E7" s="412"/>
      <c r="F7" s="413">
        <f>SUMIF(58:58,YEAR(E7)&amp;"-"&amp;MONTH(E7),59:59)</f>
        <v>0</v>
      </c>
      <c r="G7" s="412"/>
      <c r="H7" s="411">
        <f>SUMIF(58:58,YEAR(G7)&amp;"-"&amp;MONTH(G7),59:59)</f>
        <v>0</v>
      </c>
      <c r="I7" s="412"/>
      <c r="J7" s="411">
        <f>SUMIF(58:58,YEAR(I7)&amp;"-"&amp;MONTH(I7),59:59)</f>
        <v>0</v>
      </c>
      <c r="K7" s="2593"/>
      <c r="L7" s="1130"/>
      <c r="M7" s="1131"/>
      <c r="N7" s="1131"/>
      <c r="O7" s="1131"/>
      <c r="P7" s="3192" t="s">
        <v>2548</v>
      </c>
      <c r="Q7" s="3220"/>
      <c r="R7" s="769" t="s">
        <v>23</v>
      </c>
      <c r="S7" s="770">
        <f t="shared" ref="S7:S15" si="0">F7</f>
        <v>0</v>
      </c>
      <c r="T7" s="769" t="s">
        <v>23</v>
      </c>
      <c r="U7" s="770">
        <f t="shared" ref="U7:U15" si="1">H7</f>
        <v>0</v>
      </c>
      <c r="V7" s="769" t="s">
        <v>23</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30"/>
      <c r="M8" s="1131"/>
      <c r="N8" s="1131"/>
      <c r="O8" s="1131"/>
      <c r="P8" s="3192" t="s">
        <v>2551</v>
      </c>
      <c r="Q8" s="3193"/>
      <c r="R8" s="769" t="s">
        <v>23</v>
      </c>
      <c r="S8" s="770">
        <f t="shared" si="0"/>
        <v>0</v>
      </c>
      <c r="T8" s="769" t="s">
        <v>23</v>
      </c>
      <c r="U8" s="770">
        <f t="shared" si="1"/>
        <v>0</v>
      </c>
      <c r="V8" s="769" t="s">
        <v>23</v>
      </c>
      <c r="W8" s="770">
        <f t="shared" si="2"/>
        <v>0</v>
      </c>
      <c r="X8" s="771"/>
      <c r="Y8" s="3192" t="s">
        <v>2551</v>
      </c>
      <c r="Z8" s="3193"/>
      <c r="AA8" s="772" t="e">
        <f t="shared" ref="AA8:AA19" si="3">D8/F8</f>
        <v>#DIV/0!</v>
      </c>
      <c r="AB8" s="772" t="e">
        <f t="shared" ref="AB8:AB19" si="4">D8/H8</f>
        <v>#DIV/0!</v>
      </c>
      <c r="AC8" s="772"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30"/>
      <c r="M9" s="1131"/>
      <c r="N9" s="1131"/>
      <c r="O9" s="1131"/>
      <c r="P9" s="3230"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425"/>
      <c r="L10" s="1133"/>
      <c r="M10" s="1134"/>
      <c r="N10" s="1134"/>
      <c r="O10" s="1134"/>
      <c r="P10" s="3230"/>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6"/>
      <c r="M11" s="1129"/>
      <c r="N11" s="1129"/>
      <c r="O11" s="1129"/>
      <c r="P11" s="3230"/>
      <c r="Q11" s="1792" t="str">
        <f t="shared" si="6"/>
        <v>容积率</v>
      </c>
      <c r="R11" s="769" t="s">
        <v>21</v>
      </c>
      <c r="S11" s="770" t="e">
        <f t="shared" si="0"/>
        <v>#N/A</v>
      </c>
      <c r="T11" s="769" t="s">
        <v>21</v>
      </c>
      <c r="U11" s="770" t="e">
        <f t="shared" si="1"/>
        <v>#N/A</v>
      </c>
      <c r="V11" s="769" t="s">
        <v>21</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0"/>
      <c r="M12" s="1131"/>
      <c r="N12" s="1131"/>
      <c r="O12" s="1131"/>
      <c r="P12" s="3230"/>
      <c r="Q12" s="1792">
        <f t="shared" si="6"/>
        <v>111</v>
      </c>
      <c r="R12" s="769" t="s">
        <v>21</v>
      </c>
      <c r="S12" s="770">
        <f t="shared" si="0"/>
        <v>100</v>
      </c>
      <c r="T12" s="769" t="s">
        <v>21</v>
      </c>
      <c r="U12" s="770">
        <f t="shared" si="1"/>
        <v>100</v>
      </c>
      <c r="V12" s="769" t="s">
        <v>21</v>
      </c>
      <c r="W12" s="770">
        <f t="shared" si="2"/>
        <v>100</v>
      </c>
      <c r="X12" s="771"/>
      <c r="Y12" s="306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30"/>
      <c r="Q13" s="1792">
        <f t="shared" si="6"/>
        <v>111</v>
      </c>
      <c r="R13" s="769" t="s">
        <v>21</v>
      </c>
      <c r="S13" s="770">
        <f t="shared" si="0"/>
        <v>100</v>
      </c>
      <c r="T13" s="769" t="s">
        <v>21</v>
      </c>
      <c r="U13" s="770">
        <f t="shared" si="1"/>
        <v>100</v>
      </c>
      <c r="V13" s="769" t="s">
        <v>21</v>
      </c>
      <c r="W13" s="770">
        <f t="shared" si="2"/>
        <v>100</v>
      </c>
      <c r="X13" s="771"/>
      <c r="Y13" s="3069"/>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30"/>
      <c r="Q14" s="1792">
        <f t="shared" si="6"/>
        <v>111</v>
      </c>
      <c r="R14" s="769" t="s">
        <v>21</v>
      </c>
      <c r="S14" s="770">
        <f t="shared" si="0"/>
        <v>100</v>
      </c>
      <c r="T14" s="769" t="s">
        <v>21</v>
      </c>
      <c r="U14" s="770">
        <f t="shared" si="1"/>
        <v>100</v>
      </c>
      <c r="V14" s="769" t="s">
        <v>21</v>
      </c>
      <c r="W14" s="770">
        <f t="shared" si="2"/>
        <v>100</v>
      </c>
      <c r="X14" s="771"/>
      <c r="Y14" s="3069"/>
      <c r="Z14" s="55">
        <f t="shared" si="7"/>
        <v>111</v>
      </c>
      <c r="AA14" s="772">
        <f t="shared" si="3"/>
        <v>1</v>
      </c>
      <c r="AB14" s="772">
        <f t="shared" si="4"/>
        <v>1</v>
      </c>
      <c r="AC14" s="772">
        <f t="shared" si="5"/>
        <v>1</v>
      </c>
    </row>
    <row r="15" spans="1:29" ht="99.75">
      <c r="A15" s="439" t="s">
        <v>2558</v>
      </c>
      <c r="B15" s="69" t="s">
        <v>2085</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8" t="s">
        <v>2559</v>
      </c>
      <c r="Q15" s="1807" t="str">
        <f t="shared" si="6"/>
        <v>居住社区成熟度</v>
      </c>
      <c r="R15" s="773" t="s">
        <v>21</v>
      </c>
      <c r="S15" s="774">
        <f t="shared" si="0"/>
        <v>100</v>
      </c>
      <c r="T15" s="773" t="s">
        <v>21</v>
      </c>
      <c r="U15" s="774">
        <f t="shared" si="1"/>
        <v>100</v>
      </c>
      <c r="V15" s="773" t="s">
        <v>21</v>
      </c>
      <c r="W15" s="774">
        <f t="shared" si="2"/>
        <v>100</v>
      </c>
      <c r="X15" s="1810"/>
      <c r="Y15" s="3221" t="s">
        <v>2559</v>
      </c>
      <c r="Z15" s="1811" t="str">
        <f t="shared" si="7"/>
        <v>居住社区成熟度</v>
      </c>
      <c r="AA15" s="1808">
        <f t="shared" si="3"/>
        <v>1</v>
      </c>
      <c r="AB15" s="1808">
        <f t="shared" si="4"/>
        <v>1</v>
      </c>
      <c r="AC15" s="1808">
        <f t="shared" si="5"/>
        <v>1</v>
      </c>
    </row>
    <row r="16" spans="1:29" ht="15">
      <c r="A16" s="427"/>
      <c r="B16" s="445"/>
      <c r="C16" s="446"/>
      <c r="D16" s="447"/>
      <c r="E16" s="2599"/>
      <c r="F16" s="447"/>
      <c r="G16" s="2600"/>
      <c r="H16" s="449"/>
      <c r="I16" s="2600"/>
      <c r="J16" s="447"/>
      <c r="K16" s="2601"/>
      <c r="L16" s="1138"/>
      <c r="M16" s="1129"/>
      <c r="N16" s="1129"/>
      <c r="O16" s="1129"/>
      <c r="P16" s="3269"/>
      <c r="Q16" s="1807"/>
      <c r="R16" s="773"/>
      <c r="S16" s="774"/>
      <c r="T16" s="773"/>
      <c r="U16" s="774"/>
      <c r="V16" s="773"/>
      <c r="W16" s="774"/>
      <c r="X16" s="1810"/>
      <c r="Y16" s="3222"/>
      <c r="Z16" s="1811"/>
      <c r="AA16" s="1808">
        <v>1</v>
      </c>
      <c r="AB16" s="1808">
        <v>1</v>
      </c>
      <c r="AC16" s="1808">
        <v>1</v>
      </c>
    </row>
    <row r="17" spans="1:29" ht="85.5">
      <c r="A17" s="427"/>
      <c r="B17" s="450" t="s">
        <v>2097</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9"/>
      <c r="Q17" s="1807" t="str">
        <f>B17</f>
        <v>交通便捷度</v>
      </c>
      <c r="R17" s="773" t="s">
        <v>21</v>
      </c>
      <c r="S17" s="774">
        <f>F17</f>
        <v>100</v>
      </c>
      <c r="T17" s="773" t="s">
        <v>21</v>
      </c>
      <c r="U17" s="774">
        <f>H17</f>
        <v>100</v>
      </c>
      <c r="V17" s="773" t="s">
        <v>21</v>
      </c>
      <c r="W17" s="774">
        <f>J17</f>
        <v>100</v>
      </c>
      <c r="X17" s="1810"/>
      <c r="Y17" s="3222"/>
      <c r="Z17" s="1811" t="str">
        <f>Q17</f>
        <v>交通便捷度</v>
      </c>
      <c r="AA17" s="1808">
        <f t="shared" si="3"/>
        <v>1</v>
      </c>
      <c r="AB17" s="1808">
        <f t="shared" si="4"/>
        <v>1</v>
      </c>
      <c r="AC17" s="1808">
        <f t="shared" si="5"/>
        <v>1</v>
      </c>
    </row>
    <row r="18" spans="1:29" ht="15">
      <c r="A18" s="427"/>
      <c r="B18" s="455"/>
      <c r="C18" s="2603"/>
      <c r="D18" s="449"/>
      <c r="E18" s="2604"/>
      <c r="F18" s="449"/>
      <c r="G18" s="2605"/>
      <c r="H18" s="447"/>
      <c r="I18" s="2605"/>
      <c r="J18" s="447"/>
      <c r="K18" s="2601"/>
      <c r="L18" s="1138"/>
      <c r="M18" s="1129"/>
      <c r="N18" s="1129"/>
      <c r="O18" s="1129"/>
      <c r="P18" s="3269"/>
      <c r="Q18" s="1807"/>
      <c r="R18" s="773"/>
      <c r="S18" s="774"/>
      <c r="T18" s="773"/>
      <c r="U18" s="774"/>
      <c r="V18" s="773"/>
      <c r="W18" s="774"/>
      <c r="X18" s="1810"/>
      <c r="Y18" s="3222"/>
      <c r="Z18" s="1811"/>
      <c r="AA18" s="1808">
        <v>1</v>
      </c>
      <c r="AB18" s="1808">
        <v>1</v>
      </c>
      <c r="AC18" s="1808">
        <v>1</v>
      </c>
    </row>
    <row r="19" spans="1:29" ht="42.75">
      <c r="A19" s="427"/>
      <c r="B19" s="450" t="s">
        <v>2095</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9"/>
      <c r="Q19" s="1807" t="str">
        <f>B19</f>
        <v>公共配套设施</v>
      </c>
      <c r="R19" s="773" t="s">
        <v>21</v>
      </c>
      <c r="S19" s="774">
        <f>F19</f>
        <v>100</v>
      </c>
      <c r="T19" s="773" t="s">
        <v>21</v>
      </c>
      <c r="U19" s="774">
        <f>H19</f>
        <v>100</v>
      </c>
      <c r="V19" s="773" t="s">
        <v>21</v>
      </c>
      <c r="W19" s="774">
        <f>J19</f>
        <v>100</v>
      </c>
      <c r="X19" s="1810"/>
      <c r="Y19" s="3222"/>
      <c r="Z19" s="1811" t="str">
        <f>Q19</f>
        <v>公共配套设施</v>
      </c>
      <c r="AA19" s="1808">
        <f t="shared" si="3"/>
        <v>1</v>
      </c>
      <c r="AB19" s="1808">
        <f t="shared" si="4"/>
        <v>1</v>
      </c>
      <c r="AC19" s="1808">
        <f t="shared" si="5"/>
        <v>1</v>
      </c>
    </row>
    <row r="20" spans="1:29" ht="15">
      <c r="A20" s="427"/>
      <c r="B20" s="455"/>
      <c r="C20" s="446"/>
      <c r="D20" s="447"/>
      <c r="E20" s="2599"/>
      <c r="F20" s="447"/>
      <c r="G20" s="2600"/>
      <c r="H20" s="447"/>
      <c r="I20" s="2600"/>
      <c r="J20" s="447"/>
      <c r="K20" s="2601"/>
      <c r="L20" s="1138"/>
      <c r="M20" s="1129"/>
      <c r="N20" s="1129"/>
      <c r="O20" s="1129"/>
      <c r="P20" s="3269"/>
      <c r="Q20" s="1807"/>
      <c r="R20" s="773"/>
      <c r="S20" s="774"/>
      <c r="T20" s="773"/>
      <c r="U20" s="774"/>
      <c r="V20" s="773"/>
      <c r="W20" s="774"/>
      <c r="X20" s="1810"/>
      <c r="Y20" s="3222"/>
      <c r="Z20" s="1811"/>
      <c r="AA20" s="1808">
        <v>1</v>
      </c>
      <c r="AB20" s="1808">
        <v>1</v>
      </c>
      <c r="AC20" s="1808">
        <v>1</v>
      </c>
    </row>
    <row r="21" spans="1:29" ht="28.5">
      <c r="A21" s="427"/>
      <c r="B21" s="1382" t="s">
        <v>2098</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9"/>
      <c r="Q21" s="1807" t="str">
        <f>B21</f>
        <v>基础设施水平</v>
      </c>
      <c r="R21" s="773" t="s">
        <v>17</v>
      </c>
      <c r="S21" s="774">
        <f>F21</f>
        <v>100</v>
      </c>
      <c r="T21" s="773" t="s">
        <v>17</v>
      </c>
      <c r="U21" s="774">
        <f>H21</f>
        <v>100</v>
      </c>
      <c r="V21" s="773" t="s">
        <v>17</v>
      </c>
      <c r="W21" s="774">
        <f>J21</f>
        <v>100</v>
      </c>
      <c r="X21" s="1810"/>
      <c r="Y21" s="3222"/>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7"/>
      <c r="G22" s="2606"/>
      <c r="H22" s="447"/>
      <c r="I22" s="446"/>
      <c r="J22" s="447"/>
      <c r="K22" s="2607"/>
      <c r="L22" s="1138"/>
      <c r="M22" s="1129"/>
      <c r="N22" s="1129"/>
      <c r="O22" s="1129"/>
      <c r="P22" s="3269"/>
      <c r="Q22" s="1807"/>
      <c r="R22" s="773"/>
      <c r="S22" s="774"/>
      <c r="T22" s="773"/>
      <c r="U22" s="774"/>
      <c r="V22" s="773"/>
      <c r="W22" s="774"/>
      <c r="X22" s="1810"/>
      <c r="Y22" s="3222"/>
      <c r="Z22" s="1811"/>
      <c r="AA22" s="1808">
        <v>1</v>
      </c>
      <c r="AB22" s="1808">
        <v>1</v>
      </c>
      <c r="AC22" s="1808">
        <v>1</v>
      </c>
    </row>
    <row r="23" spans="1:29" ht="57">
      <c r="A23" s="427"/>
      <c r="B23" s="450" t="s">
        <v>2102</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9"/>
      <c r="Q23" s="1807" t="str">
        <f>B23</f>
        <v>自然及人文环境</v>
      </c>
      <c r="R23" s="773" t="s">
        <v>21</v>
      </c>
      <c r="S23" s="774">
        <f>F23</f>
        <v>100</v>
      </c>
      <c r="T23" s="773" t="s">
        <v>21</v>
      </c>
      <c r="U23" s="774">
        <f>H23</f>
        <v>100</v>
      </c>
      <c r="V23" s="773" t="s">
        <v>21</v>
      </c>
      <c r="W23" s="774">
        <f>J23</f>
        <v>100</v>
      </c>
      <c r="X23" s="1810"/>
      <c r="Y23" s="3222"/>
      <c r="Z23" s="1811" t="str">
        <f>Q23</f>
        <v>自然及人文环境</v>
      </c>
      <c r="AA23" s="1808">
        <f>D23/F23</f>
        <v>1</v>
      </c>
      <c r="AB23" s="1808">
        <f>D23/H23</f>
        <v>1</v>
      </c>
      <c r="AC23" s="1808">
        <f>D23/J23</f>
        <v>1</v>
      </c>
    </row>
    <row r="24" spans="1:29" ht="15">
      <c r="A24" s="427"/>
      <c r="B24" s="455"/>
      <c r="C24" s="446"/>
      <c r="D24" s="447"/>
      <c r="E24" s="2599"/>
      <c r="F24" s="447"/>
      <c r="G24" s="2600"/>
      <c r="H24" s="447"/>
      <c r="I24" s="2600"/>
      <c r="J24" s="447"/>
      <c r="K24" s="2601"/>
      <c r="L24" s="1138"/>
      <c r="M24" s="1129"/>
      <c r="N24" s="1129"/>
      <c r="O24" s="1129"/>
      <c r="P24" s="3269"/>
      <c r="Q24" s="1807"/>
      <c r="R24" s="773"/>
      <c r="S24" s="774"/>
      <c r="T24" s="773"/>
      <c r="U24" s="774"/>
      <c r="V24" s="773"/>
      <c r="W24" s="774"/>
      <c r="X24" s="1810"/>
      <c r="Y24" s="3222"/>
      <c r="Z24" s="1811"/>
      <c r="AA24" s="1808">
        <v>1</v>
      </c>
      <c r="AB24" s="1808">
        <v>1</v>
      </c>
      <c r="AC24" s="1808">
        <v>1</v>
      </c>
    </row>
    <row r="25" spans="1:29" ht="15">
      <c r="A25" s="427"/>
      <c r="B25" s="421" t="s">
        <v>2560</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69"/>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22"/>
      <c r="Z25" s="1811" t="str">
        <f>Q25</f>
        <v>楼层-1</v>
      </c>
      <c r="AA25" s="1808">
        <f t="shared" ref="AA25:AA46" si="15">D25/F25</f>
        <v>1</v>
      </c>
      <c r="AB25" s="1808">
        <f t="shared" ref="AB25:AB46" si="16">D25/H25</f>
        <v>1</v>
      </c>
      <c r="AC25" s="1808">
        <f t="shared" ref="AC25:AC46" si="17">D25/J25</f>
        <v>1</v>
      </c>
    </row>
    <row r="26" spans="1:29" ht="15">
      <c r="A26" s="427"/>
      <c r="B26" s="421" t="s">
        <v>2561</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69"/>
      <c r="Q26" s="1807" t="str">
        <f t="shared" si="11"/>
        <v>朝向</v>
      </c>
      <c r="R26" s="773" t="s">
        <v>21</v>
      </c>
      <c r="S26" s="774">
        <f t="shared" si="12"/>
        <v>100</v>
      </c>
      <c r="T26" s="773" t="s">
        <v>21</v>
      </c>
      <c r="U26" s="774">
        <f t="shared" si="13"/>
        <v>100</v>
      </c>
      <c r="V26" s="773" t="s">
        <v>21</v>
      </c>
      <c r="W26" s="774">
        <f t="shared" si="14"/>
        <v>100</v>
      </c>
      <c r="X26" s="1810"/>
      <c r="Y26" s="3222"/>
      <c r="Z26" s="1811" t="str">
        <f>Q26</f>
        <v>朝向</v>
      </c>
      <c r="AA26" s="1808">
        <f t="shared" si="15"/>
        <v>1</v>
      </c>
      <c r="AB26" s="1808">
        <f t="shared" si="16"/>
        <v>1</v>
      </c>
      <c r="AC26" s="1808">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69"/>
      <c r="Q27" s="1792">
        <f t="shared" si="11"/>
        <v>111</v>
      </c>
      <c r="R27" s="769" t="s">
        <v>21</v>
      </c>
      <c r="S27" s="770">
        <f t="shared" si="12"/>
        <v>100</v>
      </c>
      <c r="T27" s="769" t="s">
        <v>21</v>
      </c>
      <c r="U27" s="770">
        <f t="shared" si="13"/>
        <v>100</v>
      </c>
      <c r="V27" s="769" t="s">
        <v>21</v>
      </c>
      <c r="W27" s="770">
        <f t="shared" si="14"/>
        <v>100</v>
      </c>
      <c r="X27" s="771"/>
      <c r="Y27" s="3222"/>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69"/>
      <c r="Q28" s="1807">
        <f t="shared" si="11"/>
        <v>111</v>
      </c>
      <c r="R28" s="773" t="s">
        <v>21</v>
      </c>
      <c r="S28" s="774">
        <f t="shared" si="12"/>
        <v>100</v>
      </c>
      <c r="T28" s="773" t="s">
        <v>21</v>
      </c>
      <c r="U28" s="774">
        <f t="shared" si="13"/>
        <v>100</v>
      </c>
      <c r="V28" s="773" t="s">
        <v>21</v>
      </c>
      <c r="W28" s="774">
        <f t="shared" si="14"/>
        <v>100</v>
      </c>
      <c r="X28" s="1810"/>
      <c r="Y28" s="3222"/>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69"/>
      <c r="Q29" s="1807">
        <f t="shared" si="11"/>
        <v>111</v>
      </c>
      <c r="R29" s="773" t="s">
        <v>21</v>
      </c>
      <c r="S29" s="774">
        <f t="shared" si="12"/>
        <v>100</v>
      </c>
      <c r="T29" s="773" t="s">
        <v>21</v>
      </c>
      <c r="U29" s="774">
        <f t="shared" si="13"/>
        <v>100</v>
      </c>
      <c r="V29" s="773" t="s">
        <v>21</v>
      </c>
      <c r="W29" s="774">
        <f t="shared" si="14"/>
        <v>100</v>
      </c>
      <c r="X29" s="1810"/>
      <c r="Y29" s="3222"/>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69"/>
      <c r="Q30" s="1807">
        <f t="shared" si="11"/>
        <v>111</v>
      </c>
      <c r="R30" s="773" t="s">
        <v>21</v>
      </c>
      <c r="S30" s="774">
        <f t="shared" si="12"/>
        <v>100</v>
      </c>
      <c r="T30" s="773" t="s">
        <v>21</v>
      </c>
      <c r="U30" s="774">
        <f t="shared" si="13"/>
        <v>100</v>
      </c>
      <c r="V30" s="773" t="s">
        <v>21</v>
      </c>
      <c r="W30" s="774">
        <f t="shared" si="14"/>
        <v>100</v>
      </c>
      <c r="X30" s="1810"/>
      <c r="Y30" s="3222"/>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69"/>
      <c r="Q31" s="1807">
        <f t="shared" si="11"/>
        <v>111</v>
      </c>
      <c r="R31" s="773" t="s">
        <v>21</v>
      </c>
      <c r="S31" s="774">
        <f t="shared" si="12"/>
        <v>100</v>
      </c>
      <c r="T31" s="773" t="s">
        <v>21</v>
      </c>
      <c r="U31" s="774">
        <f t="shared" si="13"/>
        <v>100</v>
      </c>
      <c r="V31" s="773" t="s">
        <v>21</v>
      </c>
      <c r="W31" s="774">
        <f t="shared" si="14"/>
        <v>100</v>
      </c>
      <c r="X31" s="1810"/>
      <c r="Y31" s="3222"/>
      <c r="Z31" s="1811">
        <f t="shared" si="18"/>
        <v>111</v>
      </c>
      <c r="AA31" s="1808">
        <f t="shared" si="15"/>
        <v>1</v>
      </c>
      <c r="AB31" s="1808">
        <f t="shared" si="16"/>
        <v>1</v>
      </c>
      <c r="AC31" s="1808">
        <f t="shared" si="17"/>
        <v>1</v>
      </c>
    </row>
    <row r="32" spans="1:29" ht="15">
      <c r="A32" s="439" t="s">
        <v>2562</v>
      </c>
      <c r="B32" s="71" t="s">
        <v>2563</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38"/>
      <c r="M32" s="1129"/>
      <c r="N32" s="1129"/>
      <c r="O32" s="1129"/>
      <c r="P32" s="3264" t="s">
        <v>2564</v>
      </c>
      <c r="Q32" s="1807" t="str">
        <f t="shared" si="11"/>
        <v>建筑类型</v>
      </c>
      <c r="R32" s="773" t="s">
        <v>21</v>
      </c>
      <c r="S32" s="774">
        <f t="shared" si="12"/>
        <v>100</v>
      </c>
      <c r="T32" s="773" t="s">
        <v>21</v>
      </c>
      <c r="U32" s="774">
        <f t="shared" si="13"/>
        <v>100</v>
      </c>
      <c r="V32" s="773" t="s">
        <v>21</v>
      </c>
      <c r="W32" s="774">
        <f t="shared" si="14"/>
        <v>100</v>
      </c>
      <c r="X32" s="1810"/>
      <c r="Y32" s="3224" t="s">
        <v>2564</v>
      </c>
      <c r="Z32" s="1811" t="str">
        <f t="shared" si="18"/>
        <v>建筑类型</v>
      </c>
      <c r="AA32" s="1808">
        <f t="shared" si="15"/>
        <v>1</v>
      </c>
      <c r="AB32" s="1808">
        <f t="shared" si="16"/>
        <v>1</v>
      </c>
      <c r="AC32" s="1808">
        <f t="shared" si="17"/>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6"/>
      <c r="L33" s="1136"/>
      <c r="M33" s="1139"/>
      <c r="N33" s="1139"/>
      <c r="O33" s="1139"/>
      <c r="P33" s="3265"/>
      <c r="Q33" s="775" t="str">
        <f t="shared" si="11"/>
        <v>项目建筑规模</v>
      </c>
      <c r="R33" s="776" t="s">
        <v>21</v>
      </c>
      <c r="S33" s="777" t="e">
        <f t="shared" si="12"/>
        <v>#N/A</v>
      </c>
      <c r="T33" s="776" t="s">
        <v>21</v>
      </c>
      <c r="U33" s="777" t="e">
        <f t="shared" si="13"/>
        <v>#N/A</v>
      </c>
      <c r="V33" s="776" t="s">
        <v>21</v>
      </c>
      <c r="W33" s="777" t="e">
        <f t="shared" si="14"/>
        <v>#N/A</v>
      </c>
      <c r="X33" s="778"/>
      <c r="Y33" s="3224"/>
      <c r="Z33" s="779" t="str">
        <f t="shared" si="18"/>
        <v>项目建筑规模</v>
      </c>
      <c r="AA33" s="1808" t="e">
        <f t="shared" si="15"/>
        <v>#N/A</v>
      </c>
      <c r="AB33" s="1808" t="e">
        <f t="shared" si="16"/>
        <v>#N/A</v>
      </c>
      <c r="AC33" s="1808" t="e">
        <f t="shared" si="17"/>
        <v>#N/A</v>
      </c>
    </row>
    <row r="34" spans="1:29" ht="15">
      <c r="A34" s="471"/>
      <c r="B34" s="421" t="s">
        <v>2566</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38"/>
      <c r="M34" s="1129"/>
      <c r="N34" s="1129"/>
      <c r="O34" s="1129"/>
      <c r="P34" s="3265"/>
      <c r="Q34" s="1807" t="str">
        <f t="shared" si="11"/>
        <v>建筑结构</v>
      </c>
      <c r="R34" s="773" t="s">
        <v>21</v>
      </c>
      <c r="S34" s="774">
        <f t="shared" si="12"/>
        <v>100</v>
      </c>
      <c r="T34" s="773" t="s">
        <v>21</v>
      </c>
      <c r="U34" s="774">
        <f t="shared" si="13"/>
        <v>100</v>
      </c>
      <c r="V34" s="773" t="s">
        <v>21</v>
      </c>
      <c r="W34" s="774">
        <f t="shared" si="14"/>
        <v>100</v>
      </c>
      <c r="X34" s="1810"/>
      <c r="Y34" s="3224"/>
      <c r="Z34" s="1811" t="str">
        <f t="shared" si="18"/>
        <v>建筑结构</v>
      </c>
      <c r="AA34" s="1808">
        <f t="shared" si="15"/>
        <v>1</v>
      </c>
      <c r="AB34" s="1808">
        <f t="shared" si="16"/>
        <v>1</v>
      </c>
      <c r="AC34" s="1808">
        <f t="shared" si="17"/>
        <v>1</v>
      </c>
    </row>
    <row r="35" spans="1:29" ht="15">
      <c r="A35" s="471"/>
      <c r="B35" s="421" t="s">
        <v>2567</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38"/>
      <c r="M35" s="1129"/>
      <c r="N35" s="1129"/>
      <c r="O35" s="1129"/>
      <c r="P35" s="3265"/>
      <c r="Q35" s="1807" t="str">
        <f t="shared" si="11"/>
        <v>建筑品质</v>
      </c>
      <c r="R35" s="773" t="s">
        <v>21</v>
      </c>
      <c r="S35" s="774">
        <f t="shared" si="12"/>
        <v>100</v>
      </c>
      <c r="T35" s="773" t="s">
        <v>21</v>
      </c>
      <c r="U35" s="774">
        <f t="shared" si="13"/>
        <v>100</v>
      </c>
      <c r="V35" s="773" t="s">
        <v>21</v>
      </c>
      <c r="W35" s="774">
        <f t="shared" si="14"/>
        <v>100</v>
      </c>
      <c r="X35" s="1810"/>
      <c r="Y35" s="3224"/>
      <c r="Z35" s="1811" t="str">
        <f t="shared" si="18"/>
        <v>建筑品质</v>
      </c>
      <c r="AA35" s="1808">
        <f t="shared" si="15"/>
        <v>1</v>
      </c>
      <c r="AB35" s="1808">
        <f t="shared" si="16"/>
        <v>1</v>
      </c>
      <c r="AC35" s="1808">
        <f t="shared" si="17"/>
        <v>1</v>
      </c>
    </row>
    <row r="36" spans="1:29" ht="15">
      <c r="A36" s="471"/>
      <c r="B36" s="421" t="s">
        <v>2568</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38"/>
      <c r="M36" s="1129"/>
      <c r="N36" s="1129"/>
      <c r="O36" s="1129"/>
      <c r="P36" s="3265"/>
      <c r="Q36" s="1807" t="str">
        <f t="shared" si="11"/>
        <v>公共部分装修</v>
      </c>
      <c r="R36" s="773" t="s">
        <v>21</v>
      </c>
      <c r="S36" s="774">
        <f t="shared" si="12"/>
        <v>100</v>
      </c>
      <c r="T36" s="773" t="s">
        <v>21</v>
      </c>
      <c r="U36" s="774">
        <f t="shared" si="13"/>
        <v>100</v>
      </c>
      <c r="V36" s="773" t="s">
        <v>21</v>
      </c>
      <c r="W36" s="774">
        <f t="shared" si="14"/>
        <v>100</v>
      </c>
      <c r="X36" s="1810"/>
      <c r="Y36" s="3224"/>
      <c r="Z36" s="1811" t="str">
        <f t="shared" si="18"/>
        <v>公共部分装修</v>
      </c>
      <c r="AA36" s="1808">
        <f t="shared" si="15"/>
        <v>1</v>
      </c>
      <c r="AB36" s="1808">
        <f t="shared" si="16"/>
        <v>1</v>
      </c>
      <c r="AC36" s="1808">
        <f t="shared" si="17"/>
        <v>1</v>
      </c>
    </row>
    <row r="37" spans="1:29" s="117" customFormat="1" ht="15">
      <c r="A37" s="472"/>
      <c r="B37" s="421" t="s">
        <v>2569</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0"/>
      <c r="M37" s="1131"/>
      <c r="N37" s="1131"/>
      <c r="O37" s="1131"/>
      <c r="P37" s="3265"/>
      <c r="Q37" s="1792" t="str">
        <f t="shared" si="11"/>
        <v>成新度</v>
      </c>
      <c r="R37" s="769" t="s">
        <v>21</v>
      </c>
      <c r="S37" s="770" t="e">
        <f t="shared" si="12"/>
        <v>#N/A</v>
      </c>
      <c r="T37" s="769" t="s">
        <v>21</v>
      </c>
      <c r="U37" s="770" t="e">
        <f t="shared" si="13"/>
        <v>#N/A</v>
      </c>
      <c r="V37" s="769" t="s">
        <v>21</v>
      </c>
      <c r="W37" s="770" t="e">
        <f t="shared" si="14"/>
        <v>#N/A</v>
      </c>
      <c r="X37" s="771"/>
      <c r="Y37" s="3224"/>
      <c r="Z37" s="55" t="str">
        <f t="shared" si="18"/>
        <v>成新度</v>
      </c>
      <c r="AA37" s="772" t="e">
        <f t="shared" si="15"/>
        <v>#N/A</v>
      </c>
      <c r="AB37" s="772" t="e">
        <f t="shared" si="16"/>
        <v>#N/A</v>
      </c>
      <c r="AC37" s="772" t="e">
        <f t="shared" si="17"/>
        <v>#N/A</v>
      </c>
    </row>
    <row r="38" spans="1:29" ht="15">
      <c r="A38" s="471"/>
      <c r="B38" s="421" t="s">
        <v>2570</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38"/>
      <c r="M38" s="1129"/>
      <c r="N38" s="1129"/>
      <c r="O38" s="1129"/>
      <c r="P38" s="3265" t="s">
        <v>2564</v>
      </c>
      <c r="Q38" s="1807" t="str">
        <f t="shared" si="11"/>
        <v>物业管理</v>
      </c>
      <c r="R38" s="773" t="s">
        <v>21</v>
      </c>
      <c r="S38" s="774">
        <f t="shared" si="12"/>
        <v>100</v>
      </c>
      <c r="T38" s="773" t="s">
        <v>21</v>
      </c>
      <c r="U38" s="774">
        <f t="shared" si="13"/>
        <v>100</v>
      </c>
      <c r="V38" s="773" t="s">
        <v>21</v>
      </c>
      <c r="W38" s="774">
        <f t="shared" si="14"/>
        <v>100</v>
      </c>
      <c r="X38" s="1810"/>
      <c r="Y38" s="3224" t="s">
        <v>2564</v>
      </c>
      <c r="Z38" s="1811" t="str">
        <f t="shared" si="18"/>
        <v>物业管理</v>
      </c>
      <c r="AA38" s="1808">
        <f t="shared" si="15"/>
        <v>1</v>
      </c>
      <c r="AB38" s="1808">
        <f t="shared" si="16"/>
        <v>1</v>
      </c>
      <c r="AC38" s="1808">
        <f t="shared" si="17"/>
        <v>1</v>
      </c>
    </row>
    <row r="39" spans="1:29" ht="15">
      <c r="A39" s="471"/>
      <c r="B39" s="421" t="s">
        <v>2571</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38"/>
      <c r="M39" s="1129"/>
      <c r="N39" s="1129"/>
      <c r="O39" s="1129"/>
      <c r="P39" s="3265"/>
      <c r="Q39" s="1807" t="str">
        <f t="shared" si="11"/>
        <v>市政基础设施</v>
      </c>
      <c r="R39" s="773" t="s">
        <v>21</v>
      </c>
      <c r="S39" s="774">
        <f t="shared" si="12"/>
        <v>100</v>
      </c>
      <c r="T39" s="773" t="s">
        <v>21</v>
      </c>
      <c r="U39" s="774">
        <f t="shared" si="13"/>
        <v>100</v>
      </c>
      <c r="V39" s="773" t="s">
        <v>21</v>
      </c>
      <c r="W39" s="774">
        <f t="shared" si="14"/>
        <v>100</v>
      </c>
      <c r="X39" s="1810"/>
      <c r="Y39" s="3224"/>
      <c r="Z39" s="1811" t="str">
        <f t="shared" si="18"/>
        <v>市政基础设施</v>
      </c>
      <c r="AA39" s="1808">
        <f t="shared" si="15"/>
        <v>1</v>
      </c>
      <c r="AB39" s="1808">
        <f t="shared" si="16"/>
        <v>1</v>
      </c>
      <c r="AC39" s="1808">
        <f t="shared" si="17"/>
        <v>1</v>
      </c>
    </row>
    <row r="40" spans="1:29" ht="15">
      <c r="A40" s="471"/>
      <c r="B40" s="421" t="s">
        <v>2572</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8"/>
      <c r="M40" s="1129"/>
      <c r="N40" s="1129"/>
      <c r="O40" s="1129"/>
      <c r="P40" s="3265"/>
      <c r="Q40" s="1807" t="str">
        <f t="shared" si="11"/>
        <v>房型</v>
      </c>
      <c r="R40" s="773" t="s">
        <v>21</v>
      </c>
      <c r="S40" s="774">
        <f t="shared" si="12"/>
        <v>100</v>
      </c>
      <c r="T40" s="773" t="s">
        <v>21</v>
      </c>
      <c r="U40" s="774">
        <f t="shared" si="13"/>
        <v>100</v>
      </c>
      <c r="V40" s="773" t="s">
        <v>21</v>
      </c>
      <c r="W40" s="774">
        <f t="shared" si="14"/>
        <v>100</v>
      </c>
      <c r="X40" s="1810"/>
      <c r="Y40" s="3224"/>
      <c r="Z40" s="1811" t="str">
        <f t="shared" si="18"/>
        <v>房型</v>
      </c>
      <c r="AA40" s="1808">
        <f t="shared" si="15"/>
        <v>1</v>
      </c>
      <c r="AB40" s="1808">
        <f t="shared" si="16"/>
        <v>1</v>
      </c>
      <c r="AC40" s="1808">
        <f t="shared" si="17"/>
        <v>1</v>
      </c>
    </row>
    <row r="41" spans="1:29" s="470" customFormat="1" ht="28.5">
      <c r="A41" s="467"/>
      <c r="B41" s="421" t="s">
        <v>2573</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6"/>
      <c r="M41" s="1139"/>
      <c r="N41" s="1139"/>
      <c r="O41" s="1139"/>
      <c r="P41" s="3265"/>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08">
        <f t="shared" si="15"/>
        <v>1</v>
      </c>
      <c r="AB41" s="1808">
        <f t="shared" si="16"/>
        <v>1</v>
      </c>
      <c r="AC41" s="1808">
        <f t="shared" si="17"/>
        <v>1</v>
      </c>
    </row>
    <row r="42" spans="1:29" ht="15">
      <c r="A42" s="471"/>
      <c r="B42" s="421" t="s">
        <v>2574</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38"/>
      <c r="M42" s="1129"/>
      <c r="N42" s="1129"/>
      <c r="O42" s="1129"/>
      <c r="P42" s="3265"/>
      <c r="Q42" s="1807" t="str">
        <f t="shared" si="11"/>
        <v>内部装修</v>
      </c>
      <c r="R42" s="773" t="s">
        <v>21</v>
      </c>
      <c r="S42" s="774">
        <f t="shared" si="12"/>
        <v>100</v>
      </c>
      <c r="T42" s="773" t="s">
        <v>21</v>
      </c>
      <c r="U42" s="774">
        <f t="shared" si="13"/>
        <v>100</v>
      </c>
      <c r="V42" s="773" t="s">
        <v>21</v>
      </c>
      <c r="W42" s="774">
        <f t="shared" si="14"/>
        <v>100</v>
      </c>
      <c r="X42" s="1810"/>
      <c r="Y42" s="3224"/>
      <c r="Z42" s="1811" t="str">
        <f t="shared" si="18"/>
        <v>内部装修</v>
      </c>
      <c r="AA42" s="1808">
        <f t="shared" si="15"/>
        <v>1</v>
      </c>
      <c r="AB42" s="1808">
        <f t="shared" si="16"/>
        <v>1</v>
      </c>
      <c r="AC42" s="1808">
        <f t="shared" si="17"/>
        <v>1</v>
      </c>
    </row>
    <row r="43" spans="1:29" ht="15">
      <c r="A43" s="471"/>
      <c r="B43" s="421" t="s">
        <v>2575</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38"/>
      <c r="M43" s="1129"/>
      <c r="N43" s="1129"/>
      <c r="O43" s="1129"/>
      <c r="P43" s="3265"/>
      <c r="Q43" s="1807" t="str">
        <f t="shared" si="11"/>
        <v>内部装修维护情况</v>
      </c>
      <c r="R43" s="773" t="s">
        <v>21</v>
      </c>
      <c r="S43" s="774">
        <f t="shared" si="12"/>
        <v>100</v>
      </c>
      <c r="T43" s="773" t="s">
        <v>21</v>
      </c>
      <c r="U43" s="774">
        <f t="shared" si="13"/>
        <v>100</v>
      </c>
      <c r="V43" s="773" t="s">
        <v>21</v>
      </c>
      <c r="W43" s="774">
        <f t="shared" si="14"/>
        <v>100</v>
      </c>
      <c r="X43" s="1810"/>
      <c r="Y43" s="3224"/>
      <c r="Z43" s="1811" t="str">
        <f t="shared" si="18"/>
        <v>内部装修维护情况</v>
      </c>
      <c r="AA43" s="1808">
        <f t="shared" si="15"/>
        <v>1</v>
      </c>
      <c r="AB43" s="1808">
        <f t="shared" si="16"/>
        <v>1</v>
      </c>
      <c r="AC43" s="1808">
        <f t="shared" si="17"/>
        <v>1</v>
      </c>
    </row>
    <row r="44" spans="1:29" s="117" customFormat="1" ht="15">
      <c r="A44" s="472"/>
      <c r="B44" s="1384">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6"/>
      <c r="L44" s="1130"/>
      <c r="M44" s="1131"/>
      <c r="N44" s="1131"/>
      <c r="O44" s="1131"/>
      <c r="P44" s="3265"/>
      <c r="Q44" s="1792">
        <f t="shared" si="11"/>
        <v>111</v>
      </c>
      <c r="R44" s="769" t="s">
        <v>21</v>
      </c>
      <c r="S44" s="770">
        <f t="shared" si="12"/>
        <v>100</v>
      </c>
      <c r="T44" s="769" t="s">
        <v>21</v>
      </c>
      <c r="U44" s="770">
        <f t="shared" si="13"/>
        <v>100</v>
      </c>
      <c r="V44" s="769" t="s">
        <v>21</v>
      </c>
      <c r="W44" s="770">
        <f t="shared" si="14"/>
        <v>100</v>
      </c>
      <c r="X44" s="771"/>
      <c r="Y44" s="3224"/>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65"/>
      <c r="Q45" s="1807">
        <f t="shared" si="11"/>
        <v>111</v>
      </c>
      <c r="R45" s="773" t="s">
        <v>21</v>
      </c>
      <c r="S45" s="774">
        <f t="shared" si="12"/>
        <v>100</v>
      </c>
      <c r="T45" s="773" t="s">
        <v>21</v>
      </c>
      <c r="U45" s="774">
        <f t="shared" si="13"/>
        <v>100</v>
      </c>
      <c r="V45" s="773" t="s">
        <v>21</v>
      </c>
      <c r="W45" s="774">
        <f t="shared" si="14"/>
        <v>100</v>
      </c>
      <c r="X45" s="1810"/>
      <c r="Y45" s="3224"/>
      <c r="Z45" s="1811">
        <f t="shared" si="18"/>
        <v>111</v>
      </c>
      <c r="AA45" s="1808">
        <f t="shared" si="15"/>
        <v>1</v>
      </c>
      <c r="AB45" s="1808">
        <f t="shared" si="16"/>
        <v>1</v>
      </c>
      <c r="AC45" s="180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66"/>
      <c r="Q46" s="1807">
        <f t="shared" si="11"/>
        <v>111</v>
      </c>
      <c r="R46" s="773" t="s">
        <v>20</v>
      </c>
      <c r="S46" s="774">
        <f t="shared" si="12"/>
        <v>100</v>
      </c>
      <c r="T46" s="773" t="s">
        <v>20</v>
      </c>
      <c r="U46" s="774">
        <f t="shared" si="13"/>
        <v>100</v>
      </c>
      <c r="V46" s="773" t="s">
        <v>20</v>
      </c>
      <c r="W46" s="774">
        <f t="shared" si="14"/>
        <v>100</v>
      </c>
      <c r="X46" s="1810"/>
      <c r="Y46" s="3267"/>
      <c r="Z46" s="1811">
        <f t="shared" si="18"/>
        <v>111</v>
      </c>
      <c r="AA46" s="1808">
        <f t="shared" si="15"/>
        <v>1</v>
      </c>
      <c r="AB46" s="1808">
        <f t="shared" si="16"/>
        <v>1</v>
      </c>
      <c r="AC46" s="1808">
        <f t="shared" si="17"/>
        <v>1</v>
      </c>
    </row>
    <row r="47" spans="1:29" ht="15">
      <c r="A47" s="478" t="s">
        <v>2576</v>
      </c>
      <c r="B47" s="479"/>
      <c r="C47" s="1405" t="s">
        <v>19</v>
      </c>
      <c r="D47" s="1406"/>
      <c r="E47" s="1407"/>
      <c r="F47" s="1408"/>
      <c r="G47" s="1409"/>
      <c r="H47" s="1410"/>
      <c r="I47" s="1407"/>
      <c r="J47" s="1410"/>
      <c r="K47" s="2616"/>
      <c r="L47" s="1141"/>
      <c r="M47" s="1142"/>
      <c r="N47" s="1129"/>
      <c r="O47" s="1142"/>
      <c r="P47" s="3206" t="str">
        <f>A47</f>
        <v>成交单价（元/平方米）</v>
      </c>
      <c r="Q47" s="3206"/>
      <c r="R47" s="3263">
        <f>E47</f>
        <v>0</v>
      </c>
      <c r="S47" s="3263"/>
      <c r="T47" s="3263">
        <f>G47</f>
        <v>0</v>
      </c>
      <c r="U47" s="3263"/>
      <c r="V47" s="3263">
        <f>I47</f>
        <v>0</v>
      </c>
      <c r="W47" s="3263"/>
      <c r="X47" s="758"/>
      <c r="Y47" s="780"/>
      <c r="Z47" s="758"/>
      <c r="AA47" s="758"/>
      <c r="AB47" s="758"/>
      <c r="AC47" s="758"/>
    </row>
    <row r="48" spans="1:29" ht="15.75" thickBot="1">
      <c r="A48" s="485" t="s">
        <v>2577</v>
      </c>
      <c r="B48" s="486"/>
      <c r="C48" s="1411" t="e">
        <f>R49</f>
        <v>#DIV/0!</v>
      </c>
      <c r="D48" s="1412"/>
      <c r="E48" s="1413" t="e">
        <f>R48</f>
        <v>#DIV/0!</v>
      </c>
      <c r="F48" s="1413"/>
      <c r="G48" s="1411" t="e">
        <f>T48</f>
        <v>#DIV/0!</v>
      </c>
      <c r="H48" s="1412"/>
      <c r="I48" s="1413" t="e">
        <f>V48</f>
        <v>#DIV/0!</v>
      </c>
      <c r="J48" s="1412"/>
      <c r="K48" s="2617"/>
      <c r="L48" s="1141"/>
      <c r="M48" s="1142"/>
      <c r="N48" s="1142"/>
      <c r="O48" s="1142"/>
      <c r="P48" s="3206" t="str">
        <f>A48</f>
        <v>比较价值（元/平方米）</v>
      </c>
      <c r="Q48" s="3206"/>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8"/>
      <c r="Y48" s="758"/>
      <c r="Z48" s="758"/>
      <c r="AA48" s="758"/>
      <c r="AB48" s="758"/>
      <c r="AC48" s="758"/>
    </row>
    <row r="49" spans="1:29" ht="15.75" thickBot="1">
      <c r="A49" s="491" t="s">
        <v>2578</v>
      </c>
      <c r="B49" s="492"/>
      <c r="C49" s="1414" t="e">
        <f>R49</f>
        <v>#DIV/0!</v>
      </c>
      <c r="D49" s="1415"/>
      <c r="E49" s="1415"/>
      <c r="F49" s="1415"/>
      <c r="G49" s="1415"/>
      <c r="H49" s="1415"/>
      <c r="I49" s="1415"/>
      <c r="J49" s="1415"/>
      <c r="K49" s="2618"/>
      <c r="L49" s="1141"/>
      <c r="M49" s="1142"/>
      <c r="N49" s="1142"/>
      <c r="O49" s="1142"/>
      <c r="P49" s="3226" t="str">
        <f>A49</f>
        <v>估价对象XX用房的比较价值（楼面单价，元/平方米）</v>
      </c>
      <c r="Q49" s="3227"/>
      <c r="R49" s="3262" t="e">
        <f>IF(F1="售价",ROUND(AVERAGE(R48:V48),0),ROUND(AVERAGE(R48:V48),1))</f>
        <v>#DIV/0!</v>
      </c>
      <c r="S49" s="3262"/>
      <c r="T49" s="3262"/>
      <c r="U49" s="3262"/>
      <c r="V49" s="3262"/>
      <c r="W49" s="3262"/>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0"/>
    </row>
    <row r="55" spans="1:29" s="501"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2582</v>
      </c>
      <c r="B57" s="758"/>
      <c r="C57" s="763"/>
      <c r="D57" s="763"/>
      <c r="E57" s="763"/>
      <c r="F57" s="764"/>
      <c r="G57" s="764"/>
      <c r="H57" s="763"/>
      <c r="I57" s="763"/>
      <c r="J57" s="763"/>
      <c r="K57" s="1158"/>
      <c r="L57" s="1159"/>
      <c r="M57" s="1157"/>
      <c r="N57" s="1157"/>
      <c r="O57" s="1157"/>
      <c r="P57" s="2621"/>
      <c r="Q57" s="503"/>
    </row>
    <row r="58" spans="1:29" s="507" customFormat="1" ht="15">
      <c r="A58" s="504" t="s">
        <v>2583</v>
      </c>
      <c r="B58" s="505"/>
      <c r="C58" s="1573" t="str">
        <f>YEAR(C7)&amp;"-"&amp;MONTH(C7)</f>
        <v>2019-3</v>
      </c>
      <c r="D58" s="1572">
        <f>EDATE(C58,-1)</f>
        <v>43497</v>
      </c>
      <c r="E58" s="1572">
        <f>EDATE(D58,-1)</f>
        <v>43466</v>
      </c>
      <c r="F58" s="1572">
        <f t="shared" ref="F58:O58" si="19">EDATE(E58,-1)</f>
        <v>43435</v>
      </c>
      <c r="G58" s="1572">
        <f t="shared" si="19"/>
        <v>43405</v>
      </c>
      <c r="H58" s="1572">
        <f t="shared" si="19"/>
        <v>43374</v>
      </c>
      <c r="I58" s="1572">
        <f t="shared" si="19"/>
        <v>43344</v>
      </c>
      <c r="J58" s="1572">
        <f t="shared" si="19"/>
        <v>43313</v>
      </c>
      <c r="K58" s="1572">
        <f t="shared" si="19"/>
        <v>43282</v>
      </c>
      <c r="L58" s="1572">
        <f t="shared" si="19"/>
        <v>43252</v>
      </c>
      <c r="M58" s="1572">
        <f t="shared" si="19"/>
        <v>43221</v>
      </c>
      <c r="N58" s="1572">
        <f t="shared" si="19"/>
        <v>43191</v>
      </c>
      <c r="O58" s="1572">
        <f t="shared" si="19"/>
        <v>43160</v>
      </c>
      <c r="P58" s="1567"/>
    </row>
    <row r="59" spans="1:29" s="117" customFormat="1" ht="15">
      <c r="A59" s="508"/>
      <c r="B59" s="2622"/>
      <c r="C59" s="1570">
        <v>100</v>
      </c>
      <c r="D59" s="510"/>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2585</v>
      </c>
      <c r="B61" s="509"/>
      <c r="C61" s="521" t="s">
        <v>2586</v>
      </c>
      <c r="D61" s="522"/>
      <c r="E61" s="522"/>
      <c r="F61" s="522"/>
      <c r="G61" s="522"/>
      <c r="H61" s="522"/>
      <c r="I61" s="522"/>
      <c r="J61" s="522"/>
      <c r="K61" s="522"/>
      <c r="L61" s="523"/>
      <c r="M61" s="524"/>
      <c r="N61" s="1149"/>
      <c r="O61" s="1149"/>
      <c r="P61" s="2624"/>
      <c r="Q61" s="503"/>
    </row>
    <row r="62" spans="1:29" s="117"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2587</v>
      </c>
      <c r="B63" s="527" t="s">
        <v>2553</v>
      </c>
      <c r="C63" s="528">
        <f>C9</f>
        <v>0</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5"/>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5"/>
      <c r="Q67" s="503"/>
    </row>
    <row r="68" spans="1:17" ht="15">
      <c r="A68" s="533"/>
      <c r="B68" s="547"/>
      <c r="C68" s="548"/>
      <c r="D68" s="548"/>
      <c r="E68" s="548"/>
      <c r="F68" s="548"/>
      <c r="G68" s="548"/>
      <c r="H68" s="548"/>
      <c r="I68" s="548"/>
      <c r="J68" s="548"/>
      <c r="K68" s="549"/>
      <c r="L68" s="550"/>
      <c r="M68" s="551"/>
      <c r="N68" s="1150"/>
      <c r="O68" s="1150"/>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5"/>
      <c r="Q69" s="503"/>
    </row>
    <row r="70" spans="1:17" s="470" customFormat="1" ht="15.75" thickTop="1">
      <c r="A70" s="552"/>
      <c r="B70" s="537">
        <f>B12</f>
        <v>111</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111</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59"/>
      <c r="E73" s="559"/>
      <c r="F73" s="559"/>
      <c r="G73" s="559"/>
      <c r="H73" s="561"/>
      <c r="I73" s="561"/>
      <c r="J73" s="561"/>
      <c r="K73" s="561"/>
      <c r="L73" s="561"/>
      <c r="M73" s="562"/>
      <c r="N73" s="1152"/>
      <c r="O73" s="1152"/>
      <c r="P73" s="2626"/>
      <c r="Q73" s="558"/>
    </row>
    <row r="74" spans="1:17" s="470" customFormat="1" ht="15.75" thickTop="1">
      <c r="A74" s="552"/>
      <c r="B74" s="545">
        <f>B14</f>
        <v>111</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5"/>
      <c r="Q81" s="503"/>
    </row>
    <row r="82" spans="1:17" ht="15.75" thickTop="1">
      <c r="A82" s="533"/>
      <c r="B82" s="545" t="s">
        <v>2098</v>
      </c>
      <c r="C82" s="538" t="s">
        <v>2603</v>
      </c>
      <c r="D82" s="538" t="s">
        <v>2604</v>
      </c>
      <c r="E82" s="538" t="s">
        <v>2605</v>
      </c>
      <c r="F82" s="538" t="s">
        <v>2606</v>
      </c>
      <c r="G82" s="538" t="s">
        <v>2607</v>
      </c>
      <c r="H82" s="538"/>
      <c r="I82" s="538"/>
      <c r="J82" s="538"/>
      <c r="K82" s="538"/>
      <c r="L82" s="538"/>
      <c r="M82" s="1380"/>
      <c r="N82" s="1151"/>
      <c r="O82" s="1151"/>
      <c r="P82" s="262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5"/>
      <c r="Q85" s="503"/>
    </row>
    <row r="86" spans="1:17" s="117" customFormat="1" ht="15.75" thickTop="1">
      <c r="A86" s="578"/>
      <c r="B86" s="537" t="s">
        <v>2609</v>
      </c>
      <c r="C86" s="553"/>
      <c r="D86" s="553"/>
      <c r="E86" s="553"/>
      <c r="F86" s="553"/>
      <c r="G86" s="553"/>
      <c r="H86" s="553"/>
      <c r="I86" s="553"/>
      <c r="J86" s="553"/>
      <c r="K86" s="553"/>
      <c r="L86" s="579"/>
      <c r="M86" s="580"/>
      <c r="N86" s="1149"/>
      <c r="O86" s="1149"/>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5"/>
      <c r="Q87" s="503"/>
    </row>
    <row r="88" spans="1:17" s="117" customFormat="1" ht="15.75" thickTop="1">
      <c r="A88" s="578"/>
      <c r="B88" s="537" t="s">
        <v>2610</v>
      </c>
      <c r="C88" s="553"/>
      <c r="D88" s="553"/>
      <c r="E88" s="553"/>
      <c r="F88" s="2630"/>
      <c r="G88" s="553"/>
      <c r="H88" s="553"/>
      <c r="I88" s="553"/>
      <c r="J88" s="553"/>
      <c r="K88" s="553"/>
      <c r="L88" s="553"/>
      <c r="M88" s="580"/>
      <c r="N88" s="1149"/>
      <c r="O88" s="1149"/>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5"/>
      <c r="Q89" s="503"/>
    </row>
    <row r="90" spans="1:17" s="470" customFormat="1" ht="15.75" thickTop="1">
      <c r="A90" s="552"/>
      <c r="B90" s="537">
        <f>B27</f>
        <v>111</v>
      </c>
      <c r="C90" s="553"/>
      <c r="D90" s="553"/>
      <c r="E90" s="553"/>
      <c r="F90" s="553"/>
      <c r="G90" s="553"/>
      <c r="H90" s="554"/>
      <c r="I90" s="554"/>
      <c r="J90" s="554"/>
      <c r="K90" s="554"/>
      <c r="L90" s="555"/>
      <c r="M90" s="556"/>
      <c r="N90" s="1152"/>
      <c r="O90" s="1152"/>
      <c r="P90" s="2626"/>
      <c r="Q90" s="558"/>
    </row>
    <row r="91" spans="1:17" s="470" customFormat="1" ht="15.75" thickBot="1">
      <c r="A91" s="552"/>
      <c r="B91" s="542"/>
      <c r="C91" s="559"/>
      <c r="D91" s="559"/>
      <c r="E91" s="559"/>
      <c r="F91" s="559"/>
      <c r="G91" s="559"/>
      <c r="H91" s="561"/>
      <c r="I91" s="561"/>
      <c r="J91" s="561"/>
      <c r="K91" s="561"/>
      <c r="L91" s="561"/>
      <c r="M91" s="562"/>
      <c r="N91" s="1152"/>
      <c r="O91" s="1152"/>
      <c r="P91" s="2626"/>
      <c r="Q91" s="558"/>
    </row>
    <row r="92" spans="1:17" ht="15.75" thickTop="1">
      <c r="A92" s="533"/>
      <c r="B92" s="537">
        <f>B28</f>
        <v>111</v>
      </c>
      <c r="C92" s="553"/>
      <c r="D92" s="553"/>
      <c r="E92" s="553"/>
      <c r="F92" s="553"/>
      <c r="G92" s="582"/>
      <c r="H92" s="582"/>
      <c r="I92" s="582"/>
      <c r="J92" s="582"/>
      <c r="K92" s="583"/>
      <c r="L92" s="584"/>
      <c r="M92" s="585"/>
      <c r="N92" s="1150"/>
      <c r="O92" s="1150"/>
      <c r="P92" s="2625"/>
      <c r="Q92" s="503"/>
    </row>
    <row r="93" spans="1:17" ht="15.75" thickBot="1">
      <c r="A93" s="533"/>
      <c r="B93" s="542"/>
      <c r="C93" s="559"/>
      <c r="D93" s="535"/>
      <c r="E93" s="535"/>
      <c r="F93" s="535"/>
      <c r="G93" s="535"/>
      <c r="H93" s="535"/>
      <c r="I93" s="535"/>
      <c r="J93" s="535"/>
      <c r="K93" s="535"/>
      <c r="L93" s="535"/>
      <c r="M93" s="536"/>
      <c r="N93" s="1151"/>
      <c r="O93" s="1151"/>
      <c r="P93" s="2625"/>
      <c r="Q93" s="503"/>
    </row>
    <row r="94" spans="1:17" ht="15.75" thickTop="1">
      <c r="A94" s="533"/>
      <c r="B94" s="537">
        <f>B29</f>
        <v>111</v>
      </c>
      <c r="C94" s="553"/>
      <c r="D94" s="553"/>
      <c r="E94" s="553"/>
      <c r="F94" s="553"/>
      <c r="G94" s="582"/>
      <c r="H94" s="582"/>
      <c r="I94" s="582"/>
      <c r="J94" s="582"/>
      <c r="K94" s="583"/>
      <c r="L94" s="584"/>
      <c r="M94" s="585"/>
      <c r="N94" s="1150"/>
      <c r="O94" s="1150"/>
      <c r="P94" s="2625"/>
      <c r="Q94" s="503"/>
    </row>
    <row r="95" spans="1:17" ht="15.75" thickBot="1">
      <c r="A95" s="533"/>
      <c r="B95" s="542"/>
      <c r="C95" s="559"/>
      <c r="D95" s="559"/>
      <c r="E95" s="559"/>
      <c r="F95" s="559"/>
      <c r="G95" s="535"/>
      <c r="H95" s="535"/>
      <c r="I95" s="535"/>
      <c r="J95" s="535"/>
      <c r="K95" s="535"/>
      <c r="L95" s="535"/>
      <c r="M95" s="536"/>
      <c r="N95" s="1151"/>
      <c r="O95" s="1151"/>
      <c r="P95" s="2625"/>
      <c r="Q95" s="503"/>
    </row>
    <row r="96" spans="1:17" ht="15.75" thickTop="1">
      <c r="A96" s="533"/>
      <c r="B96" s="537">
        <f>B30</f>
        <v>111</v>
      </c>
      <c r="C96" s="553"/>
      <c r="D96" s="553"/>
      <c r="E96" s="553"/>
      <c r="F96" s="553"/>
      <c r="G96" s="582"/>
      <c r="H96" s="582"/>
      <c r="I96" s="582"/>
      <c r="J96" s="582"/>
      <c r="K96" s="583"/>
      <c r="L96" s="584"/>
      <c r="M96" s="585"/>
      <c r="N96" s="1150"/>
      <c r="O96" s="1150"/>
      <c r="P96" s="2625"/>
      <c r="Q96" s="503"/>
    </row>
    <row r="97" spans="1:17" ht="15.75" thickBot="1">
      <c r="A97" s="533"/>
      <c r="B97" s="542"/>
      <c r="C97" s="569"/>
      <c r="D97" s="569"/>
      <c r="E97" s="569"/>
      <c r="F97" s="569"/>
      <c r="G97" s="535"/>
      <c r="H97" s="535"/>
      <c r="I97" s="535"/>
      <c r="J97" s="535"/>
      <c r="K97" s="535"/>
      <c r="L97" s="535"/>
      <c r="M97" s="536"/>
      <c r="N97" s="1151"/>
      <c r="O97" s="1151"/>
      <c r="P97" s="2625"/>
      <c r="Q97" s="503"/>
    </row>
    <row r="98" spans="1:17" ht="15.75" thickTop="1">
      <c r="A98" s="533"/>
      <c r="B98" s="545">
        <f>B31</f>
        <v>111</v>
      </c>
      <c r="C98" s="586"/>
      <c r="D98" s="586"/>
      <c r="E98" s="586"/>
      <c r="F98" s="586"/>
      <c r="G98" s="586"/>
      <c r="H98" s="586"/>
      <c r="I98" s="586"/>
      <c r="J98" s="586"/>
      <c r="K98" s="587"/>
      <c r="L98" s="588"/>
      <c r="M98" s="589"/>
      <c r="N98" s="1150"/>
      <c r="O98" s="1150"/>
      <c r="P98" s="2625"/>
      <c r="Q98" s="503"/>
    </row>
    <row r="99" spans="1:17" ht="15.75" thickBot="1">
      <c r="A99" s="2631"/>
      <c r="B99" s="568"/>
      <c r="C99" s="590"/>
      <c r="D99" s="590"/>
      <c r="E99" s="590"/>
      <c r="F99" s="590"/>
      <c r="G99" s="590"/>
      <c r="H99" s="590"/>
      <c r="I99" s="590"/>
      <c r="J99" s="590"/>
      <c r="K99" s="590"/>
      <c r="L99" s="590"/>
      <c r="M99" s="591"/>
      <c r="N99" s="1151"/>
      <c r="O99" s="1151"/>
      <c r="P99" s="2625"/>
      <c r="Q99" s="503"/>
    </row>
    <row r="100" spans="1:17">
      <c r="A100" s="526" t="s">
        <v>2562</v>
      </c>
      <c r="B100" s="527" t="s">
        <v>2611</v>
      </c>
      <c r="C100" s="529"/>
      <c r="D100" s="529"/>
      <c r="E100" s="529"/>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5"/>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5"/>
      <c r="Q102" s="503"/>
    </row>
    <row r="103" spans="1:17" s="470" customFormat="1">
      <c r="A103" s="592"/>
      <c r="B103" s="593"/>
      <c r="C103" s="594"/>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6"/>
      <c r="Q104" s="558"/>
    </row>
    <row r="105" spans="1:17" ht="15" thickTop="1">
      <c r="A105" s="598"/>
      <c r="B105" s="537" t="s">
        <v>2613</v>
      </c>
      <c r="C105" s="553"/>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5"/>
      <c r="Q106" s="503"/>
    </row>
    <row r="107" spans="1:17" ht="15" thickTop="1">
      <c r="A107" s="598"/>
      <c r="B107" s="537" t="s">
        <v>2614</v>
      </c>
      <c r="C107" s="582"/>
      <c r="D107" s="582"/>
      <c r="E107" s="582"/>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5"/>
      <c r="Q108" s="503"/>
    </row>
    <row r="109" spans="1:17" ht="15" thickTop="1">
      <c r="A109" s="598"/>
      <c r="B109" s="537" t="s">
        <v>2615</v>
      </c>
      <c r="C109" s="553"/>
      <c r="D109" s="553"/>
      <c r="E109" s="553"/>
      <c r="F109" s="582"/>
      <c r="G109" s="582"/>
      <c r="H109" s="582"/>
      <c r="I109" s="582"/>
      <c r="J109" s="582"/>
      <c r="K109" s="583"/>
      <c r="L109" s="584"/>
      <c r="M109" s="585"/>
      <c r="N109" s="1150"/>
      <c r="O109" s="1150"/>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5"/>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6"/>
      <c r="Q113" s="558"/>
    </row>
    <row r="114" spans="1:17" ht="15" thickTop="1">
      <c r="A114" s="598"/>
      <c r="B114" s="537" t="s">
        <v>2616</v>
      </c>
      <c r="C114" s="553"/>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5"/>
      <c r="Q115" s="503"/>
    </row>
    <row r="116" spans="1:17" ht="15" thickTop="1">
      <c r="A116" s="598"/>
      <c r="B116" s="537" t="s">
        <v>2617</v>
      </c>
      <c r="C116" s="553"/>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5"/>
      <c r="Q117" s="503"/>
    </row>
    <row r="118" spans="1:17" ht="15" thickTop="1">
      <c r="A118" s="598"/>
      <c r="B118" s="537" t="s">
        <v>2618</v>
      </c>
      <c r="C118" s="582"/>
      <c r="D118" s="582"/>
      <c r="E118" s="582"/>
      <c r="F118" s="582"/>
      <c r="G118" s="582"/>
      <c r="H118" s="582"/>
      <c r="I118" s="582"/>
      <c r="J118" s="582"/>
      <c r="K118" s="583"/>
      <c r="L118" s="584"/>
      <c r="M118" s="585"/>
      <c r="N118" s="1150"/>
      <c r="O118" s="1150"/>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5"/>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26"/>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6"/>
      <c r="Q121" s="558"/>
    </row>
    <row r="122" spans="1:17" ht="15" thickTop="1">
      <c r="A122" s="598"/>
      <c r="B122" s="537" t="s">
        <v>2619</v>
      </c>
      <c r="C122" s="553"/>
      <c r="D122" s="553"/>
      <c r="E122" s="553"/>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5"/>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111</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59"/>
      <c r="E129" s="559"/>
      <c r="F129" s="559"/>
      <c r="G129" s="535"/>
      <c r="H129" s="535"/>
      <c r="I129" s="535"/>
      <c r="J129" s="535"/>
      <c r="K129" s="535"/>
      <c r="L129" s="535"/>
      <c r="M129" s="536"/>
      <c r="N129" s="1151"/>
      <c r="O129" s="1151"/>
      <c r="P129" s="2625"/>
      <c r="Q129" s="503"/>
    </row>
    <row r="130" spans="1:17" ht="15" thickTop="1">
      <c r="A130" s="598"/>
      <c r="B130" s="545">
        <f>B46</f>
        <v>111</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82">
        <v>6</v>
      </c>
      <c r="C139" s="1083">
        <v>96</v>
      </c>
      <c r="D139" s="2643" t="s">
        <v>2630</v>
      </c>
      <c r="E139" s="1084">
        <v>100</v>
      </c>
      <c r="F139" s="1085">
        <v>102.5</v>
      </c>
      <c r="G139" s="2643" t="s">
        <v>2630</v>
      </c>
      <c r="H139" s="1086">
        <v>105</v>
      </c>
      <c r="I139" s="2644" t="s">
        <v>2631</v>
      </c>
      <c r="J139" s="1083">
        <v>20</v>
      </c>
      <c r="K139" s="1087">
        <f>C145/(J139-2)</f>
        <v>4.0555555555555553E-3</v>
      </c>
    </row>
    <row r="140" spans="1:17" ht="15">
      <c r="B140" s="1088">
        <v>5</v>
      </c>
      <c r="C140" s="1089">
        <v>100</v>
      </c>
      <c r="D140" s="1089"/>
      <c r="E140" s="1090"/>
      <c r="F140" s="1091">
        <v>102</v>
      </c>
      <c r="G140" s="1089"/>
      <c r="H140" s="1092"/>
      <c r="I140" s="2645" t="s">
        <v>2632</v>
      </c>
      <c r="J140" s="315">
        <f>ROUNDUP((J139-1)/2,0)</f>
        <v>10</v>
      </c>
      <c r="K140" s="1093">
        <v>100</v>
      </c>
    </row>
    <row r="141" spans="1:17" ht="15">
      <c r="B141" s="1088">
        <v>4</v>
      </c>
      <c r="C141" s="1089">
        <v>102</v>
      </c>
      <c r="D141" s="1089"/>
      <c r="E141" s="1090"/>
      <c r="F141" s="1091">
        <v>101.5</v>
      </c>
      <c r="G141" s="1089"/>
      <c r="H141" s="1092"/>
      <c r="I141" s="2645" t="s">
        <v>2633</v>
      </c>
      <c r="J141" s="315">
        <v>1</v>
      </c>
      <c r="K141" s="1094">
        <f>ROUND(100+(J141-J140)*K139*100,1)</f>
        <v>96.4</v>
      </c>
    </row>
    <row r="142" spans="1:17" ht="15">
      <c r="B142" s="1088">
        <v>3</v>
      </c>
      <c r="C142" s="1089">
        <v>103</v>
      </c>
      <c r="D142" s="1089"/>
      <c r="E142" s="1090"/>
      <c r="F142" s="1091">
        <v>101</v>
      </c>
      <c r="G142" s="1089"/>
      <c r="H142" s="1092"/>
      <c r="I142" s="2645" t="s">
        <v>2634</v>
      </c>
      <c r="J142" s="315">
        <f>J139</f>
        <v>20</v>
      </c>
      <c r="K142" s="1095">
        <v>95</v>
      </c>
    </row>
    <row r="143" spans="1:17" ht="15">
      <c r="B143" s="1088">
        <v>2</v>
      </c>
      <c r="C143" s="1089">
        <v>100</v>
      </c>
      <c r="D143" s="1089"/>
      <c r="E143" s="1090"/>
      <c r="F143" s="1091">
        <v>100.5</v>
      </c>
      <c r="G143" s="1089"/>
      <c r="H143" s="1092"/>
      <c r="I143" s="2645" t="s">
        <v>2635</v>
      </c>
      <c r="J143" s="1089">
        <v>15</v>
      </c>
      <c r="K143" s="1094">
        <f>ROUND(100+(J143-J140)*K139*100,1)</f>
        <v>102</v>
      </c>
    </row>
    <row r="144" spans="1:17" ht="15">
      <c r="B144" s="1088">
        <v>1</v>
      </c>
      <c r="C144" s="1089">
        <v>98</v>
      </c>
      <c r="D144" s="2646" t="s">
        <v>2636</v>
      </c>
      <c r="E144" s="1090">
        <v>102</v>
      </c>
      <c r="F144" s="1096">
        <v>100</v>
      </c>
      <c r="G144" s="2646" t="s">
        <v>2636</v>
      </c>
      <c r="H144" s="1092">
        <v>105</v>
      </c>
      <c r="I144" s="2645" t="s">
        <v>2635</v>
      </c>
      <c r="J144" s="1089">
        <v>18</v>
      </c>
      <c r="K144" s="1094">
        <f>ROUND(100+(J144-J140)*K139*100,1)</f>
        <v>103.2</v>
      </c>
    </row>
    <row r="145" spans="2:11" ht="15.75" thickBot="1">
      <c r="B145" s="2647" t="s">
        <v>2637</v>
      </c>
      <c r="C145" s="1097">
        <f>ROUND(MAX(C139:C144)/MIN(C139:C144)-1,3)</f>
        <v>7.2999999999999995E-2</v>
      </c>
      <c r="D145" s="1098"/>
      <c r="E145" s="1098"/>
      <c r="F145" s="2648" t="s">
        <v>2638</v>
      </c>
      <c r="G145" s="2649"/>
      <c r="H145" s="2650"/>
      <c r="I145" s="2651" t="s">
        <v>2635</v>
      </c>
      <c r="J145" s="1099">
        <v>8</v>
      </c>
      <c r="K145" s="1100">
        <f>ROUND(100+(J145-J140)*K139*100,1)</f>
        <v>99.2</v>
      </c>
    </row>
    <row r="147" spans="2:11">
      <c r="B147" s="2632" t="s">
        <v>2639</v>
      </c>
    </row>
    <row r="148" spans="2:11">
      <c r="B148" s="263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7" t="s">
        <v>2641</v>
      </c>
      <c r="C1" s="1631" t="s">
        <v>2529</v>
      </c>
      <c r="D1" s="1618"/>
      <c r="E1" s="2652"/>
      <c r="F1" s="2579"/>
      <c r="G1" s="1628" t="s">
        <v>2642</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2329</v>
      </c>
      <c r="B2" s="1416" t="e">
        <f ca="1">IF(C2="——",ROUND(C49*D3/10000,0),ROUND(C49*D3/10000,0)-D2)</f>
        <v>#DIV/0!</v>
      </c>
      <c r="C2" s="2581"/>
      <c r="D2" s="1363" t="e">
        <f ca="1">SUMIF(INDIRECT("'"&amp;F2&amp;"'"&amp;"!A:A"),"承租人权益价值",INDIRECT("'"&amp;F2&amp;"'"&amp;"!c:c"))</f>
        <v>#REF!</v>
      </c>
      <c r="E2" s="2582" t="s">
        <v>2330</v>
      </c>
      <c r="F2" s="2583"/>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8" customFormat="1" ht="28.5" customHeight="1" thickBot="1">
      <c r="A3" s="247" t="s">
        <v>2331</v>
      </c>
      <c r="B3" s="608" t="e">
        <f ca="1">IF(C2="——",C49,ROUND(B2*10000/D3,0))</f>
        <v>#DIV/0!</v>
      </c>
      <c r="C3" s="400" t="s">
        <v>2643</v>
      </c>
      <c r="D3" s="399">
        <f>IF(D1="",'数据-汇总表'!E3,SUMIF('数据-汇总表'!$C19:$C33,D1,'数据-汇总表'!$E19:$E33))</f>
        <v>22318.329999999998</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219" t="s">
        <v>2647</v>
      </c>
      <c r="AC4" s="3189" t="s">
        <v>2648</v>
      </c>
    </row>
    <row r="5" spans="1:29" ht="15">
      <c r="A5" s="404"/>
      <c r="B5" s="405"/>
      <c r="C5" s="3200" t="s">
        <v>2541</v>
      </c>
      <c r="D5" s="3201"/>
      <c r="E5" s="3198" t="s">
        <v>2542</v>
      </c>
      <c r="F5" s="3199"/>
      <c r="G5" s="3200" t="s">
        <v>2543</v>
      </c>
      <c r="H5" s="3201"/>
      <c r="I5" s="3200" t="s">
        <v>2544</v>
      </c>
      <c r="J5" s="3201"/>
      <c r="K5" s="609"/>
      <c r="L5" s="1128"/>
      <c r="M5" s="1129"/>
      <c r="N5" s="1129"/>
      <c r="O5" s="1129"/>
      <c r="P5" s="3213"/>
      <c r="Q5" s="3214"/>
      <c r="R5" s="3196"/>
      <c r="S5" s="3197"/>
      <c r="T5" s="3196"/>
      <c r="U5" s="3197"/>
      <c r="V5" s="3219"/>
      <c r="W5" s="3219"/>
      <c r="X5" s="1810"/>
      <c r="Y5" s="3196"/>
      <c r="Z5" s="3197"/>
      <c r="AA5" s="3190"/>
      <c r="AB5" s="3219"/>
      <c r="AC5" s="3190"/>
    </row>
    <row r="6" spans="1:29" ht="15.75" thickBot="1">
      <c r="A6" s="406"/>
      <c r="B6" s="407"/>
      <c r="C6" s="3202" t="s">
        <v>2545</v>
      </c>
      <c r="D6" s="3203"/>
      <c r="E6" s="3204" t="s">
        <v>2545</v>
      </c>
      <c r="F6" s="3205"/>
      <c r="G6" s="3202" t="s">
        <v>2545</v>
      </c>
      <c r="H6" s="3203"/>
      <c r="I6" s="3202" t="s">
        <v>2545</v>
      </c>
      <c r="J6" s="3203"/>
      <c r="K6" s="609" t="s">
        <v>2546</v>
      </c>
      <c r="L6" s="1128"/>
      <c r="M6" s="1129"/>
      <c r="N6" s="1129"/>
      <c r="O6" s="1129"/>
      <c r="P6" s="3215"/>
      <c r="Q6" s="3216"/>
      <c r="R6" s="3196"/>
      <c r="S6" s="3197"/>
      <c r="T6" s="3217"/>
      <c r="U6" s="3218"/>
      <c r="V6" s="3219"/>
      <c r="W6" s="3219"/>
      <c r="X6" s="1810"/>
      <c r="Y6" s="3217"/>
      <c r="Z6" s="3218"/>
      <c r="AA6" s="3191"/>
      <c r="AB6" s="3219"/>
      <c r="AC6" s="3191"/>
    </row>
    <row r="7" spans="1:29" s="117" customFormat="1" ht="15.75" thickBot="1">
      <c r="A7" s="408" t="s">
        <v>2547</v>
      </c>
      <c r="B7" s="409"/>
      <c r="C7" s="410">
        <f>'数据-取费表'!B2</f>
        <v>43539</v>
      </c>
      <c r="D7" s="411">
        <v>100</v>
      </c>
      <c r="E7" s="412"/>
      <c r="F7" s="413">
        <f>SUMIF(58:58,YEAR(E7)&amp;"-"&amp;MONTH(E7),59:59)</f>
        <v>0</v>
      </c>
      <c r="G7" s="412"/>
      <c r="H7" s="411">
        <f>SUMIF(58:58,YEAR(G7)&amp;"-"&amp;MONTH(G7),59:59)</f>
        <v>0</v>
      </c>
      <c r="I7" s="412"/>
      <c r="J7" s="411">
        <f>SUMIF(58:58,YEAR(I7)&amp;"-"&amp;MONTH(I7),59:59)</f>
        <v>0</v>
      </c>
      <c r="K7" s="610"/>
      <c r="L7" s="1130"/>
      <c r="M7" s="1131"/>
      <c r="N7" s="1131"/>
      <c r="O7" s="1131"/>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0"/>
      <c r="L8" s="1130"/>
      <c r="M8" s="1131"/>
      <c r="N8" s="1131"/>
      <c r="O8" s="1131"/>
      <c r="P8" s="3192" t="s">
        <v>2551</v>
      </c>
      <c r="Q8" s="3193"/>
      <c r="R8" s="769" t="s">
        <v>17</v>
      </c>
      <c r="S8" s="770">
        <f t="shared" si="0"/>
        <v>0</v>
      </c>
      <c r="T8" s="769" t="s">
        <v>17</v>
      </c>
      <c r="U8" s="770">
        <f t="shared" si="1"/>
        <v>0</v>
      </c>
      <c r="V8" s="769" t="s">
        <v>17</v>
      </c>
      <c r="W8" s="770">
        <f t="shared" si="2"/>
        <v>0</v>
      </c>
      <c r="X8" s="771"/>
      <c r="Y8" s="3192" t="s">
        <v>2551</v>
      </c>
      <c r="Z8" s="3193"/>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0"/>
      <c r="L9" s="1130"/>
      <c r="M9" s="1131"/>
      <c r="N9" s="1131"/>
      <c r="O9" s="1131"/>
      <c r="P9" s="3230"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611"/>
      <c r="L10" s="1133"/>
      <c r="M10" s="1134"/>
      <c r="N10" s="1134"/>
      <c r="O10" s="1134"/>
      <c r="P10" s="3230"/>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6"/>
      <c r="M11" s="1129"/>
      <c r="N11" s="1129"/>
      <c r="O11" s="1129"/>
      <c r="P11" s="3230"/>
      <c r="Q11" s="1792"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0"/>
      <c r="M12" s="1131"/>
      <c r="N12" s="1131"/>
      <c r="O12" s="1131"/>
      <c r="P12" s="3230"/>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0"/>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0"/>
      <c r="Q14" s="1792">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71.25">
      <c r="A15" s="439" t="s">
        <v>2558</v>
      </c>
      <c r="B15" s="69" t="s">
        <v>2652</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8" t="s">
        <v>2559</v>
      </c>
      <c r="Q15" s="1807" t="str">
        <f t="shared" si="6"/>
        <v>商业繁华度</v>
      </c>
      <c r="R15" s="773" t="s">
        <v>17</v>
      </c>
      <c r="S15" s="774">
        <f t="shared" si="0"/>
        <v>100</v>
      </c>
      <c r="T15" s="773" t="s">
        <v>17</v>
      </c>
      <c r="U15" s="774">
        <f t="shared" si="1"/>
        <v>100</v>
      </c>
      <c r="V15" s="773" t="s">
        <v>17</v>
      </c>
      <c r="W15" s="774">
        <f t="shared" si="2"/>
        <v>100</v>
      </c>
      <c r="X15" s="1810"/>
      <c r="Y15" s="3221" t="s">
        <v>2559</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269"/>
      <c r="Q16" s="1807"/>
      <c r="R16" s="773"/>
      <c r="S16" s="774"/>
      <c r="T16" s="773"/>
      <c r="U16" s="774"/>
      <c r="V16" s="773"/>
      <c r="W16" s="774"/>
      <c r="X16" s="1810"/>
      <c r="Y16" s="3222"/>
      <c r="Z16" s="1811"/>
      <c r="AA16" s="1808">
        <v>1</v>
      </c>
      <c r="AB16" s="1808">
        <v>1</v>
      </c>
      <c r="AC16" s="1808">
        <v>1</v>
      </c>
    </row>
    <row r="17" spans="1:29" ht="85.5">
      <c r="A17" s="427"/>
      <c r="B17" s="450" t="s">
        <v>2097</v>
      </c>
      <c r="C17" s="260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9"/>
      <c r="Q17" s="1807" t="str">
        <f>B17</f>
        <v>交通便捷度</v>
      </c>
      <c r="R17" s="773" t="s">
        <v>17</v>
      </c>
      <c r="S17" s="774">
        <f>F17</f>
        <v>100</v>
      </c>
      <c r="T17" s="773" t="s">
        <v>17</v>
      </c>
      <c r="U17" s="774">
        <f>H17</f>
        <v>100</v>
      </c>
      <c r="V17" s="773" t="s">
        <v>17</v>
      </c>
      <c r="W17" s="774">
        <f>J17</f>
        <v>100</v>
      </c>
      <c r="X17" s="1810"/>
      <c r="Y17" s="3222"/>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8"/>
      <c r="M18" s="1129"/>
      <c r="N18" s="1129"/>
      <c r="O18" s="1129"/>
      <c r="P18" s="3269"/>
      <c r="Q18" s="1807"/>
      <c r="R18" s="773"/>
      <c r="S18" s="774"/>
      <c r="T18" s="773"/>
      <c r="U18" s="774"/>
      <c r="V18" s="773"/>
      <c r="W18" s="774"/>
      <c r="X18" s="1810"/>
      <c r="Y18" s="3222"/>
      <c r="Z18" s="1811"/>
      <c r="AA18" s="1808">
        <v>1</v>
      </c>
      <c r="AB18" s="1808">
        <v>1</v>
      </c>
      <c r="AC18" s="1808">
        <v>1</v>
      </c>
    </row>
    <row r="19" spans="1:29" ht="42.75">
      <c r="A19" s="427"/>
      <c r="B19" s="450" t="s">
        <v>2653</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9"/>
      <c r="Q19" s="1807" t="str">
        <f>B19</f>
        <v>公共配套设施</v>
      </c>
      <c r="R19" s="773" t="s">
        <v>17</v>
      </c>
      <c r="S19" s="774">
        <f>F19</f>
        <v>100</v>
      </c>
      <c r="T19" s="773" t="s">
        <v>17</v>
      </c>
      <c r="U19" s="774">
        <f>H19</f>
        <v>100</v>
      </c>
      <c r="V19" s="773" t="s">
        <v>17</v>
      </c>
      <c r="W19" s="774">
        <f>J19</f>
        <v>100</v>
      </c>
      <c r="X19" s="1810"/>
      <c r="Y19" s="3222"/>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8"/>
      <c r="M20" s="1129"/>
      <c r="N20" s="1129"/>
      <c r="O20" s="1129"/>
      <c r="P20" s="3269"/>
      <c r="Q20" s="1807"/>
      <c r="R20" s="773"/>
      <c r="S20" s="774"/>
      <c r="T20" s="773"/>
      <c r="U20" s="774"/>
      <c r="V20" s="773"/>
      <c r="W20" s="774"/>
      <c r="X20" s="1810"/>
      <c r="Y20" s="3222"/>
      <c r="Z20" s="1811"/>
      <c r="AA20" s="1808">
        <v>1</v>
      </c>
      <c r="AB20" s="1808">
        <v>1</v>
      </c>
      <c r="AC20" s="1808">
        <v>1</v>
      </c>
    </row>
    <row r="21" spans="1:29" ht="28.5">
      <c r="A21" s="427"/>
      <c r="B21" s="1382" t="s">
        <v>2654</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9"/>
      <c r="Q21" s="1807" t="str">
        <f>B21</f>
        <v>基础设施水平</v>
      </c>
      <c r="R21" s="773" t="s">
        <v>17</v>
      </c>
      <c r="S21" s="774">
        <f>F21</f>
        <v>100</v>
      </c>
      <c r="T21" s="773" t="s">
        <v>17</v>
      </c>
      <c r="U21" s="774">
        <f>H21</f>
        <v>100</v>
      </c>
      <c r="V21" s="773" t="s">
        <v>17</v>
      </c>
      <c r="W21" s="774">
        <f>J21</f>
        <v>100</v>
      </c>
      <c r="X21" s="1810"/>
      <c r="Y21" s="3222"/>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8"/>
      <c r="G22" s="446"/>
      <c r="H22" s="447"/>
      <c r="I22" s="446"/>
      <c r="J22" s="447"/>
      <c r="K22" s="1381"/>
      <c r="L22" s="1138"/>
      <c r="M22" s="1129"/>
      <c r="N22" s="1129"/>
      <c r="O22" s="1129"/>
      <c r="P22" s="3269"/>
      <c r="Q22" s="1807"/>
      <c r="R22" s="773"/>
      <c r="S22" s="774"/>
      <c r="T22" s="773"/>
      <c r="U22" s="774"/>
      <c r="V22" s="773"/>
      <c r="W22" s="774"/>
      <c r="X22" s="1810"/>
      <c r="Y22" s="3222"/>
      <c r="Z22" s="1811"/>
      <c r="AA22" s="1808">
        <v>1</v>
      </c>
      <c r="AB22" s="1808">
        <v>1</v>
      </c>
      <c r="AC22" s="1808">
        <v>1</v>
      </c>
    </row>
    <row r="23" spans="1:29" ht="57">
      <c r="A23" s="427"/>
      <c r="B23" s="450" t="s">
        <v>2102</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9"/>
      <c r="Q23" s="1807" t="str">
        <f>B23</f>
        <v>自然及人文环境</v>
      </c>
      <c r="R23" s="773" t="s">
        <v>17</v>
      </c>
      <c r="S23" s="774">
        <f>F23</f>
        <v>100</v>
      </c>
      <c r="T23" s="773" t="s">
        <v>17</v>
      </c>
      <c r="U23" s="774">
        <f>H23</f>
        <v>100</v>
      </c>
      <c r="V23" s="773" t="s">
        <v>17</v>
      </c>
      <c r="W23" s="774">
        <f>J23</f>
        <v>100</v>
      </c>
      <c r="X23" s="1810"/>
      <c r="Y23" s="3222"/>
      <c r="Z23" s="1811" t="str">
        <f>Q23</f>
        <v>自然及人文环境</v>
      </c>
      <c r="AA23" s="1808">
        <f t="shared" si="3"/>
        <v>1</v>
      </c>
      <c r="AB23" s="1808">
        <f t="shared" si="4"/>
        <v>1</v>
      </c>
      <c r="AC23" s="1808">
        <f t="shared" si="5"/>
        <v>1</v>
      </c>
    </row>
    <row r="24" spans="1:29" ht="15">
      <c r="A24" s="427"/>
      <c r="B24" s="455"/>
      <c r="C24" s="446"/>
      <c r="D24" s="447"/>
      <c r="E24" s="2600"/>
      <c r="F24" s="448"/>
      <c r="G24" s="2599"/>
      <c r="H24" s="447"/>
      <c r="I24" s="2600"/>
      <c r="J24" s="447"/>
      <c r="K24" s="614"/>
      <c r="L24" s="1138"/>
      <c r="M24" s="1129"/>
      <c r="N24" s="1129"/>
      <c r="O24" s="1129"/>
      <c r="P24" s="3269"/>
      <c r="Q24" s="1807"/>
      <c r="R24" s="773"/>
      <c r="S24" s="774"/>
      <c r="T24" s="773"/>
      <c r="U24" s="774"/>
      <c r="V24" s="773"/>
      <c r="W24" s="774"/>
      <c r="X24" s="1810"/>
      <c r="Y24" s="3222"/>
      <c r="Z24" s="1811"/>
      <c r="AA24" s="1808">
        <v>1</v>
      </c>
      <c r="AB24" s="1808">
        <v>1</v>
      </c>
      <c r="AC24" s="1808">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9"/>
      <c r="Q25" s="1807" t="str">
        <f t="shared" ref="Q25:Q46" si="11">B25</f>
        <v>临街状况</v>
      </c>
      <c r="R25" s="773" t="s">
        <v>17</v>
      </c>
      <c r="S25" s="774">
        <f>F25</f>
        <v>100</v>
      </c>
      <c r="T25" s="773" t="s">
        <v>17</v>
      </c>
      <c r="U25" s="774">
        <f>H25</f>
        <v>100</v>
      </c>
      <c r="V25" s="773" t="s">
        <v>17</v>
      </c>
      <c r="W25" s="774">
        <f>J25</f>
        <v>100</v>
      </c>
      <c r="X25" s="1810"/>
      <c r="Y25" s="3222"/>
      <c r="Z25" s="1811" t="str">
        <f>Q25</f>
        <v>临街状况</v>
      </c>
      <c r="AA25" s="1808">
        <f t="shared" si="3"/>
        <v>1</v>
      </c>
      <c r="AB25" s="1808">
        <f t="shared" si="4"/>
        <v>1</v>
      </c>
      <c r="AC25" s="1808">
        <f t="shared" si="5"/>
        <v>1</v>
      </c>
    </row>
    <row r="26" spans="1:29" ht="15">
      <c r="A26" s="427"/>
      <c r="B26" s="1384" t="s">
        <v>2656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9"/>
      <c r="Q26" s="1807" t="str">
        <f t="shared" si="11"/>
        <v>平面位置/可视性</v>
      </c>
      <c r="R26" s="773" t="s">
        <v>17</v>
      </c>
      <c r="S26" s="774">
        <f>F26</f>
        <v>100</v>
      </c>
      <c r="T26" s="773" t="s">
        <v>17</v>
      </c>
      <c r="U26" s="774">
        <f>H26</f>
        <v>100</v>
      </c>
      <c r="V26" s="773" t="s">
        <v>17</v>
      </c>
      <c r="W26" s="774">
        <f>J26</f>
        <v>100</v>
      </c>
      <c r="X26" s="1810"/>
      <c r="Y26" s="3222"/>
      <c r="Z26" s="1811" t="str">
        <f>Q26</f>
        <v>平面位置/可视性</v>
      </c>
      <c r="AA26" s="1808">
        <f t="shared" si="3"/>
        <v>1</v>
      </c>
      <c r="AB26" s="1808">
        <f t="shared" si="4"/>
        <v>1</v>
      </c>
      <c r="AC26" s="1808">
        <f t="shared" si="5"/>
        <v>1</v>
      </c>
    </row>
    <row r="27" spans="1:29" s="117" customFormat="1" ht="15">
      <c r="A27" s="430"/>
      <c r="B27" s="450" t="s">
        <v>2657</v>
      </c>
      <c r="C27" s="2660"/>
      <c r="D27" s="461">
        <v>100</v>
      </c>
      <c r="E27" s="2660"/>
      <c r="F27" s="463">
        <f>SUMIF(90:90,E27,91:91)-SUMIF(90:90,C27,91:91)+100</f>
        <v>100</v>
      </c>
      <c r="G27" s="2660"/>
      <c r="H27" s="461">
        <f>SUMIF(90:90,G27,91:91)-SUMIF(90:90,C27,91:91)+100</f>
        <v>100</v>
      </c>
      <c r="I27" s="2660"/>
      <c r="J27" s="461">
        <f>SUMIF(90:90,I27,91:91)-SUMIF(90:90,C27,91:91)+100</f>
        <v>100</v>
      </c>
      <c r="K27" s="611"/>
      <c r="L27" s="1130"/>
      <c r="M27" s="1131"/>
      <c r="N27" s="1131"/>
      <c r="O27" s="1131"/>
      <c r="P27" s="3269"/>
      <c r="Q27" s="1792" t="str">
        <f t="shared" si="11"/>
        <v>人流量</v>
      </c>
      <c r="R27" s="769" t="s">
        <v>17</v>
      </c>
      <c r="S27" s="770">
        <f>F27</f>
        <v>100</v>
      </c>
      <c r="T27" s="769" t="s">
        <v>17</v>
      </c>
      <c r="U27" s="770">
        <f>H27</f>
        <v>100</v>
      </c>
      <c r="V27" s="769" t="s">
        <v>17</v>
      </c>
      <c r="W27" s="770">
        <f>J27</f>
        <v>100</v>
      </c>
      <c r="X27" s="771"/>
      <c r="Y27" s="3222"/>
      <c r="Z27" s="55" t="str">
        <f>Q27</f>
        <v>人流量</v>
      </c>
      <c r="AA27" s="1808">
        <f>D27/F27</f>
        <v>1</v>
      </c>
      <c r="AB27" s="1808">
        <f>D27/H27</f>
        <v>1</v>
      </c>
      <c r="AC27" s="1808">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9"/>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22"/>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9"/>
      <c r="Q29" s="1807">
        <f t="shared" si="11"/>
        <v>111</v>
      </c>
      <c r="R29" s="773" t="s">
        <v>17</v>
      </c>
      <c r="S29" s="774">
        <f t="shared" si="12"/>
        <v>100</v>
      </c>
      <c r="T29" s="773" t="s">
        <v>17</v>
      </c>
      <c r="U29" s="774">
        <f t="shared" si="13"/>
        <v>100</v>
      </c>
      <c r="V29" s="773" t="s">
        <v>17</v>
      </c>
      <c r="W29" s="774">
        <f t="shared" si="14"/>
        <v>100</v>
      </c>
      <c r="X29" s="1810"/>
      <c r="Y29" s="3222"/>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9"/>
      <c r="Q30" s="1807">
        <f t="shared" si="11"/>
        <v>111</v>
      </c>
      <c r="R30" s="773" t="s">
        <v>17</v>
      </c>
      <c r="S30" s="774">
        <f t="shared" si="12"/>
        <v>100</v>
      </c>
      <c r="T30" s="773" t="s">
        <v>17</v>
      </c>
      <c r="U30" s="774">
        <f t="shared" si="13"/>
        <v>100</v>
      </c>
      <c r="V30" s="773" t="s">
        <v>17</v>
      </c>
      <c r="W30" s="774">
        <f t="shared" si="14"/>
        <v>100</v>
      </c>
      <c r="X30" s="1810"/>
      <c r="Y30" s="3222"/>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9"/>
      <c r="Q31" s="1807">
        <f t="shared" si="11"/>
        <v>111</v>
      </c>
      <c r="R31" s="773" t="s">
        <v>17</v>
      </c>
      <c r="S31" s="774">
        <f t="shared" si="12"/>
        <v>100</v>
      </c>
      <c r="T31" s="773" t="s">
        <v>17</v>
      </c>
      <c r="U31" s="774">
        <f t="shared" si="13"/>
        <v>100</v>
      </c>
      <c r="V31" s="773" t="s">
        <v>17</v>
      </c>
      <c r="W31" s="774">
        <f t="shared" si="14"/>
        <v>100</v>
      </c>
      <c r="X31" s="1810"/>
      <c r="Y31" s="3222"/>
      <c r="Z31" s="1811">
        <f t="shared" si="15"/>
        <v>111</v>
      </c>
      <c r="AA31" s="1808">
        <f t="shared" si="3"/>
        <v>1</v>
      </c>
      <c r="AB31" s="1808">
        <f t="shared" si="4"/>
        <v>1</v>
      </c>
      <c r="AC31" s="1808">
        <f t="shared" si="5"/>
        <v>1</v>
      </c>
    </row>
    <row r="32" spans="1:29" ht="15">
      <c r="A32" s="439" t="s">
        <v>2562</v>
      </c>
      <c r="B32" s="71" t="s">
        <v>2659</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8"/>
      <c r="M32" s="1129"/>
      <c r="N32" s="1129"/>
      <c r="O32" s="1129"/>
      <c r="P32" s="3264" t="s">
        <v>2564</v>
      </c>
      <c r="Q32" s="1807" t="str">
        <f t="shared" si="11"/>
        <v>商业类型</v>
      </c>
      <c r="R32" s="773" t="s">
        <v>17</v>
      </c>
      <c r="S32" s="774">
        <f t="shared" si="12"/>
        <v>100</v>
      </c>
      <c r="T32" s="773" t="s">
        <v>17</v>
      </c>
      <c r="U32" s="774">
        <f t="shared" si="13"/>
        <v>100</v>
      </c>
      <c r="V32" s="773" t="s">
        <v>17</v>
      </c>
      <c r="W32" s="774">
        <f t="shared" si="14"/>
        <v>100</v>
      </c>
      <c r="X32" s="1810"/>
      <c r="Y32" s="3224" t="s">
        <v>2564</v>
      </c>
      <c r="Z32" s="1811" t="str">
        <f t="shared" si="15"/>
        <v>商业类型</v>
      </c>
      <c r="AA32" s="1808">
        <f t="shared" si="3"/>
        <v>1</v>
      </c>
      <c r="AB32" s="1808">
        <f t="shared" si="4"/>
        <v>1</v>
      </c>
      <c r="AC32" s="1808">
        <f t="shared" si="5"/>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6"/>
      <c r="M33" s="1139"/>
      <c r="N33" s="1139"/>
      <c r="O33" s="1139"/>
      <c r="P33" s="3265"/>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08" t="e">
        <f t="shared" si="3"/>
        <v>#N/A</v>
      </c>
      <c r="AB33" s="1808" t="e">
        <f t="shared" si="4"/>
        <v>#N/A</v>
      </c>
      <c r="AC33" s="1808" t="e">
        <f t="shared" si="5"/>
        <v>#N/A</v>
      </c>
    </row>
    <row r="34" spans="1:29" ht="15">
      <c r="A34" s="471"/>
      <c r="B34" s="421" t="s">
        <v>2566</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8"/>
      <c r="M34" s="1129"/>
      <c r="N34" s="1129"/>
      <c r="O34" s="1129"/>
      <c r="P34" s="3265"/>
      <c r="Q34" s="1807" t="str">
        <f t="shared" si="11"/>
        <v>建筑结构</v>
      </c>
      <c r="R34" s="773" t="s">
        <v>17</v>
      </c>
      <c r="S34" s="774">
        <f t="shared" si="12"/>
        <v>100</v>
      </c>
      <c r="T34" s="773" t="s">
        <v>17</v>
      </c>
      <c r="U34" s="774">
        <f t="shared" si="13"/>
        <v>100</v>
      </c>
      <c r="V34" s="773" t="s">
        <v>17</v>
      </c>
      <c r="W34" s="774">
        <f t="shared" si="14"/>
        <v>100</v>
      </c>
      <c r="X34" s="1810"/>
      <c r="Y34" s="3224"/>
      <c r="Z34" s="1811" t="str">
        <f t="shared" si="15"/>
        <v>建筑结构</v>
      </c>
      <c r="AA34" s="1808">
        <f t="shared" si="3"/>
        <v>1</v>
      </c>
      <c r="AB34" s="1808">
        <f t="shared" si="4"/>
        <v>1</v>
      </c>
      <c r="AC34" s="1808">
        <f t="shared" si="5"/>
        <v>1</v>
      </c>
    </row>
    <row r="35" spans="1:29" ht="15">
      <c r="A35" s="471"/>
      <c r="B35" s="421" t="s">
        <v>2660</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8"/>
      <c r="M35" s="1129"/>
      <c r="N35" s="1129"/>
      <c r="O35" s="1129"/>
      <c r="P35" s="3265"/>
      <c r="Q35" s="1807" t="str">
        <f t="shared" si="11"/>
        <v>公共部分装修</v>
      </c>
      <c r="R35" s="773" t="s">
        <v>17</v>
      </c>
      <c r="S35" s="774">
        <f t="shared" si="12"/>
        <v>100</v>
      </c>
      <c r="T35" s="773" t="s">
        <v>17</v>
      </c>
      <c r="U35" s="774">
        <f t="shared" si="13"/>
        <v>100</v>
      </c>
      <c r="V35" s="773" t="s">
        <v>17</v>
      </c>
      <c r="W35" s="774">
        <f t="shared" si="14"/>
        <v>100</v>
      </c>
      <c r="X35" s="1810"/>
      <c r="Y35" s="3224"/>
      <c r="Z35" s="1811" t="str">
        <f t="shared" si="15"/>
        <v>公共部分装修</v>
      </c>
      <c r="AA35" s="1808">
        <f t="shared" si="3"/>
        <v>1</v>
      </c>
      <c r="AB35" s="1808">
        <f t="shared" si="4"/>
        <v>1</v>
      </c>
      <c r="AC35" s="1808">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5"/>
      <c r="Q36" s="1807" t="str">
        <f t="shared" si="11"/>
        <v>成新度</v>
      </c>
      <c r="R36" s="773" t="s">
        <v>17</v>
      </c>
      <c r="S36" s="774" t="e">
        <f t="shared" si="12"/>
        <v>#N/A</v>
      </c>
      <c r="T36" s="773" t="s">
        <v>17</v>
      </c>
      <c r="U36" s="774" t="e">
        <f t="shared" si="13"/>
        <v>#N/A</v>
      </c>
      <c r="V36" s="773" t="s">
        <v>17</v>
      </c>
      <c r="W36" s="774" t="e">
        <f t="shared" si="14"/>
        <v>#N/A</v>
      </c>
      <c r="X36" s="1810"/>
      <c r="Y36" s="3224"/>
      <c r="Z36" s="1811" t="str">
        <f t="shared" si="15"/>
        <v>成新度</v>
      </c>
      <c r="AA36" s="1808" t="e">
        <f t="shared" si="3"/>
        <v>#N/A</v>
      </c>
      <c r="AB36" s="1808" t="e">
        <f t="shared" si="4"/>
        <v>#N/A</v>
      </c>
      <c r="AC36" s="1808" t="e">
        <f t="shared" si="5"/>
        <v>#N/A</v>
      </c>
    </row>
    <row r="37" spans="1:29" s="117" customFormat="1" ht="15">
      <c r="A37" s="472"/>
      <c r="B37" s="421" t="s">
        <v>2662</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0"/>
      <c r="M37" s="1131"/>
      <c r="N37" s="1131"/>
      <c r="O37" s="1131"/>
      <c r="P37" s="3265"/>
      <c r="Q37" s="1792" t="str">
        <f t="shared" si="11"/>
        <v>市政基础设施</v>
      </c>
      <c r="R37" s="769" t="s">
        <v>17</v>
      </c>
      <c r="S37" s="770">
        <f t="shared" si="12"/>
        <v>100</v>
      </c>
      <c r="T37" s="769" t="s">
        <v>17</v>
      </c>
      <c r="U37" s="770">
        <f t="shared" si="13"/>
        <v>100</v>
      </c>
      <c r="V37" s="769" t="s">
        <v>17</v>
      </c>
      <c r="W37" s="770">
        <f t="shared" si="14"/>
        <v>100</v>
      </c>
      <c r="X37" s="771"/>
      <c r="Y37" s="3224"/>
      <c r="Z37" s="55" t="str">
        <f t="shared" si="15"/>
        <v>市政基础设施</v>
      </c>
      <c r="AA37" s="772">
        <f t="shared" si="3"/>
        <v>1</v>
      </c>
      <c r="AB37" s="772">
        <f t="shared" si="4"/>
        <v>1</v>
      </c>
      <c r="AC37" s="772">
        <f t="shared" si="5"/>
        <v>1</v>
      </c>
    </row>
    <row r="38" spans="1:29" ht="15">
      <c r="A38" s="471"/>
      <c r="B38" s="421" t="s">
        <v>2663</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8"/>
      <c r="M38" s="1129"/>
      <c r="N38" s="1129"/>
      <c r="O38" s="1129"/>
      <c r="P38" s="3265" t="s">
        <v>2564</v>
      </c>
      <c r="Q38" s="1807" t="str">
        <f t="shared" si="11"/>
        <v>业态</v>
      </c>
      <c r="R38" s="773" t="s">
        <v>17</v>
      </c>
      <c r="S38" s="774">
        <f t="shared" si="12"/>
        <v>100</v>
      </c>
      <c r="T38" s="773" t="s">
        <v>17</v>
      </c>
      <c r="U38" s="774">
        <f t="shared" si="13"/>
        <v>100</v>
      </c>
      <c r="V38" s="773" t="s">
        <v>17</v>
      </c>
      <c r="W38" s="774">
        <f t="shared" si="14"/>
        <v>100</v>
      </c>
      <c r="X38" s="1810"/>
      <c r="Y38" s="3224" t="s">
        <v>2564</v>
      </c>
      <c r="Z38" s="1811" t="str">
        <f t="shared" si="15"/>
        <v>业态</v>
      </c>
      <c r="AA38" s="1808">
        <f t="shared" si="3"/>
        <v>1</v>
      </c>
      <c r="AB38" s="1808">
        <f t="shared" si="4"/>
        <v>1</v>
      </c>
      <c r="AC38" s="1808">
        <f t="shared" si="5"/>
        <v>1</v>
      </c>
    </row>
    <row r="39" spans="1:29" ht="15">
      <c r="A39" s="471"/>
      <c r="B39" s="421" t="s">
        <v>2664</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8"/>
      <c r="M39" s="1129"/>
      <c r="N39" s="1129"/>
      <c r="O39" s="1129"/>
      <c r="P39" s="3265"/>
      <c r="Q39" s="1807" t="str">
        <f t="shared" si="11"/>
        <v>层高</v>
      </c>
      <c r="R39" s="773" t="s">
        <v>17</v>
      </c>
      <c r="S39" s="774">
        <f t="shared" si="12"/>
        <v>100</v>
      </c>
      <c r="T39" s="773" t="s">
        <v>17</v>
      </c>
      <c r="U39" s="774">
        <f t="shared" si="13"/>
        <v>100</v>
      </c>
      <c r="V39" s="773" t="s">
        <v>17</v>
      </c>
      <c r="W39" s="774">
        <f t="shared" si="14"/>
        <v>100</v>
      </c>
      <c r="X39" s="1810"/>
      <c r="Y39" s="3224"/>
      <c r="Z39" s="1811" t="str">
        <f t="shared" si="15"/>
        <v>层高</v>
      </c>
      <c r="AA39" s="1808">
        <f t="shared" si="3"/>
        <v>1</v>
      </c>
      <c r="AB39" s="1808">
        <f t="shared" si="4"/>
        <v>1</v>
      </c>
      <c r="AC39" s="1808">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5"/>
      <c r="Q40" s="1807" t="str">
        <f t="shared" si="11"/>
        <v>单套建筑面积</v>
      </c>
      <c r="R40" s="773" t="s">
        <v>17</v>
      </c>
      <c r="S40" s="774">
        <f t="shared" si="12"/>
        <v>100</v>
      </c>
      <c r="T40" s="773" t="s">
        <v>17</v>
      </c>
      <c r="U40" s="774">
        <f t="shared" si="13"/>
        <v>100</v>
      </c>
      <c r="V40" s="773" t="s">
        <v>17</v>
      </c>
      <c r="W40" s="774">
        <f t="shared" si="14"/>
        <v>100</v>
      </c>
      <c r="X40" s="1810"/>
      <c r="Y40" s="3224"/>
      <c r="Z40" s="1811" t="str">
        <f t="shared" si="15"/>
        <v>单套建筑面积</v>
      </c>
      <c r="AA40" s="1808">
        <f t="shared" si="3"/>
        <v>1</v>
      </c>
      <c r="AB40" s="1808">
        <f t="shared" si="4"/>
        <v>1</v>
      </c>
      <c r="AC40" s="1808">
        <f t="shared" si="5"/>
        <v>1</v>
      </c>
    </row>
    <row r="41" spans="1:29" s="470" customFormat="1" ht="15">
      <c r="A41" s="467"/>
      <c r="B41" s="1809"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5"/>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08">
        <f t="shared" si="3"/>
        <v>1</v>
      </c>
      <c r="AB41" s="1808">
        <f t="shared" si="4"/>
        <v>1</v>
      </c>
      <c r="AC41" s="1808">
        <f t="shared" si="5"/>
        <v>1</v>
      </c>
    </row>
    <row r="42" spans="1:29" ht="15">
      <c r="A42" s="471"/>
      <c r="B42" s="421" t="s">
        <v>2667</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8"/>
      <c r="M42" s="1129"/>
      <c r="N42" s="1129"/>
      <c r="O42" s="1129"/>
      <c r="P42" s="3265"/>
      <c r="Q42" s="1807" t="str">
        <f t="shared" si="11"/>
        <v>内部装修</v>
      </c>
      <c r="R42" s="773" t="s">
        <v>17</v>
      </c>
      <c r="S42" s="774">
        <f t="shared" si="12"/>
        <v>100</v>
      </c>
      <c r="T42" s="773" t="s">
        <v>17</v>
      </c>
      <c r="U42" s="774">
        <f t="shared" si="13"/>
        <v>100</v>
      </c>
      <c r="V42" s="773" t="s">
        <v>17</v>
      </c>
      <c r="W42" s="774">
        <f t="shared" si="14"/>
        <v>100</v>
      </c>
      <c r="X42" s="1810"/>
      <c r="Y42" s="3224"/>
      <c r="Z42" s="1811" t="str">
        <f t="shared" si="15"/>
        <v>内部装修</v>
      </c>
      <c r="AA42" s="1808">
        <f t="shared" si="3"/>
        <v>1</v>
      </c>
      <c r="AB42" s="1808">
        <f t="shared" si="4"/>
        <v>1</v>
      </c>
      <c r="AC42" s="1808">
        <f t="shared" si="5"/>
        <v>1</v>
      </c>
    </row>
    <row r="43" spans="1:29" ht="15">
      <c r="A43" s="471"/>
      <c r="B43" s="421" t="s">
        <v>2575</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8"/>
      <c r="M43" s="1129"/>
      <c r="N43" s="1129"/>
      <c r="O43" s="1129"/>
      <c r="P43" s="3265"/>
      <c r="Q43" s="1807" t="str">
        <f t="shared" si="11"/>
        <v>内部装修维护情况</v>
      </c>
      <c r="R43" s="773" t="s">
        <v>17</v>
      </c>
      <c r="S43" s="774">
        <f t="shared" si="12"/>
        <v>100</v>
      </c>
      <c r="T43" s="773" t="s">
        <v>17</v>
      </c>
      <c r="U43" s="774">
        <f t="shared" si="13"/>
        <v>100</v>
      </c>
      <c r="V43" s="773" t="s">
        <v>17</v>
      </c>
      <c r="W43" s="774">
        <f t="shared" si="14"/>
        <v>100</v>
      </c>
      <c r="X43" s="1810"/>
      <c r="Y43" s="3224"/>
      <c r="Z43" s="1811" t="str">
        <f t="shared" si="15"/>
        <v>内部装修维护情况</v>
      </c>
      <c r="AA43" s="1808">
        <f t="shared" si="3"/>
        <v>1</v>
      </c>
      <c r="AB43" s="1808">
        <f t="shared" si="4"/>
        <v>1</v>
      </c>
      <c r="AC43" s="1808">
        <f t="shared" si="5"/>
        <v>1</v>
      </c>
    </row>
    <row r="44" spans="1:29" s="117" customFormat="1" ht="15">
      <c r="A44" s="472"/>
      <c r="B44" s="1384">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0"/>
      <c r="M44" s="1131"/>
      <c r="N44" s="1131"/>
      <c r="O44" s="1131"/>
      <c r="P44" s="3265"/>
      <c r="Q44" s="1792">
        <f t="shared" si="11"/>
        <v>111</v>
      </c>
      <c r="R44" s="769" t="s">
        <v>17</v>
      </c>
      <c r="S44" s="770">
        <f t="shared" si="12"/>
        <v>100</v>
      </c>
      <c r="T44" s="769" t="s">
        <v>17</v>
      </c>
      <c r="U44" s="770">
        <f t="shared" si="13"/>
        <v>100</v>
      </c>
      <c r="V44" s="769" t="s">
        <v>17</v>
      </c>
      <c r="W44" s="770">
        <f t="shared" si="14"/>
        <v>100</v>
      </c>
      <c r="X44" s="771"/>
      <c r="Y44" s="3224"/>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5"/>
      <c r="Q45" s="1807">
        <f t="shared" si="11"/>
        <v>111</v>
      </c>
      <c r="R45" s="773" t="s">
        <v>17</v>
      </c>
      <c r="S45" s="774">
        <f t="shared" si="12"/>
        <v>100</v>
      </c>
      <c r="T45" s="773" t="s">
        <v>17</v>
      </c>
      <c r="U45" s="774">
        <f t="shared" si="13"/>
        <v>100</v>
      </c>
      <c r="V45" s="773" t="s">
        <v>17</v>
      </c>
      <c r="W45" s="774">
        <f t="shared" si="14"/>
        <v>100</v>
      </c>
      <c r="X45" s="1810"/>
      <c r="Y45" s="3224"/>
      <c r="Z45" s="1811">
        <f t="shared" si="15"/>
        <v>111</v>
      </c>
      <c r="AA45" s="1808">
        <f t="shared" si="3"/>
        <v>1</v>
      </c>
      <c r="AB45" s="1808">
        <f t="shared" si="4"/>
        <v>1</v>
      </c>
      <c r="AC45" s="1808">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6"/>
      <c r="Q46" s="1807">
        <f t="shared" si="11"/>
        <v>111</v>
      </c>
      <c r="R46" s="773" t="s">
        <v>17</v>
      </c>
      <c r="S46" s="774">
        <f t="shared" si="12"/>
        <v>100</v>
      </c>
      <c r="T46" s="773" t="s">
        <v>17</v>
      </c>
      <c r="U46" s="774">
        <f t="shared" si="13"/>
        <v>100</v>
      </c>
      <c r="V46" s="773" t="s">
        <v>17</v>
      </c>
      <c r="W46" s="774">
        <f t="shared" si="14"/>
        <v>100</v>
      </c>
      <c r="X46" s="1810"/>
      <c r="Y46" s="3267"/>
      <c r="Z46" s="1811">
        <f t="shared" si="15"/>
        <v>111</v>
      </c>
      <c r="AA46" s="1808">
        <f t="shared" si="3"/>
        <v>1</v>
      </c>
      <c r="AB46" s="1808">
        <f t="shared" si="4"/>
        <v>1</v>
      </c>
      <c r="AC46" s="1808">
        <f t="shared" si="5"/>
        <v>1</v>
      </c>
    </row>
    <row r="47" spans="1:29" ht="15">
      <c r="A47" s="478" t="s">
        <v>2576</v>
      </c>
      <c r="B47" s="479"/>
      <c r="C47" s="1405" t="s">
        <v>1</v>
      </c>
      <c r="D47" s="1406"/>
      <c r="E47" s="1407"/>
      <c r="F47" s="1408"/>
      <c r="G47" s="1409"/>
      <c r="H47" s="1410"/>
      <c r="I47" s="1407"/>
      <c r="J47" s="1410"/>
      <c r="K47" s="782"/>
      <c r="L47" s="1141"/>
      <c r="M47" s="1142"/>
      <c r="N47" s="1129"/>
      <c r="O47" s="1142"/>
      <c r="P47" s="3206" t="str">
        <f>A47</f>
        <v>成交单价（元/平方米）</v>
      </c>
      <c r="Q47" s="3206"/>
      <c r="R47" s="3219">
        <f>E47</f>
        <v>0</v>
      </c>
      <c r="S47" s="3219"/>
      <c r="T47" s="3219">
        <f>G47</f>
        <v>0</v>
      </c>
      <c r="U47" s="3219"/>
      <c r="V47" s="3219">
        <f>I47</f>
        <v>0</v>
      </c>
      <c r="W47" s="3219"/>
      <c r="X47" s="758"/>
      <c r="Y47" s="780"/>
      <c r="Z47" s="758"/>
      <c r="AA47" s="758"/>
      <c r="AB47" s="758"/>
      <c r="AC47" s="758"/>
    </row>
    <row r="48" spans="1:29" ht="15.75" thickBot="1">
      <c r="A48" s="485" t="s">
        <v>2668</v>
      </c>
      <c r="B48" s="486"/>
      <c r="C48" s="1411" t="e">
        <f>R49</f>
        <v>#DIV/0!</v>
      </c>
      <c r="D48" s="1412"/>
      <c r="E48" s="1413" t="e">
        <f>R48</f>
        <v>#DIV/0!</v>
      </c>
      <c r="F48" s="1413"/>
      <c r="G48" s="1411" t="e">
        <f>T48</f>
        <v>#DIV/0!</v>
      </c>
      <c r="H48" s="1412"/>
      <c r="I48" s="1413" t="e">
        <f>V48</f>
        <v>#DIV/0!</v>
      </c>
      <c r="J48" s="1412"/>
      <c r="K48" s="783"/>
      <c r="L48" s="1141"/>
      <c r="M48" s="1142"/>
      <c r="N48" s="1129"/>
      <c r="O48" s="1142"/>
      <c r="P48" s="3206" t="str">
        <f>A48</f>
        <v>比较价值（元/平方米）</v>
      </c>
      <c r="Q48" s="3206"/>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8"/>
      <c r="Y48" s="758"/>
      <c r="Z48" s="758"/>
      <c r="AA48" s="758"/>
      <c r="AB48" s="758"/>
      <c r="AC48" s="758"/>
    </row>
    <row r="49" spans="1:29" ht="15.75" thickBot="1">
      <c r="A49" s="491" t="s">
        <v>2669</v>
      </c>
      <c r="B49" s="492"/>
      <c r="C49" s="1415" t="e">
        <f>R49</f>
        <v>#DIV/0!</v>
      </c>
      <c r="D49" s="1415"/>
      <c r="E49" s="1415"/>
      <c r="F49" s="1415"/>
      <c r="G49" s="1415"/>
      <c r="H49" s="1415"/>
      <c r="I49" s="1415"/>
      <c r="J49" s="1415"/>
      <c r="K49" s="784"/>
      <c r="L49" s="1141"/>
      <c r="M49" s="1142"/>
      <c r="N49" s="1129"/>
      <c r="O49" s="1142"/>
      <c r="P49" s="3226" t="str">
        <f>A49</f>
        <v>估价对象XX用房的比较价值（楼面单价，元/平方米）</v>
      </c>
      <c r="Q49" s="3227"/>
      <c r="R49" s="3262" t="e">
        <f>IF(F1="售价",ROUND(AVERAGE(R48:V48),0),ROUND(AVERAGE(R48:V48),1))</f>
        <v>#DIV/0!</v>
      </c>
      <c r="S49" s="3262"/>
      <c r="T49" s="3262"/>
      <c r="U49" s="3262"/>
      <c r="V49" s="3262"/>
      <c r="W49" s="3262"/>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1"/>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1"/>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9"/>
      <c r="M57" s="1157"/>
      <c r="N57" s="1157"/>
      <c r="O57" s="1157"/>
      <c r="P57" s="2662"/>
      <c r="Q57" s="2663"/>
      <c r="R57" s="758"/>
      <c r="S57" s="758"/>
      <c r="T57" s="758"/>
      <c r="U57" s="758"/>
      <c r="V57" s="758"/>
      <c r="W57" s="758"/>
      <c r="X57" s="758"/>
      <c r="Y57" s="758"/>
      <c r="Z57" s="758"/>
      <c r="AA57" s="758"/>
      <c r="AB57" s="758"/>
      <c r="AC57" s="758"/>
    </row>
    <row r="58" spans="1:29" s="507" customFormat="1" ht="15">
      <c r="A58" s="504" t="s">
        <v>2547</v>
      </c>
      <c r="B58" s="505"/>
      <c r="C58" s="1571" t="str">
        <f>YEAR(C7)&amp;"-"&amp;MONTH(C7)</f>
        <v>2019-3</v>
      </c>
      <c r="D58" s="1572">
        <f>EDATE(C58,-1)</f>
        <v>43497</v>
      </c>
      <c r="E58" s="1572">
        <f t="shared" ref="E58:N58" si="16">EDATE(D58,-1)</f>
        <v>43466</v>
      </c>
      <c r="F58" s="1572">
        <f t="shared" si="16"/>
        <v>43435</v>
      </c>
      <c r="G58" s="1572">
        <f t="shared" si="16"/>
        <v>43405</v>
      </c>
      <c r="H58" s="1572">
        <f t="shared" si="16"/>
        <v>43374</v>
      </c>
      <c r="I58" s="1572">
        <f t="shared" si="16"/>
        <v>43344</v>
      </c>
      <c r="J58" s="1572">
        <f t="shared" si="16"/>
        <v>43313</v>
      </c>
      <c r="K58" s="1572">
        <f t="shared" si="16"/>
        <v>43282</v>
      </c>
      <c r="L58" s="1572">
        <f t="shared" si="16"/>
        <v>43252</v>
      </c>
      <c r="M58" s="1572">
        <f t="shared" si="16"/>
        <v>43221</v>
      </c>
      <c r="N58" s="1572">
        <f t="shared" si="16"/>
        <v>43191</v>
      </c>
      <c r="O58" s="1572">
        <f>EDATE(N58,-1)</f>
        <v>43160</v>
      </c>
      <c r="P58" s="1567"/>
    </row>
    <row r="59" spans="1:29" s="117" customFormat="1" ht="15">
      <c r="A59" s="508"/>
      <c r="B59" s="509"/>
      <c r="C59" s="1570">
        <v>100</v>
      </c>
      <c r="D59" s="511"/>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2549</v>
      </c>
      <c r="B61" s="509"/>
      <c r="C61" s="521" t="s">
        <v>2651</v>
      </c>
      <c r="D61" s="522"/>
      <c r="E61" s="522"/>
      <c r="F61" s="522"/>
      <c r="G61" s="522"/>
      <c r="H61" s="522"/>
      <c r="I61" s="522"/>
      <c r="J61" s="522"/>
      <c r="K61" s="522"/>
      <c r="L61" s="523"/>
      <c r="M61" s="524"/>
      <c r="N61" s="1149"/>
      <c r="O61" s="1149"/>
      <c r="P61" s="2624"/>
      <c r="Q61" s="503"/>
    </row>
    <row r="62" spans="1:29" s="117"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2587</v>
      </c>
      <c r="B63" s="527" t="s">
        <v>2553</v>
      </c>
      <c r="C63" s="528">
        <f>C9</f>
        <v>0</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5"/>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5"/>
      <c r="Q67" s="503"/>
    </row>
    <row r="68" spans="1:17" ht="15">
      <c r="A68" s="533"/>
      <c r="B68" s="547"/>
      <c r="C68" s="548"/>
      <c r="D68" s="548"/>
      <c r="E68" s="548"/>
      <c r="F68" s="548"/>
      <c r="G68" s="548"/>
      <c r="H68" s="548"/>
      <c r="I68" s="548"/>
      <c r="J68" s="548"/>
      <c r="K68" s="549"/>
      <c r="L68" s="550"/>
      <c r="M68" s="551"/>
      <c r="N68" s="1150"/>
      <c r="O68" s="1150"/>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5"/>
      <c r="Q69" s="503"/>
    </row>
    <row r="70" spans="1:17" s="470" customFormat="1" ht="15.75" thickTop="1">
      <c r="A70" s="552"/>
      <c r="B70" s="537">
        <f>B12</f>
        <v>111</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111</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35"/>
      <c r="E73" s="535"/>
      <c r="F73" s="535"/>
      <c r="G73" s="559"/>
      <c r="H73" s="561"/>
      <c r="I73" s="561"/>
      <c r="J73" s="561"/>
      <c r="K73" s="561"/>
      <c r="L73" s="561"/>
      <c r="M73" s="562"/>
      <c r="N73" s="1152"/>
      <c r="O73" s="1152"/>
      <c r="P73" s="2626"/>
      <c r="Q73" s="558"/>
    </row>
    <row r="74" spans="1:17" s="470" customFormat="1" ht="15.75" thickTop="1">
      <c r="A74" s="552"/>
      <c r="B74" s="545">
        <f>B14</f>
        <v>111</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5"/>
      <c r="Q81" s="503"/>
    </row>
    <row r="82" spans="1:17" ht="15.75" thickTop="1">
      <c r="A82" s="533"/>
      <c r="B82" s="545" t="s">
        <v>2654</v>
      </c>
      <c r="C82" s="659" t="s">
        <v>2674</v>
      </c>
      <c r="D82" s="659" t="s">
        <v>2675</v>
      </c>
      <c r="E82" s="659" t="s">
        <v>2676</v>
      </c>
      <c r="F82" s="659" t="s">
        <v>2677</v>
      </c>
      <c r="G82" s="659" t="s">
        <v>2678</v>
      </c>
      <c r="H82" s="538"/>
      <c r="I82" s="538"/>
      <c r="J82" s="538"/>
      <c r="K82" s="538"/>
      <c r="L82" s="538"/>
      <c r="M82" s="1380"/>
      <c r="N82" s="1151"/>
      <c r="O82" s="1151"/>
      <c r="P82" s="262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5"/>
      <c r="Q85" s="503"/>
    </row>
    <row r="86" spans="1:17" s="117" customFormat="1" ht="15.75" thickTop="1">
      <c r="A86" s="578"/>
      <c r="B86" s="537" t="s">
        <v>2679</v>
      </c>
      <c r="C86" s="553"/>
      <c r="D86" s="553"/>
      <c r="E86" s="553"/>
      <c r="F86" s="553"/>
      <c r="G86" s="553"/>
      <c r="H86" s="553"/>
      <c r="I86" s="553"/>
      <c r="J86" s="553"/>
      <c r="K86" s="553"/>
      <c r="L86" s="579"/>
      <c r="M86" s="580"/>
      <c r="N86" s="1149"/>
      <c r="O86" s="1149"/>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5"/>
      <c r="Q87" s="503"/>
    </row>
    <row r="88" spans="1:17" s="117" customFormat="1" ht="15.75" thickTop="1">
      <c r="A88" s="578"/>
      <c r="B88" s="537" t="str">
        <f>B26</f>
        <v>平面位置/可视性</v>
      </c>
      <c r="C88" s="553"/>
      <c r="D88" s="553"/>
      <c r="E88" s="553"/>
      <c r="F88" s="2630"/>
      <c r="G88" s="553"/>
      <c r="H88" s="553"/>
      <c r="I88" s="553"/>
      <c r="J88" s="553"/>
      <c r="K88" s="553"/>
      <c r="L88" s="553"/>
      <c r="M88" s="580"/>
      <c r="N88" s="1149"/>
      <c r="O88" s="1149"/>
      <c r="P88" s="2625"/>
      <c r="Q88" s="503"/>
    </row>
    <row r="89" spans="1:17" s="117" customFormat="1" ht="15.75" thickBot="1">
      <c r="A89" s="578"/>
      <c r="B89" s="542"/>
      <c r="C89" s="559"/>
      <c r="D89" s="535"/>
      <c r="E89" s="535"/>
      <c r="F89" s="535"/>
      <c r="G89" s="535"/>
      <c r="H89" s="535"/>
      <c r="I89" s="535"/>
      <c r="J89" s="535"/>
      <c r="K89" s="535"/>
      <c r="L89" s="535"/>
      <c r="M89" s="535"/>
      <c r="N89" s="1151"/>
      <c r="O89" s="1151"/>
      <c r="P89" s="2625"/>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6"/>
      <c r="Q91" s="558"/>
    </row>
    <row r="92" spans="1:17" ht="15.75" thickTop="1">
      <c r="A92" s="533"/>
      <c r="B92" s="537" t="str">
        <f>B28</f>
        <v>楼层</v>
      </c>
      <c r="C92" s="553"/>
      <c r="D92" s="553"/>
      <c r="E92" s="553"/>
      <c r="F92" s="553"/>
      <c r="G92" s="553"/>
      <c r="H92" s="553"/>
      <c r="I92" s="553"/>
      <c r="J92" s="553"/>
      <c r="K92" s="553"/>
      <c r="L92" s="579"/>
      <c r="M92" s="580"/>
      <c r="N92" s="1150"/>
      <c r="O92" s="1150"/>
      <c r="P92" s="2625"/>
      <c r="Q92" s="503"/>
    </row>
    <row r="93" spans="1:17" ht="15.75" thickBot="1">
      <c r="A93" s="533"/>
      <c r="B93" s="542"/>
      <c r="C93" s="535"/>
      <c r="D93" s="535"/>
      <c r="E93" s="535"/>
      <c r="F93" s="535"/>
      <c r="G93" s="535"/>
      <c r="H93" s="535"/>
      <c r="I93" s="535"/>
      <c r="J93" s="535"/>
      <c r="K93" s="535"/>
      <c r="L93" s="535"/>
      <c r="M93" s="536"/>
      <c r="N93" s="1151"/>
      <c r="O93" s="1151"/>
      <c r="P93" s="2625"/>
      <c r="Q93" s="503"/>
    </row>
    <row r="94" spans="1:17" ht="15.75" thickTop="1">
      <c r="A94" s="533"/>
      <c r="B94" s="537">
        <f>B29</f>
        <v>111</v>
      </c>
      <c r="C94" s="553"/>
      <c r="D94" s="553"/>
      <c r="E94" s="553"/>
      <c r="F94" s="553"/>
      <c r="G94" s="582"/>
      <c r="H94" s="582"/>
      <c r="I94" s="582"/>
      <c r="J94" s="582"/>
      <c r="K94" s="583"/>
      <c r="L94" s="584"/>
      <c r="M94" s="585"/>
      <c r="N94" s="1150"/>
      <c r="O94" s="1150"/>
      <c r="P94" s="2625"/>
      <c r="Q94" s="503"/>
    </row>
    <row r="95" spans="1:17" ht="15.75" thickBot="1">
      <c r="A95" s="533"/>
      <c r="B95" s="542"/>
      <c r="C95" s="559"/>
      <c r="D95" s="535"/>
      <c r="E95" s="535"/>
      <c r="F95" s="535"/>
      <c r="G95" s="535"/>
      <c r="H95" s="535"/>
      <c r="I95" s="535"/>
      <c r="J95" s="535"/>
      <c r="K95" s="535"/>
      <c r="L95" s="535"/>
      <c r="M95" s="536"/>
      <c r="N95" s="1151"/>
      <c r="O95" s="1151"/>
      <c r="P95" s="2625"/>
      <c r="Q95" s="503"/>
    </row>
    <row r="96" spans="1:17" ht="15.75" thickTop="1">
      <c r="A96" s="533"/>
      <c r="B96" s="537">
        <f>B30</f>
        <v>111</v>
      </c>
      <c r="C96" s="553"/>
      <c r="D96" s="553"/>
      <c r="E96" s="553"/>
      <c r="F96" s="553"/>
      <c r="G96" s="582"/>
      <c r="H96" s="582"/>
      <c r="I96" s="582"/>
      <c r="J96" s="582"/>
      <c r="K96" s="583"/>
      <c r="L96" s="584"/>
      <c r="M96" s="585"/>
      <c r="N96" s="1150"/>
      <c r="O96" s="1150"/>
      <c r="P96" s="2625"/>
      <c r="Q96" s="503"/>
    </row>
    <row r="97" spans="1:17" ht="15.75" thickBot="1">
      <c r="A97" s="533"/>
      <c r="B97" s="542"/>
      <c r="C97" s="559"/>
      <c r="D97" s="535"/>
      <c r="E97" s="535"/>
      <c r="F97" s="535"/>
      <c r="G97" s="535"/>
      <c r="H97" s="535"/>
      <c r="I97" s="535"/>
      <c r="J97" s="535"/>
      <c r="K97" s="535"/>
      <c r="L97" s="535"/>
      <c r="M97" s="536"/>
      <c r="N97" s="1151"/>
      <c r="O97" s="1151"/>
      <c r="P97" s="2625"/>
      <c r="Q97" s="503"/>
    </row>
    <row r="98" spans="1:17" ht="15.75" thickTop="1">
      <c r="A98" s="533"/>
      <c r="B98" s="545">
        <f>B31</f>
        <v>111</v>
      </c>
      <c r="C98" s="553"/>
      <c r="D98" s="553"/>
      <c r="E98" s="553"/>
      <c r="F98" s="553"/>
      <c r="G98" s="586"/>
      <c r="H98" s="586"/>
      <c r="I98" s="586"/>
      <c r="J98" s="586"/>
      <c r="K98" s="587"/>
      <c r="L98" s="588"/>
      <c r="M98" s="589"/>
      <c r="N98" s="1150"/>
      <c r="O98" s="1150"/>
      <c r="P98" s="2625"/>
      <c r="Q98" s="503"/>
    </row>
    <row r="99" spans="1:17" ht="15.75" thickBot="1">
      <c r="A99" s="2631"/>
      <c r="B99" s="568"/>
      <c r="C99" s="569"/>
      <c r="D99" s="569"/>
      <c r="E99" s="569"/>
      <c r="F99" s="569"/>
      <c r="G99" s="590"/>
      <c r="H99" s="590"/>
      <c r="I99" s="590"/>
      <c r="J99" s="590"/>
      <c r="K99" s="590"/>
      <c r="L99" s="590"/>
      <c r="M99" s="591"/>
      <c r="N99" s="1151"/>
      <c r="O99" s="1151"/>
      <c r="P99" s="2625"/>
      <c r="Q99" s="503"/>
    </row>
    <row r="100" spans="1:17">
      <c r="A100" s="526" t="s">
        <v>2562</v>
      </c>
      <c r="B100" s="527" t="s">
        <v>2680</v>
      </c>
      <c r="C100" s="529"/>
      <c r="D100" s="529"/>
      <c r="E100" s="529"/>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5"/>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5"/>
      <c r="Q102" s="503"/>
    </row>
    <row r="103" spans="1:17" s="470" customFormat="1">
      <c r="A103" s="592"/>
      <c r="B103" s="593"/>
      <c r="C103" s="594"/>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6"/>
      <c r="Q104" s="558"/>
    </row>
    <row r="105" spans="1:17" ht="15" thickTop="1">
      <c r="A105" s="598"/>
      <c r="B105" s="537" t="s">
        <v>2613</v>
      </c>
      <c r="C105" s="553"/>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5"/>
      <c r="Q106" s="503"/>
    </row>
    <row r="107" spans="1:17" ht="15" thickTop="1">
      <c r="A107" s="598"/>
      <c r="B107" s="537" t="s">
        <v>2615</v>
      </c>
      <c r="C107" s="553"/>
      <c r="D107" s="553"/>
      <c r="E107" s="553"/>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5"/>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5"/>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5"/>
      <c r="Q111" s="503"/>
    </row>
    <row r="112" spans="1:17" s="470" customFormat="1" ht="15" thickTop="1">
      <c r="A112" s="592"/>
      <c r="B112" s="537" t="s">
        <v>2617</v>
      </c>
      <c r="C112" s="553"/>
      <c r="D112" s="553"/>
      <c r="E112" s="553"/>
      <c r="F112" s="553"/>
      <c r="G112" s="553"/>
      <c r="H112" s="582"/>
      <c r="I112" s="582"/>
      <c r="J112" s="582"/>
      <c r="K112" s="583"/>
      <c r="L112" s="584"/>
      <c r="M112" s="585"/>
      <c r="N112" s="1152"/>
      <c r="O112" s="1152"/>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6"/>
      <c r="Q113" s="558"/>
    </row>
    <row r="114" spans="1:17" ht="15" thickTop="1">
      <c r="A114" s="598"/>
      <c r="B114" s="537" t="s">
        <v>2681</v>
      </c>
      <c r="C114" s="553"/>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5"/>
      <c r="Q115" s="503"/>
    </row>
    <row r="116" spans="1:17" ht="15" thickTop="1">
      <c r="A116" s="598"/>
      <c r="B116" s="537" t="s">
        <v>2682</v>
      </c>
      <c r="C116" s="553"/>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5"/>
      <c r="Q117" s="503"/>
    </row>
    <row r="118" spans="1:17" ht="15" thickTop="1">
      <c r="A118" s="598"/>
      <c r="B118" s="537" t="s">
        <v>2683</v>
      </c>
      <c r="C118" s="626"/>
      <c r="D118" s="626"/>
      <c r="E118" s="626"/>
      <c r="F118" s="626"/>
      <c r="G118" s="626"/>
      <c r="H118" s="554"/>
      <c r="I118" s="554"/>
      <c r="J118" s="554"/>
      <c r="K118" s="554"/>
      <c r="L118" s="555"/>
      <c r="M118" s="556"/>
      <c r="N118" s="1150"/>
      <c r="O118" s="1150"/>
      <c r="P118" s="2625"/>
      <c r="Q118" s="503"/>
    </row>
    <row r="119" spans="1:17" ht="15.75" thickBot="1">
      <c r="A119" s="533"/>
      <c r="B119" s="542"/>
      <c r="C119" s="559"/>
      <c r="D119" s="535"/>
      <c r="E119" s="535"/>
      <c r="F119" s="535"/>
      <c r="G119" s="535"/>
      <c r="H119" s="535"/>
      <c r="I119" s="535"/>
      <c r="J119" s="535"/>
      <c r="K119" s="535"/>
      <c r="L119" s="535"/>
      <c r="M119" s="536"/>
      <c r="N119" s="1151"/>
      <c r="O119" s="1151"/>
      <c r="P119" s="2625"/>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2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6"/>
      <c r="Q121" s="558"/>
    </row>
    <row r="122" spans="1:17" ht="15" thickTop="1">
      <c r="A122" s="598"/>
      <c r="B122" s="537" t="s">
        <v>2619</v>
      </c>
      <c r="C122" s="553"/>
      <c r="D122" s="553"/>
      <c r="E122" s="553"/>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5"/>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111</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35"/>
      <c r="E129" s="535"/>
      <c r="F129" s="535"/>
      <c r="G129" s="535"/>
      <c r="H129" s="535"/>
      <c r="I129" s="535"/>
      <c r="J129" s="535"/>
      <c r="K129" s="535"/>
      <c r="L129" s="535"/>
      <c r="M129" s="536"/>
      <c r="N129" s="1151"/>
      <c r="O129" s="1151"/>
      <c r="P129" s="2625"/>
      <c r="Q129" s="503"/>
    </row>
    <row r="130" spans="1:17" ht="15" thickTop="1">
      <c r="A130" s="598"/>
      <c r="B130" s="545">
        <f>B46</f>
        <v>111</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M27" sqref="M2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1"/>
      <c r="C1" s="1834"/>
      <c r="D1" s="1817"/>
      <c r="E1" s="1818" t="s">
        <v>1387</v>
      </c>
      <c r="F1" s="1281" t="b">
        <f>J53</f>
        <v>0</v>
      </c>
      <c r="G1" s="1833">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0</v>
      </c>
      <c r="D5" s="1819" t="s">
        <v>1402</v>
      </c>
      <c r="E5" s="1291"/>
      <c r="F5" s="1292"/>
      <c r="G5" s="1848"/>
      <c r="H5" s="344">
        <v>1</v>
      </c>
      <c r="I5" s="345" t="s">
        <v>1401</v>
      </c>
      <c r="J5" s="1290">
        <f ca="1">J6+J10+J12</f>
        <v>0</v>
      </c>
      <c r="K5" s="1819" t="s">
        <v>1402</v>
      </c>
      <c r="L5" s="1291"/>
      <c r="M5" s="1292"/>
    </row>
    <row r="6" spans="1:37" ht="18" customHeight="1">
      <c r="A6" s="1289" t="s">
        <v>1035</v>
      </c>
      <c r="B6" s="3235" t="s">
        <v>1403</v>
      </c>
      <c r="C6" s="1294">
        <f ca="1">ROUND(F6*F8*F7*(1-F9)/10000,0)</f>
        <v>0</v>
      </c>
      <c r="D6" s="164" t="s">
        <v>3030</v>
      </c>
      <c r="E6" s="347" t="s">
        <v>1405</v>
      </c>
      <c r="F6" s="348">
        <f ca="1">INDIRECT("'数据-取费表'!u"&amp;$G$1)</f>
        <v>0</v>
      </c>
      <c r="G6" s="1848"/>
      <c r="H6" s="1289" t="s">
        <v>1035</v>
      </c>
      <c r="I6" s="3235" t="s">
        <v>1403</v>
      </c>
      <c r="J6" s="346">
        <f ca="1">ROUND(M6*M8*M7*(1-M9)/10000,0)</f>
        <v>0</v>
      </c>
      <c r="K6" s="164" t="s">
        <v>3029</v>
      </c>
      <c r="L6" s="347" t="s">
        <v>1405</v>
      </c>
      <c r="M6" s="348">
        <f ca="1">INDIRECT("'数据-取费表'!z"&amp;$G$1)</f>
        <v>0</v>
      </c>
    </row>
    <row r="7" spans="1:37" ht="18" customHeight="1">
      <c r="A7" s="1293"/>
      <c r="B7" s="3236"/>
      <c r="C7" s="1295"/>
      <c r="D7" s="352"/>
      <c r="E7" s="1296" t="s">
        <v>1406</v>
      </c>
      <c r="F7" s="348">
        <f ca="1">IF(INDIRECT("'数据-取费表'!ah"&amp;$G$1)="",INDIRECT("'数据-取费表'!k"&amp;$G$1),INDIRECT("'数据-取费表'!ah"&amp;$G$1))</f>
        <v>0</v>
      </c>
      <c r="G7" s="1848"/>
      <c r="H7" s="349"/>
      <c r="I7" s="3236"/>
      <c r="J7" s="351"/>
      <c r="K7" s="352"/>
      <c r="L7" s="347" t="s">
        <v>1406</v>
      </c>
      <c r="M7" s="348">
        <f ca="1">F7</f>
        <v>0</v>
      </c>
    </row>
    <row r="8" spans="1:37" ht="18" customHeight="1">
      <c r="A8" s="349"/>
      <c r="B8" s="3236"/>
      <c r="C8" s="351"/>
      <c r="D8" s="352"/>
      <c r="E8" s="347" t="s">
        <v>1407</v>
      </c>
      <c r="F8" s="348">
        <f ca="1">INDIRECT("'数据-取费表'!ai"&amp;$G$1)</f>
        <v>0</v>
      </c>
      <c r="G8" s="1848"/>
      <c r="H8" s="349"/>
      <c r="I8" s="3236"/>
      <c r="J8" s="351"/>
      <c r="K8" s="352"/>
      <c r="L8" s="347" t="s">
        <v>1407</v>
      </c>
      <c r="M8" s="348">
        <f ca="1">INDIRECT("'数据-取费表'!ai"&amp;$G$1)</f>
        <v>0</v>
      </c>
    </row>
    <row r="9" spans="1:37" ht="18" customHeight="1">
      <c r="A9" s="349"/>
      <c r="B9" s="3237"/>
      <c r="C9" s="351"/>
      <c r="D9" s="352"/>
      <c r="E9" s="347" t="s">
        <v>1408</v>
      </c>
      <c r="F9" s="357">
        <f ca="1">INDIRECT("'数据-取费表'!w"&amp;$G$1)</f>
        <v>0</v>
      </c>
      <c r="G9" s="1848"/>
      <c r="H9" s="349"/>
      <c r="I9" s="3237"/>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3039</v>
      </c>
      <c r="E10" s="358" t="s">
        <v>1410</v>
      </c>
      <c r="F10" s="1364"/>
      <c r="G10" s="1848"/>
      <c r="H10" s="1289" t="s">
        <v>1039</v>
      </c>
      <c r="I10" s="1820" t="s">
        <v>1409</v>
      </c>
      <c r="J10" s="346">
        <f ca="1">ROUND(IF(M10="押一",J6/12*M11,IF(M10="押二",J6/12*2*M11,IF(M10="押三",J6/12*3*M11,J11*M11))),0)</f>
        <v>0</v>
      </c>
      <c r="K10" s="1821" t="s">
        <v>3038</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7"/>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ROUND(F17*(F43+INDIRECT("'数据-取费表'!S"&amp;$G$1))/10000,0)</f>
        <v>0</v>
      </c>
      <c r="D17" s="347" t="s">
        <v>1427</v>
      </c>
      <c r="E17" s="347" t="s">
        <v>1428</v>
      </c>
      <c r="F17" s="26">
        <f>'数据-取费表'!B35</f>
        <v>200</v>
      </c>
      <c r="G17" s="1851"/>
      <c r="H17" s="1199" t="s">
        <v>1035</v>
      </c>
      <c r="I17" s="347" t="s">
        <v>1429</v>
      </c>
      <c r="J17" s="24">
        <f ca="1">ROUND(IF(项目基本情况!B11="自然人",J5*M17,J18+J19+J20),1)</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IF(K19="按租金收入计税",ROUND(J5*M19,2),ROUND(C29*M19*0.7,2))</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ROUND(M20*M21/10000,2)</f>
        <v>0</v>
      </c>
      <c r="K20" s="370" t="s">
        <v>1442</v>
      </c>
      <c r="L20" s="347" t="s">
        <v>1443</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9" t="s">
        <v>1075</v>
      </c>
      <c r="I23" s="347" t="s">
        <v>1453</v>
      </c>
      <c r="J23" s="24">
        <f ca="1">ROUND(J13*M23,1)</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4"/>
      <c r="I30" s="745"/>
      <c r="J30" s="746"/>
      <c r="K30" s="747"/>
      <c r="L30" s="748"/>
      <c r="M30" s="749"/>
    </row>
    <row r="31" spans="1:37" ht="18" customHeight="1">
      <c r="A31" s="1199" t="s">
        <v>1035</v>
      </c>
      <c r="B31" s="347" t="s">
        <v>1429</v>
      </c>
      <c r="C31" s="24">
        <f ca="1">ROUND(IF(项目基本情况!B11="自然人",C5*F31,C32+C33+C34),1)</f>
        <v>0</v>
      </c>
      <c r="D31" s="1797" t="s">
        <v>1430</v>
      </c>
      <c r="E31" s="1795"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1433</v>
      </c>
      <c r="C32" s="24">
        <f ca="1">IF(项目基本情况!B11="自然人","——",ROUND(C5*F32/(1+'数据-取费表'!C42),2))</f>
        <v>0</v>
      </c>
      <c r="D32" s="1795" t="s">
        <v>1434</v>
      </c>
      <c r="E32" s="347" t="s">
        <v>1422</v>
      </c>
      <c r="F32" s="377">
        <f>'数据-取费表'!B41</f>
        <v>5.6000000000000001E-2</v>
      </c>
      <c r="G32" s="1848"/>
      <c r="H32" s="744"/>
      <c r="I32" s="745"/>
      <c r="J32" s="746"/>
      <c r="K32" s="747"/>
      <c r="L32" s="748"/>
      <c r="M32" s="749"/>
    </row>
    <row r="33" spans="1:18" ht="18" customHeight="1">
      <c r="A33" s="1199" t="s">
        <v>1036</v>
      </c>
      <c r="B33" s="347" t="s">
        <v>1437</v>
      </c>
      <c r="C33" s="24">
        <f ca="1">IF(项目基本情况!B11="自然人","——",IF(D33="按租金收入计税",ROUND(C5*F33,2),IF(D33="按房产原值计税",ROUND(C29*F33*0.7,2),INDIRECT("'数据-取费表'!Aj"&amp;$G$1))))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IF(项目基本情况!B11="自然人","——",ROUND(F34*F35/10000,2))</f>
        <v>0</v>
      </c>
      <c r="D34" s="370" t="s">
        <v>1442</v>
      </c>
      <c r="E34" s="347" t="s">
        <v>1443</v>
      </c>
      <c r="F34" s="371">
        <f>'数据-取费表'!B52</f>
        <v>18</v>
      </c>
      <c r="G34" s="1848"/>
      <c r="H34" s="744"/>
      <c r="I34" s="1857"/>
      <c r="J34" s="1858"/>
      <c r="K34" s="1860"/>
      <c r="L34" s="1861"/>
      <c r="M34" s="1861"/>
    </row>
    <row r="35" spans="1:18" ht="18" customHeight="1">
      <c r="A35" s="1351"/>
      <c r="B35" s="1349"/>
      <c r="C35" s="29"/>
      <c r="D35" s="373"/>
      <c r="E35" s="347" t="s">
        <v>1447</v>
      </c>
      <c r="F35" s="348">
        <f ca="1">INDIRECT("'数据-取费表'!r"&amp;$G$1)</f>
        <v>0</v>
      </c>
      <c r="G35" s="1848"/>
      <c r="H35" s="744"/>
      <c r="I35" s="1857"/>
      <c r="J35" s="1858"/>
      <c r="K35" s="1859"/>
      <c r="L35" s="1856"/>
      <c r="M35" s="1856"/>
    </row>
    <row r="36" spans="1:18" ht="18" customHeight="1">
      <c r="A36" s="1350" t="s">
        <v>1039</v>
      </c>
      <c r="B36" s="347" t="s">
        <v>1449</v>
      </c>
      <c r="C36" s="24">
        <f ca="1">ROUND(C29*F36,1)</f>
        <v>0</v>
      </c>
      <c r="D36" s="1795" t="s">
        <v>1482</v>
      </c>
      <c r="E36" s="347" t="s">
        <v>1422</v>
      </c>
      <c r="F36" s="374">
        <f ca="1">INDIRECT("'数据-取费表'!Ak"&amp;$G$1)</f>
        <v>0</v>
      </c>
      <c r="G36" s="1848"/>
      <c r="H36" s="1856"/>
      <c r="I36" s="1857"/>
      <c r="J36" s="1858"/>
      <c r="K36" s="750"/>
      <c r="L36" s="1856"/>
      <c r="M36" s="1856"/>
    </row>
    <row r="37" spans="1:18" ht="18" customHeight="1">
      <c r="A37" s="1199" t="s">
        <v>1075</v>
      </c>
      <c r="B37" s="347" t="s">
        <v>1453</v>
      </c>
      <c r="C37" s="24">
        <f ca="1">ROUND(C13*F37,1)</f>
        <v>0</v>
      </c>
      <c r="D37" s="1795" t="s">
        <v>1454</v>
      </c>
      <c r="E37" s="347" t="s">
        <v>1455</v>
      </c>
      <c r="F37" s="376">
        <f ca="1">INDIRECT("'数据-取费表'!Al"&amp;$G$1)</f>
        <v>0</v>
      </c>
      <c r="G37" s="1848"/>
      <c r="H37" s="1856"/>
      <c r="I37" s="1857"/>
      <c r="J37" s="1858"/>
      <c r="K37" s="750"/>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1477</v>
      </c>
      <c r="F42" s="357">
        <f ca="1">INDIRECT("'数据-取费表'!v"&amp;$G$1)</f>
        <v>0</v>
      </c>
      <c r="G42" s="1848"/>
      <c r="H42" s="731"/>
      <c r="I42" s="1857"/>
      <c r="J42" s="1858"/>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t="e">
        <f ca="1">C68-C40</f>
        <v>#DIV/0!</v>
      </c>
      <c r="D46" s="1869" t="str">
        <f>C2</f>
        <v>万元</v>
      </c>
      <c r="E46" s="1863"/>
      <c r="F46" s="1863"/>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1"/>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1"/>
      <c r="H48" s="792"/>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ROUND(F49*F51*F50*(1-F52)/10000,0)</f>
        <v>0</v>
      </c>
      <c r="D49" s="1274" t="s">
        <v>3031</v>
      </c>
      <c r="E49" s="1827" t="s">
        <v>1491</v>
      </c>
      <c r="F49" s="1279"/>
      <c r="G49" s="1888"/>
      <c r="H49" s="792"/>
      <c r="I49" s="1884" t="s">
        <v>1534</v>
      </c>
      <c r="J49" s="1889"/>
      <c r="K49" s="1886" t="s">
        <v>1535</v>
      </c>
      <c r="L49" s="1890"/>
      <c r="O49" s="1891" t="s">
        <v>1042</v>
      </c>
      <c r="P49" s="1882" t="s">
        <v>1536</v>
      </c>
      <c r="Q49" s="1883">
        <f ca="1">C29</f>
        <v>0</v>
      </c>
      <c r="R49" s="1883" t="s">
        <v>1529</v>
      </c>
    </row>
    <row r="50" spans="1:18" s="1839" customFormat="1" ht="13.5" thickBot="1">
      <c r="A50" s="1193"/>
      <c r="B50" s="1196"/>
      <c r="C50" s="1366"/>
      <c r="D50" s="1170"/>
      <c r="E50" s="1275" t="s">
        <v>1406</v>
      </c>
      <c r="F50" s="1276">
        <f ca="1">F7</f>
        <v>0</v>
      </c>
      <c r="H50" s="792"/>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24.75" thickBot="1">
      <c r="A53" s="1403" t="s">
        <v>1137</v>
      </c>
      <c r="B53" s="1828" t="s">
        <v>1409</v>
      </c>
      <c r="C53" s="361">
        <f ca="1">ROUND(IF(F53="押一",C49/12*F11,IF(F53="押二",C49/12*2*F11,IF(F53="押三",C49/12*3*F11,C54*F11))),0)</f>
        <v>0</v>
      </c>
      <c r="D53" s="1821" t="s">
        <v>3038</v>
      </c>
      <c r="E53" s="358"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238" t="s">
        <v>1548</v>
      </c>
      <c r="L53" s="3239"/>
      <c r="O53" s="1881" t="s">
        <v>1046</v>
      </c>
      <c r="P53" s="1882" t="s">
        <v>1549</v>
      </c>
      <c r="Q53" s="1883" t="e">
        <f ca="1">Q47+Q48</f>
        <v>#DIV/0!</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0</v>
      </c>
      <c r="D56" s="1911"/>
      <c r="E56" s="1912"/>
      <c r="F56" s="1904"/>
      <c r="I56" s="1913" t="s">
        <v>1554</v>
      </c>
      <c r="J56" s="1914"/>
      <c r="K56" s="1884" t="s">
        <v>1555</v>
      </c>
      <c r="L56" s="1887">
        <f ca="1">IF(L48&lt;J51,"——",L48-J53)</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1557</v>
      </c>
      <c r="L57" s="1887">
        <f ca="1">IF(L48&lt;J51,"——",IF(L55="比较法",L49,IF(L55="基准地价",L50,L51)))</f>
        <v>0</v>
      </c>
      <c r="O57" s="1881" t="s">
        <v>1041</v>
      </c>
      <c r="P57" s="1882" t="s">
        <v>1558</v>
      </c>
      <c r="Q57" s="1883" t="e">
        <f ca="1">L60</f>
        <v>#DIV/0!</v>
      </c>
      <c r="R57" s="1883" t="s">
        <v>1559</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71">
        <f t="shared" si="0"/>
        <v>18</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ROUND(C48*F66,1)</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c r="O70" s="1891" t="s">
        <v>1049</v>
      </c>
      <c r="P70" s="1931" t="s">
        <v>1585</v>
      </c>
      <c r="Q70" s="1883">
        <f ca="1">C13</f>
        <v>0</v>
      </c>
      <c r="R70" s="1883" t="s">
        <v>1529</v>
      </c>
    </row>
    <row r="71" spans="1:18" s="1839" customFormat="1" ht="13.5" thickBot="1">
      <c r="A71" s="1188" t="s">
        <v>1033</v>
      </c>
      <c r="B71" s="1189" t="s">
        <v>1487</v>
      </c>
      <c r="C71" s="382" t="e">
        <f ca="1">ROUND(C68*10000/F71,0)</f>
        <v>#DIV/0!</v>
      </c>
      <c r="D71" s="1190" t="s">
        <v>1488</v>
      </c>
      <c r="E71" s="1191" t="s">
        <v>1489</v>
      </c>
      <c r="F71" s="385">
        <f ca="1">F43</f>
        <v>0</v>
      </c>
      <c r="O71" s="1891" t="s">
        <v>1050</v>
      </c>
      <c r="P71" s="1931" t="s">
        <v>1586</v>
      </c>
      <c r="Q71" s="1894">
        <f ca="1">C76</f>
        <v>0</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2118</v>
      </c>
      <c r="B1" s="2411"/>
      <c r="C1" s="2412"/>
      <c r="D1" s="2411"/>
      <c r="E1" s="2411"/>
      <c r="F1" s="2413" t="s">
        <v>2119</v>
      </c>
      <c r="G1" s="2063" t="s">
        <v>2120</v>
      </c>
      <c r="H1" s="2414" t="str">
        <f>IF(G1="现房","——","估价对象范围")</f>
        <v>估价对象范围</v>
      </c>
      <c r="I1" s="2415"/>
    </row>
    <row r="2" spans="1:12" ht="21.75" customHeight="1" thickBot="1">
      <c r="A2" s="3168" t="str">
        <f>项目基本情况!S2</f>
        <v>北京市诺德中心三期出让国有建设用地使用权及在建建筑物房地产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18" t="s">
        <v>2122</v>
      </c>
      <c r="B4" s="2419" t="s">
        <v>2123</v>
      </c>
      <c r="C4" s="2420" t="s">
        <v>3268</v>
      </c>
      <c r="D4" s="2420" t="s">
        <v>3259</v>
      </c>
      <c r="E4" s="3152" t="s">
        <v>2124</v>
      </c>
      <c r="F4" s="3165"/>
      <c r="G4" s="3165"/>
      <c r="H4" s="3165"/>
      <c r="I4" s="3153"/>
      <c r="K4" s="2421" t="str">
        <f>IF(ISNUMBER(FIND("比较法",结果表办!C4)),"比较法",IF(ISNUMBER(FIND("成本法",结果表办!C4)),"成本法",IF(ISNUMBER(FIND("假设开发法",结果表办!C4)),"假设开发法",IF(ISNUMBER(FIND("收益法",结果表办!C4)),"收益法","基准地价系数修正法"))))</f>
        <v>比较法</v>
      </c>
      <c r="L4" s="242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43" t="s">
        <v>2125</v>
      </c>
      <c r="B5" s="3069">
        <v>25</v>
      </c>
      <c r="C5" s="3173"/>
      <c r="D5" s="3161"/>
      <c r="E5" s="140" t="s">
        <v>2126</v>
      </c>
      <c r="F5" s="2422"/>
      <c r="G5" s="2422"/>
      <c r="H5" s="2422"/>
      <c r="I5" s="1828"/>
    </row>
    <row r="6" spans="1:12" ht="12.75">
      <c r="A6" s="3143"/>
      <c r="B6" s="3069"/>
      <c r="C6" s="3175"/>
      <c r="D6" s="3161"/>
      <c r="E6" s="140" t="s">
        <v>2127</v>
      </c>
      <c r="F6" s="2422"/>
      <c r="G6" s="2422"/>
      <c r="H6" s="2422"/>
      <c r="I6" s="1828"/>
    </row>
    <row r="7" spans="1:12" ht="12.75">
      <c r="A7" s="3143"/>
      <c r="B7" s="3069"/>
      <c r="C7" s="3174"/>
      <c r="D7" s="3161"/>
      <c r="E7" s="140" t="s">
        <v>2128</v>
      </c>
      <c r="F7" s="2422"/>
      <c r="G7" s="2422"/>
      <c r="H7" s="2422"/>
      <c r="I7" s="1828"/>
    </row>
    <row r="8" spans="1:12" ht="12.75">
      <c r="A8" s="3143" t="s">
        <v>2129</v>
      </c>
      <c r="B8" s="3069">
        <v>15</v>
      </c>
      <c r="C8" s="3173"/>
      <c r="D8" s="3161"/>
      <c r="E8" s="140" t="s">
        <v>2130</v>
      </c>
      <c r="F8" s="2422"/>
      <c r="G8" s="2422"/>
      <c r="H8" s="2422"/>
      <c r="I8" s="1828"/>
    </row>
    <row r="9" spans="1:12" ht="12.75">
      <c r="A9" s="3143"/>
      <c r="B9" s="3069"/>
      <c r="C9" s="3174"/>
      <c r="D9" s="3161"/>
      <c r="E9" s="140" t="s">
        <v>2131</v>
      </c>
      <c r="F9" s="2422"/>
      <c r="G9" s="2422"/>
      <c r="H9" s="2422"/>
      <c r="I9" s="1828"/>
    </row>
    <row r="10" spans="1:12" ht="12.75">
      <c r="A10" s="3143" t="s">
        <v>2132</v>
      </c>
      <c r="B10" s="3069">
        <v>15</v>
      </c>
      <c r="C10" s="3173"/>
      <c r="D10" s="3161"/>
      <c r="E10" s="140" t="s">
        <v>2133</v>
      </c>
      <c r="F10" s="2422"/>
      <c r="G10" s="2422"/>
      <c r="H10" s="2422"/>
      <c r="I10" s="1828"/>
    </row>
    <row r="11" spans="1:12" ht="12.75">
      <c r="A11" s="3143"/>
      <c r="B11" s="3069"/>
      <c r="C11" s="3174"/>
      <c r="D11" s="3161"/>
      <c r="E11" s="140" t="s">
        <v>2134</v>
      </c>
      <c r="F11" s="2422"/>
      <c r="G11" s="2422"/>
      <c r="H11" s="2422"/>
      <c r="I11" s="1828"/>
    </row>
    <row r="12" spans="1:12" ht="12.75">
      <c r="A12" s="3143" t="s">
        <v>2135</v>
      </c>
      <c r="B12" s="3069">
        <v>15</v>
      </c>
      <c r="C12" s="3173"/>
      <c r="D12" s="3161"/>
      <c r="E12" s="140" t="s">
        <v>2136</v>
      </c>
      <c r="F12" s="2422"/>
      <c r="G12" s="2422"/>
      <c r="H12" s="2422"/>
      <c r="I12" s="1828"/>
    </row>
    <row r="13" spans="1:12" ht="12.75">
      <c r="A13" s="3143"/>
      <c r="B13" s="3069"/>
      <c r="C13" s="3174"/>
      <c r="D13" s="3161"/>
      <c r="E13" s="140" t="s">
        <v>2137</v>
      </c>
      <c r="F13" s="2422"/>
      <c r="G13" s="2422"/>
      <c r="H13" s="2422"/>
      <c r="I13" s="1828"/>
    </row>
    <row r="14" spans="1:12" ht="12.75">
      <c r="A14" s="3143" t="s">
        <v>2138</v>
      </c>
      <c r="B14" s="3069">
        <v>30</v>
      </c>
      <c r="C14" s="3173">
        <v>6</v>
      </c>
      <c r="D14" s="3161">
        <v>4</v>
      </c>
      <c r="E14" s="140" t="s">
        <v>2139</v>
      </c>
      <c r="F14" s="2422"/>
      <c r="G14" s="2422"/>
      <c r="H14" s="2422"/>
      <c r="I14" s="1828"/>
    </row>
    <row r="15" spans="1:12" ht="12.75">
      <c r="A15" s="3143"/>
      <c r="B15" s="3069"/>
      <c r="C15" s="3175"/>
      <c r="D15" s="3161"/>
      <c r="E15" s="140" t="s">
        <v>2140</v>
      </c>
      <c r="F15" s="2422"/>
      <c r="G15" s="2422"/>
      <c r="H15" s="2422"/>
      <c r="I15" s="1828"/>
    </row>
    <row r="16" spans="1:12" ht="12.75">
      <c r="A16" s="3143"/>
      <c r="B16" s="3069"/>
      <c r="C16" s="3174"/>
      <c r="D16" s="3161"/>
      <c r="E16" s="140" t="s">
        <v>2141</v>
      </c>
      <c r="F16" s="2422"/>
      <c r="G16" s="2422"/>
      <c r="H16" s="2422"/>
      <c r="I16" s="1828"/>
    </row>
    <row r="17" spans="1:35" ht="15">
      <c r="A17" s="2423" t="s">
        <v>2142</v>
      </c>
      <c r="B17" s="64"/>
      <c r="C17" s="141">
        <f>SUM(C5:C16)</f>
        <v>6</v>
      </c>
      <c r="D17" s="141">
        <f>SUM(D5:D16)</f>
        <v>4</v>
      </c>
      <c r="E17" s="138"/>
      <c r="F17" s="138"/>
      <c r="G17" s="138"/>
      <c r="H17" s="138"/>
      <c r="I17" s="138"/>
      <c r="K17" s="2421"/>
      <c r="L17" s="2424" t="s">
        <v>2143</v>
      </c>
      <c r="M17" s="2424" t="s">
        <v>2144</v>
      </c>
    </row>
    <row r="18" spans="1:35" ht="15.75" thickBot="1">
      <c r="A18" s="2425" t="s">
        <v>2145</v>
      </c>
      <c r="B18" s="2426"/>
      <c r="C18" s="142">
        <f>ROUND(C17/SUM(C17:D17),2)</f>
        <v>0.6</v>
      </c>
      <c r="D18" s="142">
        <f>1-C18</f>
        <v>0.4</v>
      </c>
      <c r="E18" s="138"/>
      <c r="F18" s="138"/>
      <c r="G18" s="138"/>
      <c r="H18" s="138"/>
      <c r="I18" s="138"/>
      <c r="K18" s="2421" t="s">
        <v>2146</v>
      </c>
      <c r="L18" s="2421">
        <f>IF(C1="",'数据-汇总表'!E3,SUMIF(项目类型,C1,'数据-汇总表'!E17:E26)+SUMIF(项目类型,C1,'数据-汇总表'!I17:I26))</f>
        <v>22318.329999999998</v>
      </c>
      <c r="M18" s="2421">
        <f>IF(C1="",'数据-汇总表'!E3,SUMIF(项目类型,C1,'数据-汇总表'!E17:E26))</f>
        <v>22318.329999999998</v>
      </c>
    </row>
    <row r="19" spans="1:35" ht="15">
      <c r="A19" s="2427" t="s">
        <v>2147</v>
      </c>
      <c r="B19" s="2428" t="s">
        <v>2148</v>
      </c>
      <c r="C19" s="143">
        <f ca="1">SUMIF(INDIRECT("'"&amp;C4&amp;"'"&amp;"!A:A"),结果表办!B19,INDIRECT("'"&amp;C4&amp;"'"&amp;"!B:B"))</f>
        <v>85585</v>
      </c>
      <c r="D19" s="144">
        <f ca="1">SUMIF(INDIRECT("'"&amp;D4&amp;"'"&amp;"!A:A"),结果表办!B19,INDIRECT("'"&amp;D4&amp;"'"&amp;"!B:B"))</f>
        <v>55225</v>
      </c>
      <c r="E19" s="2427" t="s">
        <v>2149</v>
      </c>
      <c r="F19" s="2428" t="s">
        <v>2148</v>
      </c>
      <c r="G19" s="145">
        <f ca="1">ROUND(C19*$C$18+D19*$D$18,0)</f>
        <v>73441</v>
      </c>
      <c r="H19" s="2429" t="s">
        <v>2150</v>
      </c>
      <c r="I19" s="138"/>
      <c r="K19" s="2421" t="s">
        <v>2151</v>
      </c>
      <c r="L19" s="2421">
        <f>IF(C1="",'数据-汇总表'!D3,SUMIF(项目类型,C1,'数据-汇总表'!D17:D26)+SUMIF(项目类型,C1,'数据-汇总表'!H17:H27))</f>
        <v>0</v>
      </c>
      <c r="M19" s="2421">
        <f>IF(C1="",'数据-汇总表'!D3,SUMIF(项目类型,C1,'数据-汇总表'!D17:D26))</f>
        <v>0</v>
      </c>
    </row>
    <row r="20" spans="1:35" ht="15">
      <c r="A20" s="2430"/>
      <c r="B20" s="1245" t="s">
        <v>2152</v>
      </c>
      <c r="C20" s="146">
        <f ca="1">SUMIF(INDIRECT("'"&amp;C4&amp;"'"&amp;"!A:A"),结果表办!B20,INDIRECT("'"&amp;C4&amp;"'"&amp;"!B:B"))</f>
        <v>50000</v>
      </c>
      <c r="D20" s="147">
        <f ca="1">SUMIF(INDIRECT("'"&amp;D4&amp;"'"&amp;"!A:A"),结果表办!B20,INDIRECT("'"&amp;D4&amp;"'"&amp;"!B:B"))</f>
        <v>32263</v>
      </c>
      <c r="E20" s="2430"/>
      <c r="F20" s="1245" t="s">
        <v>2152</v>
      </c>
      <c r="G20" s="148">
        <f ca="1">ROUND(C20*$C$18+D20*$D$18,0)</f>
        <v>42905</v>
      </c>
      <c r="H20" s="978" t="s">
        <v>2153</v>
      </c>
      <c r="I20" s="138"/>
    </row>
    <row r="21" spans="1:35" ht="15" customHeight="1" thickBot="1">
      <c r="A21" s="998"/>
      <c r="B21" s="2431" t="s">
        <v>2154</v>
      </c>
      <c r="C21" s="788" t="e">
        <f ca="1">ROUND(C19*10000/L19,0)</f>
        <v>#DIV/0!</v>
      </c>
      <c r="D21" s="789" t="e">
        <f ca="1">ROUND(D19*10000/L19,0)</f>
        <v>#DIV/0!</v>
      </c>
      <c r="E21" s="998"/>
      <c r="F21" s="2431" t="s">
        <v>2154</v>
      </c>
      <c r="G21" s="149" t="e">
        <f ca="1">ROUND(G19*10000/L19,0)</f>
        <v>#DIV/0!</v>
      </c>
      <c r="H21" s="2432" t="s">
        <v>2153</v>
      </c>
      <c r="I21" s="138"/>
    </row>
    <row r="22" spans="1:35" ht="15" thickBot="1">
      <c r="A22" s="2273" t="s">
        <v>2155</v>
      </c>
      <c r="B22" s="2433"/>
      <c r="C22" s="2434"/>
      <c r="D22" s="790">
        <f ca="1">IF(C19&lt;D19,D19/C19-1,C19/D19-1)</f>
        <v>0.54975101856043462</v>
      </c>
      <c r="E22" s="138"/>
      <c r="F22" s="138"/>
      <c r="G22" s="138"/>
      <c r="H22" s="138"/>
      <c r="I22" s="138"/>
    </row>
    <row r="23" spans="1:35" ht="13.5" thickBot="1">
      <c r="A23" s="2411"/>
      <c r="B23" s="2411"/>
      <c r="C23" s="2411"/>
      <c r="D23" s="2411"/>
      <c r="E23" s="138"/>
      <c r="F23" s="138"/>
      <c r="G23" s="138"/>
      <c r="H23" s="138"/>
      <c r="I23" s="138"/>
    </row>
    <row r="24" spans="1:35" ht="14.25">
      <c r="A24" s="3182" t="s">
        <v>2156</v>
      </c>
      <c r="B24" s="2428" t="s">
        <v>2148</v>
      </c>
      <c r="C24" s="145">
        <f>IF(B30=0,0,D30)</f>
        <v>0</v>
      </c>
      <c r="D24" s="2435"/>
      <c r="E24" s="138"/>
      <c r="F24" s="138"/>
      <c r="G24" s="138"/>
      <c r="H24" s="138"/>
      <c r="I24" s="138"/>
    </row>
    <row r="25" spans="1:35" ht="14.25">
      <c r="A25" s="3183"/>
      <c r="B25" s="1245" t="s">
        <v>2152</v>
      </c>
      <c r="C25" s="150">
        <f>IF(B30=0,0,C30)</f>
        <v>0</v>
      </c>
      <c r="D25" s="2436"/>
      <c r="E25" s="138"/>
      <c r="F25" s="138"/>
      <c r="G25" s="138"/>
      <c r="H25" s="138"/>
      <c r="I25" s="138"/>
    </row>
    <row r="26" spans="1:35" ht="13.5" customHeight="1">
      <c r="A26" s="2437" t="s">
        <v>2157</v>
      </c>
      <c r="B26" s="151" t="s">
        <v>2158</v>
      </c>
      <c r="C26" s="151" t="s">
        <v>2159</v>
      </c>
      <c r="D26" s="152" t="s">
        <v>2160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2161</v>
      </c>
      <c r="B30" s="151"/>
      <c r="C30" s="151"/>
      <c r="D30" s="151"/>
      <c r="E30" s="2920" t="s">
        <v>3034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2162</v>
      </c>
      <c r="B32" s="2441"/>
      <c r="C32" s="153">
        <f ca="1">IF(D32="总价",G19-C24,G20-C25)</f>
        <v>73441</v>
      </c>
      <c r="D32" s="2442" t="s">
        <v>2163</v>
      </c>
      <c r="E32" s="138"/>
      <c r="F32" s="138"/>
      <c r="G32" s="138"/>
      <c r="H32" s="138"/>
      <c r="I32" s="138"/>
    </row>
    <row r="33" spans="1:15" ht="15">
      <c r="A33" s="955" t="s">
        <v>2164</v>
      </c>
      <c r="B33" s="2443"/>
      <c r="C33" s="2444" t="s">
        <v>3236</v>
      </c>
      <c r="D33" s="2445" t="s">
        <v>3172</v>
      </c>
      <c r="E33" s="2446" t="s">
        <v>2165</v>
      </c>
      <c r="F33" s="2974" t="str">
        <f>IF(D32="楼面单价","取值（单价）","取值（总价）")</f>
        <v>取值（总价）</v>
      </c>
      <c r="G33" s="138"/>
      <c r="H33" s="138"/>
      <c r="I33" s="138"/>
    </row>
    <row r="34" spans="1:15" ht="15">
      <c r="A34" s="2448"/>
      <c r="B34" s="2449" t="s">
        <v>2166</v>
      </c>
      <c r="C34" s="157" t="e">
        <f ca="1">IF(C33="自定义",F34,C32-C35)</f>
        <v>#DIV/0!</v>
      </c>
      <c r="D34" s="1053" t="e">
        <f ca="1">IF(C33="自定义",ROUND(C34/C32,3),IF(C33="收益比率",SUMIF(INDIRECT("'"&amp;D33&amp;"'"&amp;"!b:b"),"土地收益比率",INDIRECT("'"&amp;D33&amp;"'"&amp;"!c:c")),SUMIF(INDIRECT("'"&amp;D33&amp;"'"&amp;"!b:b"),"土地成本比率",INDIRECT("'"&amp;D33&amp;"'"&amp;"!c:c"))))</f>
        <v>#DIV/0!</v>
      </c>
      <c r="E34" s="2450" t="s">
        <v>2167</v>
      </c>
      <c r="F34" s="1733"/>
      <c r="G34" s="138"/>
      <c r="H34" s="138"/>
      <c r="I34" s="138"/>
    </row>
    <row r="35" spans="1:15" ht="15.75" thickBot="1">
      <c r="A35" s="2451"/>
      <c r="B35" s="2452" t="s">
        <v>2168</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3" t="s">
        <v>2169</v>
      </c>
      <c r="F35" s="163"/>
      <c r="G35" s="138"/>
      <c r="H35" s="138"/>
      <c r="I35" s="138"/>
    </row>
    <row r="36" spans="1:15" ht="15.75" thickBot="1">
      <c r="A36" s="3162" t="s">
        <v>2170</v>
      </c>
      <c r="B36" s="2454" t="s">
        <v>2171</v>
      </c>
      <c r="C36" s="154"/>
      <c r="D36" s="2455"/>
      <c r="E36" s="2456"/>
      <c r="F36" s="2457"/>
      <c r="G36" s="138"/>
      <c r="H36" s="138"/>
      <c r="I36" s="138"/>
    </row>
    <row r="37" spans="1:15" ht="15.75" thickBot="1">
      <c r="A37" s="3163"/>
      <c r="B37" s="2259" t="s">
        <v>2172</v>
      </c>
      <c r="C37" s="156"/>
      <c r="D37" s="1390"/>
      <c r="E37" s="1390"/>
      <c r="F37" s="2457"/>
      <c r="G37" s="138"/>
      <c r="H37" s="138"/>
      <c r="I37" s="138"/>
    </row>
    <row r="38" spans="1:15" ht="15.75" thickBot="1">
      <c r="A38" s="3164"/>
      <c r="B38" s="2458" t="s">
        <v>2173</v>
      </c>
      <c r="C38" s="726"/>
      <c r="D38" s="2459" t="s">
        <v>2174</v>
      </c>
      <c r="E38" s="1390"/>
      <c r="F38" s="2457"/>
      <c r="G38" s="138"/>
      <c r="H38" s="138"/>
      <c r="I38" s="138"/>
    </row>
    <row r="39" spans="1:15" ht="15">
      <c r="A39" s="2430" t="s">
        <v>2175</v>
      </c>
      <c r="B39" s="2460" t="s">
        <v>2158</v>
      </c>
      <c r="C39" s="2461" t="s">
        <v>2159</v>
      </c>
      <c r="D39" s="2461" t="s">
        <v>2178</v>
      </c>
      <c r="E39" s="2462" t="s">
        <v>2160</v>
      </c>
      <c r="F39" s="2457"/>
      <c r="G39" s="138"/>
      <c r="H39" s="138"/>
      <c r="I39" s="138"/>
    </row>
    <row r="40" spans="1:15" ht="14.25">
      <c r="A40" s="2463" t="s">
        <v>2180</v>
      </c>
      <c r="B40" s="158"/>
      <c r="C40" s="159"/>
      <c r="D40" s="159"/>
      <c r="E40" s="160"/>
      <c r="F40" s="2457"/>
      <c r="G40" s="138"/>
      <c r="H40" s="138"/>
      <c r="I40" s="138"/>
    </row>
    <row r="41" spans="1:15" ht="14.25">
      <c r="A41" s="2463" t="s">
        <v>2181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179" t="s">
        <v>2184</v>
      </c>
      <c r="B45" s="3180"/>
      <c r="C45" s="3181"/>
      <c r="D45" s="164">
        <f ca="1">ROUND(H101*F45,0)</f>
        <v>73441</v>
      </c>
      <c r="E45" s="165" t="s">
        <v>2185</v>
      </c>
      <c r="F45" s="166">
        <v>1</v>
      </c>
      <c r="G45" s="167" t="s">
        <v>2186</v>
      </c>
      <c r="H45" s="138"/>
      <c r="I45" s="138"/>
      <c r="J45" s="3098" t="s">
        <v>2187</v>
      </c>
      <c r="K45" s="3098"/>
      <c r="L45" s="3098"/>
      <c r="M45" s="3098"/>
      <c r="N45" s="3098"/>
      <c r="O45" s="3098"/>
    </row>
    <row r="46" spans="1:15" ht="14.25" customHeight="1">
      <c r="A46" s="3176" t="s">
        <v>2188</v>
      </c>
      <c r="B46" s="3177"/>
      <c r="C46" s="3177"/>
      <c r="D46" s="3177"/>
      <c r="E46" s="3177"/>
      <c r="F46" s="3177"/>
      <c r="G46" s="3178"/>
      <c r="H46" s="2473"/>
      <c r="I46" s="168"/>
      <c r="J46" s="2986">
        <v>1</v>
      </c>
      <c r="K46" s="3098" t="s">
        <v>2189</v>
      </c>
      <c r="L46" s="3098"/>
      <c r="M46" s="3099"/>
      <c r="N46" s="3099"/>
      <c r="O46" s="3099"/>
    </row>
    <row r="47" spans="1:15" ht="12" customHeight="1">
      <c r="A47" s="169" t="s">
        <v>2190</v>
      </c>
      <c r="B47" s="170"/>
      <c r="C47" s="171"/>
      <c r="D47" s="172" t="s">
        <v>2191</v>
      </c>
      <c r="E47" s="24" t="s">
        <v>2192</v>
      </c>
      <c r="F47" s="173" t="s">
        <v>2193</v>
      </c>
      <c r="G47" s="174" t="s">
        <v>2194</v>
      </c>
      <c r="H47" s="2473"/>
      <c r="I47" s="168"/>
      <c r="J47" s="2986">
        <v>2</v>
      </c>
      <c r="K47" s="3098" t="s">
        <v>2195</v>
      </c>
      <c r="L47" s="3098"/>
      <c r="M47" s="3100">
        <f>'数据-取费表'!B2</f>
        <v>43539</v>
      </c>
      <c r="N47" s="3100"/>
      <c r="O47" s="3100"/>
    </row>
    <row r="48" spans="1:15" ht="25.5">
      <c r="A48" s="3166" t="s">
        <v>2196</v>
      </c>
      <c r="B48" s="3167"/>
      <c r="C48" s="3167"/>
      <c r="D48" s="140">
        <f>IF(H48="情况1",0,IF(H48="情况2",D52,IF(H48="情况3",D53,IF(H48="情况4",D54))))</f>
        <v>0</v>
      </c>
      <c r="E48" s="2978" t="str">
        <f>IF(H48="情况4","(销售额-原购置价)×税（费）率","销售额×税（费）率")</f>
        <v>销售额×税（费）率</v>
      </c>
      <c r="F48" s="175" t="str">
        <f>IF(H48="情况1","免征",'数据-取费表'!B41)</f>
        <v>免征</v>
      </c>
      <c r="G48" s="2474" t="s">
        <v>2197</v>
      </c>
      <c r="H48" s="2475" t="s">
        <v>2198</v>
      </c>
      <c r="I48" s="2473"/>
      <c r="J48" s="2986">
        <v>3</v>
      </c>
      <c r="K48" s="3098" t="s">
        <v>2199</v>
      </c>
      <c r="L48" s="3098"/>
      <c r="M48" s="3101">
        <f ca="1">H101</f>
        <v>73441</v>
      </c>
      <c r="N48" s="3101"/>
      <c r="O48" s="3101"/>
    </row>
    <row r="49" spans="1:35" ht="25.5" customHeight="1">
      <c r="A49" s="176" t="s">
        <v>2200</v>
      </c>
      <c r="B49" s="3146" t="s">
        <v>2201</v>
      </c>
      <c r="C49" s="3146"/>
      <c r="D49" s="177">
        <v>0</v>
      </c>
      <c r="E49" s="23" t="s">
        <v>2202</v>
      </c>
      <c r="F49" s="28" t="s">
        <v>34</v>
      </c>
      <c r="G49" s="3127"/>
      <c r="H49" s="138"/>
      <c r="I49" s="2476"/>
      <c r="J49" s="2986">
        <v>4</v>
      </c>
      <c r="K49" s="3098" t="str">
        <f>IF(项目基本情况!E8="房地产抵押价值","房地产抵押价值","抵押担保权已注销时的房地产抵押价值")</f>
        <v>房地产抵押价值</v>
      </c>
      <c r="L49" s="3098"/>
      <c r="M49" s="3101">
        <f ca="1">IF(项目基本情况!E8="房地产抵押价值",H107,H109)</f>
        <v>73441</v>
      </c>
      <c r="N49" s="3101"/>
      <c r="O49" s="3101"/>
    </row>
    <row r="50" spans="1:35" ht="25.5" customHeight="1">
      <c r="A50" s="178"/>
      <c r="B50" s="3146" t="s">
        <v>2203</v>
      </c>
      <c r="C50" s="3146"/>
      <c r="D50" s="179"/>
      <c r="E50" s="31"/>
      <c r="F50" s="180"/>
      <c r="G50" s="3128"/>
      <c r="H50" s="138"/>
      <c r="I50" s="2476"/>
      <c r="J50" s="3098" t="s">
        <v>2204</v>
      </c>
      <c r="K50" s="3098"/>
      <c r="L50" s="3098"/>
      <c r="M50" s="3098"/>
      <c r="N50" s="3098"/>
      <c r="O50" s="3098"/>
    </row>
    <row r="51" spans="1:35" ht="12" customHeight="1">
      <c r="A51" s="181"/>
      <c r="B51" s="3146" t="s">
        <v>2205</v>
      </c>
      <c r="C51" s="3146"/>
      <c r="D51" s="182"/>
      <c r="E51" s="30"/>
      <c r="F51" s="180"/>
      <c r="G51" s="3129"/>
      <c r="H51" s="138"/>
      <c r="I51" s="2476"/>
      <c r="J51" s="2985" t="s">
        <v>2206</v>
      </c>
      <c r="K51" s="3098" t="s">
        <v>2207</v>
      </c>
      <c r="L51" s="3098"/>
      <c r="M51" s="2985" t="s">
        <v>2208</v>
      </c>
      <c r="N51" s="2985" t="s">
        <v>2209</v>
      </c>
      <c r="O51" s="2985" t="s">
        <v>2210</v>
      </c>
    </row>
    <row r="52" spans="1:35" ht="24" customHeight="1">
      <c r="A52" s="183" t="s">
        <v>2211</v>
      </c>
      <c r="B52" s="3146" t="s">
        <v>2212</v>
      </c>
      <c r="C52" s="3146"/>
      <c r="D52" s="182">
        <f ca="1">ROUND(D45*'数据-取费表'!B41/(1+'数据-取费表'!C42),0)</f>
        <v>3917</v>
      </c>
      <c r="E52" s="11" t="s">
        <v>2213</v>
      </c>
      <c r="F52" s="184">
        <f>'数据-取费表'!B41</f>
        <v>5.6000000000000001E-2</v>
      </c>
      <c r="G52" s="2478"/>
      <c r="H52" s="138"/>
      <c r="I52" s="2476"/>
      <c r="J52" s="2986">
        <v>1</v>
      </c>
      <c r="K52" s="3121" t="s">
        <v>2214</v>
      </c>
      <c r="L52" s="3121"/>
      <c r="M52" s="1748">
        <f>D48</f>
        <v>0</v>
      </c>
      <c r="N52" s="2986" t="str">
        <f>E48</f>
        <v>销售额×税（费）率</v>
      </c>
      <c r="O52" s="1749" t="str">
        <f>F48</f>
        <v>免征</v>
      </c>
    </row>
    <row r="53" spans="1:35" ht="12" customHeight="1">
      <c r="A53" s="183" t="s">
        <v>2215</v>
      </c>
      <c r="B53" s="3147" t="s">
        <v>2216</v>
      </c>
      <c r="C53" s="3148"/>
      <c r="D53" s="182">
        <f ca="1">ROUND(D45*'数据-取费表'!B41/(1+'数据-取费表'!C42),0)</f>
        <v>3917</v>
      </c>
      <c r="E53" s="11" t="s">
        <v>2213</v>
      </c>
      <c r="F53" s="184">
        <f>'数据-取费表'!B41</f>
        <v>5.6000000000000001E-2</v>
      </c>
      <c r="G53" s="2478"/>
      <c r="H53" s="138"/>
      <c r="I53" s="2476"/>
      <c r="J53" s="2986">
        <v>2</v>
      </c>
      <c r="K53" s="3121" t="s">
        <v>2217</v>
      </c>
      <c r="L53" s="3121"/>
      <c r="M53" s="1748">
        <f t="shared" ref="M53:O54" ca="1" si="0">D55</f>
        <v>37</v>
      </c>
      <c r="N53" s="2986" t="str">
        <f t="shared" si="0"/>
        <v>销售额×税（费）率</v>
      </c>
      <c r="O53" s="1749">
        <f t="shared" si="0"/>
        <v>5.0000000000000001E-4</v>
      </c>
    </row>
    <row r="54" spans="1:35" ht="12" customHeight="1">
      <c r="A54" s="183" t="s">
        <v>2218</v>
      </c>
      <c r="B54" s="3147" t="s">
        <v>2219</v>
      </c>
      <c r="C54" s="3148"/>
      <c r="D54" s="182">
        <f ca="1">C68</f>
        <v>3917</v>
      </c>
      <c r="E54" s="30" t="s">
        <v>2220</v>
      </c>
      <c r="F54" s="184">
        <f>'数据-取费表'!B41</f>
        <v>5.6000000000000001E-2</v>
      </c>
      <c r="G54" s="2478"/>
      <c r="H54" s="2479"/>
      <c r="I54" s="2476"/>
      <c r="J54" s="2986">
        <v>3</v>
      </c>
      <c r="K54" s="3121" t="s">
        <v>2221</v>
      </c>
      <c r="L54" s="3121"/>
      <c r="M54" s="1748">
        <f t="shared" ca="1" si="0"/>
        <v>41567</v>
      </c>
      <c r="N54" s="2986" t="str">
        <f t="shared" si="0"/>
        <v>增值额×税（费）率</v>
      </c>
      <c r="O54" s="1750" t="str">
        <f t="shared" si="0"/>
        <v>——</v>
      </c>
    </row>
    <row r="55" spans="1:35" ht="24" customHeight="1">
      <c r="A55" s="3185" t="s">
        <v>2222</v>
      </c>
      <c r="B55" s="3167"/>
      <c r="C55" s="3167"/>
      <c r="D55" s="185">
        <f ca="1">IF(H55="个人住宅",0,ROUND(D45*I55,0))</f>
        <v>37</v>
      </c>
      <c r="E55" s="11" t="s">
        <v>2223</v>
      </c>
      <c r="F55" s="184">
        <f>IF(H55="正常",I55,"免征")</f>
        <v>5.0000000000000001E-4</v>
      </c>
      <c r="G55" s="2478"/>
      <c r="H55" s="2475" t="s">
        <v>2224</v>
      </c>
      <c r="I55" s="186">
        <f>'数据-取费表'!B49</f>
        <v>5.0000000000000001E-4</v>
      </c>
      <c r="J55" s="2986" t="str">
        <f>IF(H59="非个人房产","",4)</f>
        <v/>
      </c>
      <c r="K55" s="3121" t="str">
        <f>IF(H59="非个人房产","——","个人所得税")</f>
        <v>——</v>
      </c>
      <c r="L55" s="3121"/>
      <c r="M55" s="1751" t="str">
        <f>D59</f>
        <v>——</v>
      </c>
      <c r="N55" s="2987" t="str">
        <f>E59</f>
        <v>——</v>
      </c>
      <c r="O55" s="1752" t="str">
        <f>F59</f>
        <v>——</v>
      </c>
    </row>
    <row r="56" spans="1:35" ht="24.75">
      <c r="A56" s="3185" t="s">
        <v>2225</v>
      </c>
      <c r="B56" s="3167"/>
      <c r="C56" s="3167"/>
      <c r="D56" s="185">
        <f ca="1">IF(H56="个人住宅",D57,D58)</f>
        <v>41567</v>
      </c>
      <c r="E56" s="11" t="s">
        <v>2226</v>
      </c>
      <c r="F56" s="184" t="str">
        <f>IF(H56="正常",F58,"免征")</f>
        <v>——</v>
      </c>
      <c r="G56" s="2480" t="s">
        <v>2227</v>
      </c>
      <c r="H56" s="2481" t="s">
        <v>2224</v>
      </c>
      <c r="I56" s="2482"/>
      <c r="J56" s="2986" t="str">
        <f>IF(项目基本情况!K6="上海银行",IF(J55="",4,J55+1),"")</f>
        <v/>
      </c>
      <c r="K56" s="3104" t="str">
        <f>IF(项目基本情况!K6="上海银行","其他处置费用","")</f>
        <v/>
      </c>
      <c r="L56" s="3105"/>
      <c r="M56" s="1748"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78"/>
      <c r="H57" s="2482"/>
      <c r="I57" s="2482"/>
      <c r="J57" s="3121">
        <f>IF(AND(J55="",J56=""),4,IF(项目基本情况!K6="上海银行",结果表办!J56+1,结果表办!J55+1))</f>
        <v>4</v>
      </c>
      <c r="K57" s="3121" t="s">
        <v>2229</v>
      </c>
      <c r="L57" s="2483" t="s">
        <v>2230</v>
      </c>
      <c r="M57" s="1753"/>
      <c r="N57" s="1754">
        <f ca="1">SUMIF(M52:M56,"&lt;9e307")</f>
        <v>41604</v>
      </c>
      <c r="O57" s="2484"/>
      <c r="P57" s="1747">
        <f ca="1">N57/M49</f>
        <v>0.56649555425443554</v>
      </c>
    </row>
    <row r="58" spans="1:35" ht="24.75">
      <c r="A58" s="183" t="s">
        <v>2211</v>
      </c>
      <c r="B58" s="3152" t="s">
        <v>2231</v>
      </c>
      <c r="C58" s="3165"/>
      <c r="D58" s="185">
        <f ca="1">IF(H58="转让取得",C81,C97)</f>
        <v>41567</v>
      </c>
      <c r="E58" s="11" t="s">
        <v>2226</v>
      </c>
      <c r="F58" s="24" t="s">
        <v>34</v>
      </c>
      <c r="G58" s="2478"/>
      <c r="H58" s="2481" t="s">
        <v>2232</v>
      </c>
      <c r="I58" s="2482"/>
      <c r="J58" s="3121"/>
      <c r="K58" s="3121"/>
      <c r="L58" s="2483" t="s">
        <v>2233</v>
      </c>
      <c r="M58" s="1755"/>
      <c r="N58" s="2485" t="str">
        <f ca="1">NUMBERSTRING(INT(N57*10000),2)&amp;"元整"</f>
        <v>肆亿壹仟陆佰零肆万元整</v>
      </c>
      <c r="O58" s="2486"/>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87" t="s">
        <v>2227</v>
      </c>
      <c r="H59" s="2481" t="s">
        <v>2235</v>
      </c>
      <c r="I59" s="191">
        <v>0.01</v>
      </c>
      <c r="J59" s="3123">
        <f>J57+1</f>
        <v>5</v>
      </c>
      <c r="K59" s="3121" t="s">
        <v>2236</v>
      </c>
      <c r="L59" s="2986" t="s">
        <v>2230</v>
      </c>
      <c r="M59" s="1756"/>
      <c r="N59" s="1757">
        <f ca="1">M49-N57</f>
        <v>31837</v>
      </c>
      <c r="O59" s="2488"/>
    </row>
    <row r="60" spans="1:35" ht="12" customHeight="1">
      <c r="A60" s="2489"/>
      <c r="B60" s="2411"/>
      <c r="C60" s="2411"/>
      <c r="D60" s="2411"/>
      <c r="E60" s="2159"/>
      <c r="F60" s="2482"/>
      <c r="G60" s="2482"/>
      <c r="H60" s="2490"/>
      <c r="I60" s="138"/>
      <c r="J60" s="3124"/>
      <c r="K60" s="3121"/>
      <c r="L60" s="2483" t="s">
        <v>2233</v>
      </c>
      <c r="M60" s="1755"/>
      <c r="N60" s="2485" t="str">
        <f ca="1">NUMBERSTRING(INT(N59*10000),2)&amp;"元整"</f>
        <v>叁亿壹仟捌佰叁拾柒万元整</v>
      </c>
      <c r="O60" s="2486"/>
    </row>
    <row r="61" spans="1:35" ht="13.5" thickBot="1">
      <c r="A61" s="3184" t="s">
        <v>2237</v>
      </c>
      <c r="B61" s="3184"/>
      <c r="C61" s="3184"/>
      <c r="D61" s="3184"/>
      <c r="E61" s="3184"/>
      <c r="F61" s="2482"/>
      <c r="G61" s="2482"/>
      <c r="H61" s="2490"/>
      <c r="I61" s="138"/>
      <c r="J61" s="2986">
        <f>J59+1</f>
        <v>6</v>
      </c>
      <c r="K61" s="3121" t="s">
        <v>2238</v>
      </c>
      <c r="L61" s="3121"/>
      <c r="M61" s="1758"/>
      <c r="N61" s="1759">
        <f ca="1">ROUND(N59*10000/'数据-汇总表'!E3,0)</f>
        <v>14265</v>
      </c>
      <c r="O61" s="2491"/>
    </row>
    <row r="62" spans="1:35" ht="12.75">
      <c r="A62" s="3141" t="s">
        <v>2239</v>
      </c>
      <c r="B62" s="3142"/>
      <c r="C62" s="2981"/>
      <c r="D62" s="2981" t="s">
        <v>2240</v>
      </c>
      <c r="E62" s="192" t="s">
        <v>2241</v>
      </c>
      <c r="F62" s="2482"/>
      <c r="G62" s="2482"/>
      <c r="H62" s="2490"/>
      <c r="I62" s="138"/>
    </row>
    <row r="63" spans="1:35" ht="12.75">
      <c r="A63" s="203" t="s">
        <v>775</v>
      </c>
      <c r="B63" s="193" t="s">
        <v>2242</v>
      </c>
      <c r="C63" s="194">
        <f ca="1">ROUND((C64+C65)/(1+'数据-取费表'!C42),0)</f>
        <v>69944</v>
      </c>
      <c r="D63" s="195"/>
      <c r="E63" s="196"/>
      <c r="F63" s="2482"/>
      <c r="G63" s="2482"/>
      <c r="H63" s="2490"/>
      <c r="I63" s="138"/>
      <c r="J63" s="3106" t="s">
        <v>2243</v>
      </c>
      <c r="K63" s="2990" t="s">
        <v>2244</v>
      </c>
      <c r="L63" s="1746">
        <f ca="1">IF(M49&gt;10000,M49*0.5%,IF(AND(M49&gt;1000,M49&lt;=10000),M49*1%,IF(AND(M49&gt;100,M49&lt;=1000),M49*3%,IF(AND(M49&gt;10,M49&lt;=100),M49*5%,M49*8%))))</f>
        <v>367.20499999999998</v>
      </c>
      <c r="M63" s="24">
        <f ca="1">ROUND(L63,1)</f>
        <v>367.2</v>
      </c>
      <c r="Z63" s="2416"/>
      <c r="AI63" s="2417"/>
    </row>
    <row r="64" spans="1:35" ht="14.25" customHeight="1">
      <c r="A64" s="197" t="s">
        <v>770</v>
      </c>
      <c r="B64" s="198" t="s">
        <v>2245</v>
      </c>
      <c r="C64" s="199">
        <f ca="1">D45</f>
        <v>73441</v>
      </c>
      <c r="D64" s="200" t="s">
        <v>32</v>
      </c>
      <c r="E64" s="201"/>
      <c r="F64" s="2482"/>
      <c r="G64" s="2482"/>
      <c r="H64" s="2490"/>
      <c r="I64" s="138"/>
      <c r="J64" s="3106"/>
      <c r="K64" s="2990" t="s">
        <v>2246</v>
      </c>
      <c r="L64" s="1746">
        <f ca="1">IF(M49&gt;2000,M49*0.5%,IF(AND(M49&gt;1000,M49&lt;=2000),M49*0.6%,IF(AND(M49&gt;500,M49&lt;=1000),M49*0.7%,IF(AND(M49&gt;200,M49&lt;=500),M49*0.8%,IF(AND(M49&gt;100,M49&lt;=200),M49*0.9%,IF(AND(M49&gt;50,M49&lt;=100),M49*1%,IF(AND(M49&gt;20,M49&lt;=50),M49*1.5%,IF(AND(M49&gt;10,M49&lt;=20),M49*2%,IF(AND(M49&gt;1,M49&lt;=10),M49*2.5%)))))))))</f>
        <v>367.20499999999998</v>
      </c>
      <c r="M64" s="24">
        <f t="shared" ref="M64:M65" ca="1" si="1">ROUND(L64,1)</f>
        <v>367.2</v>
      </c>
      <c r="N64" s="138" t="s">
        <v>2247</v>
      </c>
      <c r="Z64" s="2416"/>
      <c r="AI64" s="2417"/>
    </row>
    <row r="65" spans="1:35" ht="14.25" customHeight="1">
      <c r="A65" s="197" t="s">
        <v>771</v>
      </c>
      <c r="B65" s="198" t="s">
        <v>2248</v>
      </c>
      <c r="C65" s="202"/>
      <c r="D65" s="200"/>
      <c r="E65" s="201"/>
      <c r="F65" s="2482"/>
      <c r="G65" s="2482"/>
      <c r="H65" s="2490"/>
      <c r="I65" s="138"/>
      <c r="J65" s="3106"/>
      <c r="K65" s="2990" t="s">
        <v>2249</v>
      </c>
      <c r="L65" s="1746">
        <f ca="1">IF(M49&gt;1000,M49*0.1%,IF(AND(M49&gt;500,M49&lt;=1000),M49*0.5%,IF(AND(M49&gt;50,M49&lt;=500),M49*1%,IF(AND(M49&gt;1,M49&lt;=50),M49*1.5%))))</f>
        <v>73.441000000000003</v>
      </c>
      <c r="M65" s="24">
        <f t="shared" ca="1" si="1"/>
        <v>73.400000000000006</v>
      </c>
      <c r="N65" s="138" t="s">
        <v>2247</v>
      </c>
      <c r="Z65" s="2416"/>
      <c r="AI65" s="2417"/>
    </row>
    <row r="66" spans="1:35" ht="14.25" customHeight="1">
      <c r="A66" s="203" t="s">
        <v>772</v>
      </c>
      <c r="B66" s="204" t="s">
        <v>2250</v>
      </c>
      <c r="C66" s="205"/>
      <c r="D66" s="206" t="s">
        <v>32</v>
      </c>
      <c r="E66" s="1770" t="s">
        <v>1371</v>
      </c>
      <c r="F66" s="2482"/>
      <c r="G66" s="2482"/>
      <c r="H66" s="2490"/>
      <c r="I66" s="138"/>
      <c r="J66" s="3106"/>
      <c r="K66" s="2990" t="s">
        <v>2251</v>
      </c>
      <c r="L66" s="1746">
        <f ca="1">M49*0.5%</f>
        <v>367.20499999999998</v>
      </c>
      <c r="M66" s="24">
        <f ca="1">IF(L66&gt;0.5,0.5,ROUND(L66,0))</f>
        <v>0.5</v>
      </c>
      <c r="N66" s="138" t="s">
        <v>2252</v>
      </c>
      <c r="Z66" s="2416"/>
      <c r="AI66" s="2417"/>
    </row>
    <row r="67" spans="1:35" ht="14.25" customHeight="1">
      <c r="A67" s="203" t="s">
        <v>773</v>
      </c>
      <c r="B67" s="204" t="s">
        <v>2253</v>
      </c>
      <c r="C67" s="207">
        <f ca="1">C63-C66</f>
        <v>69944</v>
      </c>
      <c r="D67" s="200" t="s">
        <v>32</v>
      </c>
      <c r="E67" s="201"/>
      <c r="F67" s="2482"/>
      <c r="G67" s="2482"/>
      <c r="H67" s="2490"/>
      <c r="I67" s="138"/>
      <c r="J67" s="3106"/>
      <c r="K67" s="2990" t="s">
        <v>2254</v>
      </c>
      <c r="L67" s="1746">
        <f ca="1">IF(M49&gt;=10000,(8.25+(M49-10000)*0.01%),IF(AND(M49&gt;=8000,M49&lt;10000),(7.85+(M49-8000)*0.02%),IF(AND(M49&gt;=5000,M49&lt;8000),(6.65+(M49-5000)*0.04%),IF(AND(M49&gt;=2000,M49&lt;5000),(4.25+(PM49-2000)*0.08%),IF(AND(M49&gt;=1000,M49&lt;2000),(2.75+(M49-1000)*0.15%),IF(AND(M49&gt;=100,M49&lt;1000),(0.5+(M49-100)*0.25%),IF(AND(M49&gt;0,M49&lt;100),M49*0.5%)))))))</f>
        <v>14.594100000000001</v>
      </c>
      <c r="M67" s="24">
        <f ca="1">ROUND(L67*0.9,1)</f>
        <v>13.1</v>
      </c>
      <c r="Z67" s="2416"/>
      <c r="AI67" s="2417"/>
    </row>
    <row r="68" spans="1:35" ht="14.25" customHeight="1" thickBot="1">
      <c r="A68" s="208" t="s">
        <v>774</v>
      </c>
      <c r="B68" s="209" t="s">
        <v>2255</v>
      </c>
      <c r="C68" s="210">
        <f ca="1">IF(C67&lt;=0,0,ROUND(C67*D68,0))</f>
        <v>3917</v>
      </c>
      <c r="D68" s="211">
        <f>'数据-取费表'!B41</f>
        <v>5.6000000000000001E-2</v>
      </c>
      <c r="E68" s="212"/>
      <c r="F68" s="2482"/>
      <c r="G68" s="2482"/>
      <c r="H68" s="2490"/>
      <c r="I68" s="138"/>
      <c r="J68" s="3106"/>
      <c r="K68" s="2990" t="s">
        <v>2256</v>
      </c>
      <c r="L68" s="1746">
        <f ca="1">IF(M49&gt;10000,M49*0.5%,IF(AND(M49&gt;5000,M49&lt;=10000),M49*1%,IF(AND(M49&gt;1000,M49&lt;=5000),M49*2%,IF(AND(M49&gt;200,M49&lt;=1000),M49*3%,M49*5%))))</f>
        <v>367.20499999999998</v>
      </c>
      <c r="M68" s="24">
        <f ca="1">ROUND(L68,1)</f>
        <v>367.2</v>
      </c>
      <c r="Z68" s="2416"/>
      <c r="AI68" s="2417"/>
    </row>
    <row r="69" spans="1:35" s="2439" customFormat="1" ht="16.5" customHeight="1">
      <c r="A69" s="2493"/>
      <c r="B69" s="2494"/>
      <c r="C69" s="2495"/>
      <c r="D69" s="2496"/>
      <c r="E69" s="2497"/>
      <c r="F69" s="2159"/>
      <c r="G69" s="2159"/>
      <c r="H69" s="2158"/>
      <c r="I69" s="2411"/>
      <c r="J69" s="3106"/>
      <c r="K69" s="2990" t="s">
        <v>2257</v>
      </c>
      <c r="L69" s="2498"/>
      <c r="M69" s="24">
        <f ca="1">ROUND(SUM(M63:M68),0)</f>
        <v>1189</v>
      </c>
      <c r="N69" s="1747">
        <f ca="1">M69/M49</f>
        <v>1.6189866695714927E-2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0" t="s">
        <v>2258</v>
      </c>
      <c r="B70" s="3151"/>
      <c r="C70" s="3151"/>
      <c r="D70" s="3151"/>
      <c r="E70" s="3151"/>
      <c r="F70" s="3151"/>
      <c r="G70" s="3151"/>
      <c r="H70" s="315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1" t="s">
        <v>2239</v>
      </c>
      <c r="B71" s="3142"/>
      <c r="C71" s="2981"/>
      <c r="D71" s="2981" t="s">
        <v>2240</v>
      </c>
      <c r="E71" s="213" t="s">
        <v>2241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2259</v>
      </c>
      <c r="C72" s="207">
        <f ca="1">ROUND(D45/(1+'数据-取费表'!C42),0)</f>
        <v>69944</v>
      </c>
      <c r="D72" s="200" t="s">
        <v>32</v>
      </c>
      <c r="E72" s="2980"/>
      <c r="F72" s="2975"/>
      <c r="G72" s="297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2260</v>
      </c>
      <c r="C73" s="207">
        <f ca="1">C74+C78</f>
        <v>420</v>
      </c>
      <c r="D73" s="200" t="s">
        <v>32</v>
      </c>
      <c r="E73" s="2980"/>
      <c r="F73" s="2975"/>
      <c r="G73" s="297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2261</v>
      </c>
      <c r="C74" s="200">
        <f>ROUND(IF(G77="2016年5月1日后购买",C75/(1+'数据-取费表'!C42)+C76+C77,C75+C76+C77),0)</f>
        <v>0</v>
      </c>
      <c r="D74" s="200" t="s">
        <v>32</v>
      </c>
      <c r="E74" s="2980"/>
      <c r="F74" s="2975"/>
      <c r="G74" s="297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2262</v>
      </c>
      <c r="C75" s="218"/>
      <c r="D75" s="200" t="s">
        <v>32</v>
      </c>
      <c r="E75" s="219" t="s">
        <v>2263</v>
      </c>
      <c r="F75" s="2504" t="s">
        <v>2264</v>
      </c>
      <c r="G75" s="219" t="s">
        <v>2265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2266</v>
      </c>
      <c r="C76" s="200">
        <f>IF(F75="购房发票",ROUND(C75*H75*D76,0),0)</f>
        <v>0</v>
      </c>
      <c r="D76" s="222">
        <v>0.05</v>
      </c>
      <c r="E76" s="3147" t="s">
        <v>2267</v>
      </c>
      <c r="F76" s="3146"/>
      <c r="G76" s="3146"/>
      <c r="H76" s="314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2268</v>
      </c>
      <c r="C77" s="200">
        <f>ROUND(IF(G77="个人住宅",0,IF(G77="2016年5月1日前购买",C75*D77,C75*D77/(1+'数据-取费表'!C42))),0)</f>
        <v>0</v>
      </c>
      <c r="D77" s="223">
        <f>'数据-取费表'!B48+'数据-取费表'!B49</f>
        <v>3.0499999999999999E-2</v>
      </c>
      <c r="E77" s="2991" t="s">
        <v>2269</v>
      </c>
      <c r="F77" s="224"/>
      <c r="G77" s="2506" t="s">
        <v>2270</v>
      </c>
      <c r="H77" s="298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2271</v>
      </c>
      <c r="C78" s="225">
        <f ca="1">ROUND(D45*D78/(1+'数据-取费表'!C42),0)</f>
        <v>420</v>
      </c>
      <c r="D78" s="226">
        <f>'数据-取费表'!B43</f>
        <v>6.000000000000001E-3</v>
      </c>
      <c r="E78" s="3138" t="s">
        <v>2272</v>
      </c>
      <c r="F78" s="3139"/>
      <c r="G78" s="3139"/>
      <c r="H78" s="314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2273</v>
      </c>
      <c r="C79" s="207">
        <f ca="1">C72-C73</f>
        <v>69524</v>
      </c>
      <c r="D79" s="200" t="s">
        <v>32</v>
      </c>
      <c r="E79" s="2980"/>
      <c r="F79" s="2975"/>
      <c r="G79" s="297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2274</v>
      </c>
      <c r="C80" s="227">
        <f ca="1">IF(C79&lt;=0,0,C79/C73)</f>
        <v>165.53333333333333</v>
      </c>
      <c r="D80" s="200" t="s">
        <v>32</v>
      </c>
      <c r="E80" s="2991" t="str">
        <f ca="1">IF(C80&gt;=200%,"增值额超过扣除项目金额200%",IF(C80&gt;=100%,"增值额超过扣除项目金额100%，未超过200%",IF(C80&gt;=50%,"增值额超过扣除项目金额50%，未超过100%",IF(C80&lt;50%,"增值额未超过扣除项目金额50%"))))</f>
        <v>增值额超过扣除项目金额200%</v>
      </c>
      <c r="F80" s="2975"/>
      <c r="G80" s="297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2275</v>
      </c>
      <c r="C81" s="228">
        <f ca="1">ROUND(IF(C79&lt;=0,0,IF(C80&gt;=200%,C79*60%-C73*35%,IF(C80&gt;=100%,C79*50%-C73*15%,IF(C80&gt;=50%,C79*40%-C73*5%,IF(C80&lt;50%,C79*30%,0))))),0)</f>
        <v>41567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0" t="s">
        <v>2276</v>
      </c>
      <c r="B83" s="3151"/>
      <c r="C83" s="3151"/>
      <c r="D83" s="3151"/>
      <c r="E83" s="3151"/>
      <c r="F83" s="3151"/>
      <c r="G83" s="3151"/>
      <c r="H83" s="315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1" t="s">
        <v>2239</v>
      </c>
      <c r="B84" s="3142"/>
      <c r="C84" s="2981"/>
      <c r="D84" s="2981" t="s">
        <v>2240</v>
      </c>
      <c r="E84" s="213" t="s">
        <v>2241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2259</v>
      </c>
      <c r="C85" s="207">
        <f ca="1">ROUND(D45/(1+'数据-取费表'!C42),0)</f>
        <v>69944</v>
      </c>
      <c r="D85" s="200" t="s">
        <v>32</v>
      </c>
      <c r="E85" s="2980"/>
      <c r="F85" s="2975"/>
      <c r="G85" s="297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2260</v>
      </c>
      <c r="C86" s="207">
        <f ca="1">IF(H88="仅含出让金",C87+C90+C91+C92+C93+C94,C87+C91+C92+C93+C94)</f>
        <v>420</v>
      </c>
      <c r="D86" s="235"/>
      <c r="E86" s="2980"/>
      <c r="F86" s="2975"/>
      <c r="G86" s="297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2277</v>
      </c>
      <c r="C87" s="225">
        <f>C88+C89</f>
        <v>0</v>
      </c>
      <c r="D87" s="226"/>
      <c r="E87" s="2976"/>
      <c r="F87" s="2977"/>
      <c r="G87" s="2977"/>
      <c r="H87" s="297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2278</v>
      </c>
      <c r="C88" s="236"/>
      <c r="D88" s="226"/>
      <c r="E88" s="237" t="s">
        <v>2279</v>
      </c>
      <c r="F88" s="2977"/>
      <c r="G88" s="238"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2268</v>
      </c>
      <c r="C89" s="225">
        <f>ROUND(C88*D89,0)</f>
        <v>0</v>
      </c>
      <c r="D89" s="226">
        <f>'数据-取费表'!B48+'数据-取费表'!B49</f>
        <v>3.0499999999999999E-2</v>
      </c>
      <c r="E89" s="237" t="s">
        <v>2281</v>
      </c>
      <c r="F89" s="2977"/>
      <c r="G89" s="2977"/>
      <c r="H89" s="297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2282</v>
      </c>
      <c r="C90" s="236"/>
      <c r="D90" s="226"/>
      <c r="E90" s="237" t="str">
        <f>IF(H88="-","土地取得成本中已包含该笔费用"," ")</f>
        <v xml:space="preserve"> </v>
      </c>
      <c r="F90" s="2977"/>
      <c r="G90" s="2977"/>
      <c r="H90" s="297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2283</v>
      </c>
      <c r="B91" s="198" t="s">
        <v>2284</v>
      </c>
      <c r="C91" s="225">
        <f>IF(H91="——",成本法!C33,I91)</f>
        <v>0</v>
      </c>
      <c r="D91" s="226"/>
      <c r="E91" s="3138" t="s">
        <v>2285</v>
      </c>
      <c r="F91" s="3139"/>
      <c r="G91" s="3139"/>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2287</v>
      </c>
      <c r="B92" s="198" t="s">
        <v>2288</v>
      </c>
      <c r="C92" s="225">
        <f>ROUND((C87+C90+C91)*D92,0)</f>
        <v>0</v>
      </c>
      <c r="D92" s="226">
        <v>0.1</v>
      </c>
      <c r="E92" s="3138" t="s">
        <v>2289</v>
      </c>
      <c r="F92" s="3139"/>
      <c r="G92" s="3139"/>
      <c r="H92" s="314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2290</v>
      </c>
      <c r="B93" s="198" t="s">
        <v>2271</v>
      </c>
      <c r="C93" s="225">
        <f ca="1">ROUND(D45*D93/(1+'数据-取费表'!C42),0)</f>
        <v>420</v>
      </c>
      <c r="D93" s="226">
        <f>'数据-取费表'!B43</f>
        <v>6.000000000000001E-3</v>
      </c>
      <c r="E93" s="3138" t="s">
        <v>2272</v>
      </c>
      <c r="F93" s="3139"/>
      <c r="G93" s="3139"/>
      <c r="H93" s="314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2291</v>
      </c>
      <c r="B94" s="198" t="s">
        <v>2292</v>
      </c>
      <c r="C94" s="236">
        <f>ROUND((C87+C90+C91)*D94,0)</f>
        <v>0</v>
      </c>
      <c r="D94" s="226">
        <v>0.2</v>
      </c>
      <c r="E94" s="3186" t="s">
        <v>2293</v>
      </c>
      <c r="F94" s="3187"/>
      <c r="G94" s="3187"/>
      <c r="H94" s="318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2273</v>
      </c>
      <c r="C95" s="207">
        <f ca="1">ROUND(C85-C86,0)</f>
        <v>69524</v>
      </c>
      <c r="D95" s="200" t="s">
        <v>32</v>
      </c>
      <c r="E95" s="2980"/>
      <c r="F95" s="2975"/>
      <c r="G95" s="297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2274</v>
      </c>
      <c r="C96" s="227">
        <f ca="1">IF(C95&lt;=0,0,C95/C86)</f>
        <v>165.53333333333333</v>
      </c>
      <c r="D96" s="200" t="s">
        <v>32</v>
      </c>
      <c r="E96" s="2991" t="str">
        <f ca="1">IF(C96&gt;=200%,"增值额超过扣除项目金额200%",IF(C96&gt;=100%,"增值额超过扣除项目金额100%，未超过200%",IF(C96&gt;=50%,"增值额超过扣除项目金额50%，未超过100%",IF(C96&lt;50%,"增值额未超过扣除项目金额50%"))))</f>
        <v>增值额超过扣除项目金额200%</v>
      </c>
      <c r="F96" s="2975"/>
      <c r="G96" s="297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2275</v>
      </c>
      <c r="C97" s="228">
        <f ca="1">ROUND(IF(C95&lt;=0,0,IF(C96&gt;=200%,C95*60%-C86*35%,IF(C96&gt;=100%,C95*50%-C86*15%,IF(C96&gt;=50%,C95*40%-C86*5%,IF(C96&lt;50%,C95*30%,0))))),0)</f>
        <v>41567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2294</v>
      </c>
      <c r="B99" s="2411"/>
      <c r="C99" s="2411"/>
      <c r="D99" s="2411"/>
      <c r="E99" s="2159"/>
      <c r="F99" s="2159"/>
      <c r="G99" s="2159"/>
      <c r="H99" s="2158"/>
      <c r="I99" s="138"/>
    </row>
    <row r="100" spans="1:35" ht="18.75" customHeight="1">
      <c r="A100" s="3090" t="s">
        <v>2295</v>
      </c>
      <c r="B100" s="3091"/>
      <c r="C100" s="3091"/>
      <c r="D100" s="3122"/>
      <c r="E100" s="3091" t="s">
        <v>2296</v>
      </c>
      <c r="F100" s="3091"/>
      <c r="G100" s="3091"/>
      <c r="H100" s="3122"/>
      <c r="I100" s="138"/>
    </row>
    <row r="101" spans="1:35" ht="18.75" customHeight="1">
      <c r="A101" s="3130" t="s">
        <v>2297</v>
      </c>
      <c r="B101" s="3131"/>
      <c r="C101" s="735" t="str">
        <f>C4</f>
        <v>比较法-办公</v>
      </c>
      <c r="D101" s="736" t="str">
        <f>D4</f>
        <v>收益法办</v>
      </c>
      <c r="E101" s="3102" t="s">
        <v>2298</v>
      </c>
      <c r="F101" s="3103"/>
      <c r="G101" s="2513" t="s">
        <v>2299</v>
      </c>
      <c r="H101" s="1043">
        <f ca="1">H118</f>
        <v>73441</v>
      </c>
      <c r="I101" s="138"/>
    </row>
    <row r="102" spans="1:35" ht="18.75" customHeight="1">
      <c r="A102" s="3132" t="s">
        <v>2300</v>
      </c>
      <c r="B102" s="2513" t="s">
        <v>2299</v>
      </c>
      <c r="C102" s="735">
        <f ca="1">C19</f>
        <v>85585</v>
      </c>
      <c r="D102" s="736">
        <f ca="1">D19</f>
        <v>55225</v>
      </c>
      <c r="E102" s="3102"/>
      <c r="F102" s="3103"/>
      <c r="G102" s="2513" t="s">
        <v>2301</v>
      </c>
      <c r="H102" s="371">
        <f ca="1">I118</f>
        <v>32906</v>
      </c>
      <c r="I102" s="138"/>
    </row>
    <row r="103" spans="1:35" ht="42.75" customHeight="1">
      <c r="A103" s="3132"/>
      <c r="B103" s="2513" t="s">
        <v>2301</v>
      </c>
      <c r="C103" s="737">
        <f ca="1">C20</f>
        <v>50000</v>
      </c>
      <c r="D103" s="738">
        <f ca="1">D20</f>
        <v>32263</v>
      </c>
      <c r="E103" s="3096" t="s">
        <v>2302</v>
      </c>
      <c r="F103" s="3097"/>
      <c r="G103" s="2514" t="s">
        <v>2303</v>
      </c>
      <c r="H103" s="1043">
        <f>IF(D36="正常操作",H104+H105+H106,H105+H106)</f>
        <v>0</v>
      </c>
      <c r="I103" s="138"/>
    </row>
    <row r="104" spans="1:35" ht="18.75" customHeight="1">
      <c r="A104" s="3132" t="s">
        <v>2304</v>
      </c>
      <c r="B104" s="2515" t="s">
        <v>2299</v>
      </c>
      <c r="C104" s="739">
        <f ca="1">H118</f>
        <v>73441</v>
      </c>
      <c r="D104" s="740"/>
      <c r="E104" s="2259" t="s">
        <v>2305</v>
      </c>
      <c r="F104" s="2251"/>
      <c r="G104" s="2514" t="s">
        <v>2303</v>
      </c>
      <c r="H104" s="1044">
        <f>IF(D36="同一抵押权人同一抵押物续贷",C36&amp;"（未扣减，详见特别提示）",C36)</f>
        <v>0</v>
      </c>
      <c r="I104" s="138"/>
    </row>
    <row r="105" spans="1:35" ht="18.75" customHeight="1" thickBot="1">
      <c r="A105" s="3144"/>
      <c r="B105" s="2516" t="s">
        <v>2301</v>
      </c>
      <c r="C105" s="741">
        <f ca="1">I118</f>
        <v>32906</v>
      </c>
      <c r="D105" s="742"/>
      <c r="E105" s="2259" t="s">
        <v>2306</v>
      </c>
      <c r="F105" s="2251"/>
      <c r="G105" s="2514" t="s">
        <v>2303</v>
      </c>
      <c r="H105" s="1044">
        <f>C37</f>
        <v>0</v>
      </c>
      <c r="I105" s="138"/>
    </row>
    <row r="106" spans="1:35" ht="18.75" customHeight="1">
      <c r="A106" s="2411" t="s">
        <v>2307</v>
      </c>
      <c r="B106" s="2411"/>
      <c r="C106" s="2411"/>
      <c r="D106" s="2411"/>
      <c r="E106" s="2517" t="s">
        <v>2308</v>
      </c>
      <c r="F106" s="2251"/>
      <c r="G106" s="2514" t="s">
        <v>2303</v>
      </c>
      <c r="H106" s="1044">
        <f>C38</f>
        <v>0</v>
      </c>
      <c r="I106" s="138"/>
    </row>
    <row r="107" spans="1:35" ht="18.75" customHeight="1">
      <c r="A107" s="138"/>
      <c r="B107" s="138"/>
      <c r="C107" s="138"/>
      <c r="D107" s="138"/>
      <c r="E107" s="3133" t="str">
        <f>IF(项目基本情况!E8="已注销","——","3.房地产抵押价值")</f>
        <v>3.房地产抵押价值</v>
      </c>
      <c r="F107" s="3103"/>
      <c r="G107" s="2513" t="s">
        <v>2299</v>
      </c>
      <c r="H107" s="1043">
        <f ca="1">IF(E107="——","——",H101-H103)</f>
        <v>73441</v>
      </c>
      <c r="I107" s="138"/>
    </row>
    <row r="108" spans="1:35" ht="18.75" customHeight="1">
      <c r="A108" s="138"/>
      <c r="B108" s="138"/>
      <c r="C108" s="138"/>
      <c r="D108" s="138"/>
      <c r="E108" s="3133"/>
      <c r="F108" s="3103"/>
      <c r="G108" s="2513" t="s">
        <v>2301</v>
      </c>
      <c r="H108" s="371">
        <f ca="1">ROUND(H107*10000/'数据-汇总表'!E3,0)</f>
        <v>32906</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13" t="s">
        <v>2299</v>
      </c>
      <c r="H109" s="348" t="str">
        <f>IF(E109="——","——",H101-H105-H106)</f>
        <v>——</v>
      </c>
      <c r="I109" s="138"/>
    </row>
    <row r="110" spans="1:35" ht="18.75" customHeight="1">
      <c r="A110" s="138"/>
      <c r="B110" s="138"/>
      <c r="C110" s="138"/>
      <c r="D110" s="138"/>
      <c r="E110" s="3133"/>
      <c r="F110" s="3103"/>
      <c r="G110" s="2513"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3" t="s">
        <v>2299</v>
      </c>
      <c r="H111" s="1043" t="str">
        <f>IF(E111="——","——",N59)</f>
        <v>——</v>
      </c>
      <c r="I111" s="138"/>
    </row>
    <row r="112" spans="1:35" ht="18.75" customHeight="1" thickBot="1">
      <c r="A112" s="138"/>
      <c r="B112" s="138"/>
      <c r="C112" s="138"/>
      <c r="D112" s="138"/>
      <c r="E112" s="3136"/>
      <c r="F112" s="3137"/>
      <c r="G112" s="2518" t="s">
        <v>2301</v>
      </c>
      <c r="H112" s="789" t="str">
        <f>IF(E111="——","——",N61)</f>
        <v>——</v>
      </c>
      <c r="I112" s="138"/>
    </row>
    <row r="113" spans="1:11" ht="18.75" customHeight="1">
      <c r="A113" s="138"/>
      <c r="B113" s="138"/>
      <c r="C113" s="138"/>
      <c r="D113" s="138"/>
      <c r="E113" s="3145" t="s">
        <v>2307</v>
      </c>
      <c r="F113" s="3145"/>
      <c r="G113" s="3145"/>
      <c r="H113" s="3145"/>
      <c r="I113" s="138"/>
    </row>
    <row r="114" spans="1:11" ht="3.75" customHeight="1">
      <c r="A114" s="2411"/>
      <c r="B114" s="2411"/>
      <c r="C114" s="2411"/>
      <c r="D114" s="2411"/>
      <c r="E114" s="2489"/>
      <c r="F114" s="2489"/>
      <c r="G114" s="2489"/>
      <c r="H114" s="2489"/>
      <c r="I114" s="2411"/>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2973" t="s">
        <v>2316</v>
      </c>
      <c r="E117" s="2973" t="s">
        <v>2317</v>
      </c>
      <c r="F117" s="2973" t="s">
        <v>2316</v>
      </c>
      <c r="G117" s="2973" t="s">
        <v>2318</v>
      </c>
      <c r="H117" s="2973" t="s">
        <v>2316</v>
      </c>
      <c r="I117" s="2973" t="s">
        <v>2318</v>
      </c>
    </row>
    <row r="118" spans="1:11" ht="24.75" customHeight="1">
      <c r="A118" s="2519" t="str">
        <f>项目基本情况!S2</f>
        <v>北京市诺德中心三期出让国有建设用地使用权及在建建筑物房地产</v>
      </c>
      <c r="B118" s="2973">
        <f>M18</f>
        <v>22318.329999999998</v>
      </c>
      <c r="C118" s="2973">
        <f>M19</f>
        <v>0</v>
      </c>
      <c r="D118" s="2973" t="e">
        <f ca="1">ROUND(IF(D32="总价",C34,E118*B118/10000),0)</f>
        <v>#DIV/0!</v>
      </c>
      <c r="E118" s="2973" t="e">
        <f ca="1">ROUND(IF(C33="自定义",IF(D32="楼面单价",C34,D118*10000/B118),I118-G118),0)</f>
        <v>#DIV/0!</v>
      </c>
      <c r="F118" s="2973" t="e">
        <f ca="1">ROUND(IF(D32="总价",C35,G118*B118/10000),0)</f>
        <v>#DIV/0!</v>
      </c>
      <c r="G118" s="2973" t="e">
        <f ca="1">ROUND(IF(D32="楼面单价",C35,F118*10000/B118),0)</f>
        <v>#DIV/0!</v>
      </c>
      <c r="H118" s="2973">
        <f ca="1">ROUND(IF(D32="总价",C32,I118*B118/10000),0)</f>
        <v>73441</v>
      </c>
      <c r="I118" s="2973">
        <f ca="1">ROUND(IF(D32="楼面单价",C32,H118*10000/B118),0)</f>
        <v>32906</v>
      </c>
    </row>
    <row r="119" spans="1:11" ht="18.75" customHeight="1">
      <c r="A119" s="3069" t="s">
        <v>2319</v>
      </c>
      <c r="B119" s="3069"/>
      <c r="C119" s="3069"/>
      <c r="D119" s="3114" t="e">
        <f ca="1">NUMBERSTRING(INT(D118*10000),2)&amp;"元整"</f>
        <v>#DIV/0!</v>
      </c>
      <c r="E119" s="3115"/>
      <c r="F119" s="3114" t="e">
        <f ca="1">NUMBERSTRING(INT(F118*10000),2)&amp;"元整"</f>
        <v>#DIV/0!</v>
      </c>
      <c r="G119" s="3115"/>
      <c r="H119" s="3114" t="str">
        <f ca="1">NUMBERSTRING(INT(H118*10000),2)&amp;"元整"</f>
        <v>柒亿叁仟肆佰肆拾壹万元整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6"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73441</v>
      </c>
      <c r="E122" s="3110"/>
      <c r="F122" s="3110"/>
      <c r="G122" s="3110"/>
      <c r="H122" s="3110"/>
      <c r="I122" s="3111"/>
    </row>
    <row r="123" spans="1:11" ht="18.75" customHeight="1">
      <c r="A123" s="3069" t="s">
        <v>2319</v>
      </c>
      <c r="B123" s="3069"/>
      <c r="C123" s="3069"/>
      <c r="D123" s="3114" t="str">
        <f ca="1">NUMBERSTRING(INT(D122*10000),2)&amp;"元整"</f>
        <v>柒亿叁仟肆佰肆拾壹万元整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0" t="s">
        <v>2321</v>
      </c>
      <c r="B129" s="2521"/>
      <c r="C129" s="2522" t="s">
        <v>2322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2323</v>
      </c>
      <c r="G135" s="2537"/>
      <c r="H135" s="2537"/>
      <c r="I135" s="2538" t="s">
        <v>2324</v>
      </c>
    </row>
    <row r="136" spans="1:35" ht="21.75" customHeight="1">
      <c r="A136" s="794"/>
      <c r="B136" s="2539"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2326</v>
      </c>
    </row>
    <row r="139" spans="1:35" ht="21.75" customHeight="1">
      <c r="A139" s="794"/>
      <c r="B139" s="2539" t="s">
        <v>2327</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2326</v>
      </c>
    </row>
    <row r="142" spans="1:35" ht="21.75" customHeight="1">
      <c r="A142" s="794"/>
      <c r="B142" s="2539"/>
      <c r="C142" s="2540"/>
      <c r="D142" s="2541"/>
      <c r="E142" s="2541"/>
      <c r="F142" s="2333"/>
      <c r="G142" s="794"/>
      <c r="H142" s="794"/>
      <c r="I142" s="794"/>
    </row>
    <row r="143" spans="1:35" s="139"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受贵公司委托，我公司对北京市诺德中心三期出让国有建设用地使用权及在建建筑物房地产抵押价值进行了预评估。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估价对象为北京市诺德中心三期出让国有建设用地使用权及在建建筑物房地产，为0所有。根据《国有土地使用证》[]，估价对象（分摊）出让国有建设用地使用权面积为0平方米，建筑面积为22318.33平方米。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诺德中心三期出让国有建设用地使用权及在建建筑物房地产,属0开发建设的居住项目，该项目尚在开发建设中。根据《国有土地使用证》[]，估价对象（分摊）出让国有建设用地使用权面积为0平方米，规划建筑面积为22318.33平方米。</v>
      </c>
    </row>
    <row r="11" spans="1:1" ht="76.5">
      <c r="A11" s="1948" t="s">
        <v>1616</v>
      </c>
    </row>
    <row r="12" spans="1:1" ht="18.75">
      <c r="A12" s="1946" t="s">
        <v>1617</v>
      </c>
    </row>
    <row r="13" spans="1:1" ht="38.25" customHeight="1">
      <c r="A13" s="1949" t="str">
        <f>IF(项目基本情况!B8="抵押",IF(项目基本情况!B5=项目基本情况!B6,定义!C51,定义!B51),定义!D51)</f>
        <v>拟使用北京市诺德中心三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2019年3月15日（评估专业人员实地查勘之日）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住宅、商业，土地取得方式为出让，出让国有建设用地使用权剩余土地使用年限为住宅、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红线内场地平整条件下，剩余土地使用年限为住宅、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64" t="s">
        <v>2685</v>
      </c>
      <c r="C1" s="1617" t="s">
        <v>2529</v>
      </c>
      <c r="D1" s="1618" t="s">
        <v>27</v>
      </c>
      <c r="E1" s="1627"/>
      <c r="F1" s="2579"/>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6">
        <f>IF(C2="——",ROUND(C50*D3/10000,0),ROUND(C50*D3/10000,0)-D2)</f>
        <v>85585</v>
      </c>
      <c r="C2" s="2581" t="s">
        <v>70</v>
      </c>
      <c r="D2" s="1363" t="e">
        <f ca="1">SUMIF(INDIRECT("'"&amp;F2&amp;"'"&amp;"!A:A"),"承租人权益价值",INDIRECT("'"&amp;F2&amp;"'"&amp;"!c:c"))</f>
        <v>#REF!</v>
      </c>
      <c r="E2" s="2582" t="s">
        <v>2330</v>
      </c>
      <c r="F2" s="2583"/>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2331</v>
      </c>
      <c r="B3" s="608">
        <f>IF(C2="——",C50,ROUND(B2*10000/D3,0))</f>
        <v>50000</v>
      </c>
      <c r="C3" s="400" t="s">
        <v>2643</v>
      </c>
      <c r="D3" s="399">
        <f>IF(D1="",'数据-汇总表'!E3,SUMIF('数据-汇总表'!$C19:$C33,D1,'数据-汇总表'!$E19:$E33))</f>
        <v>17116.989999999998</v>
      </c>
      <c r="E3" s="2658"/>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76" t="s">
        <v>2650</v>
      </c>
      <c r="Q4" s="3277"/>
      <c r="R4" s="3271" t="s">
        <v>2646</v>
      </c>
      <c r="S4" s="3272"/>
      <c r="T4" s="3271" t="s">
        <v>2647</v>
      </c>
      <c r="U4" s="3272"/>
      <c r="V4" s="3280" t="s">
        <v>2648</v>
      </c>
      <c r="W4" s="3280"/>
      <c r="X4" s="2665"/>
      <c r="Y4" s="3271" t="s">
        <v>2650</v>
      </c>
      <c r="Z4" s="3272"/>
      <c r="AA4" s="3270" t="s">
        <v>2646</v>
      </c>
      <c r="AB4" s="3270" t="s">
        <v>2647</v>
      </c>
      <c r="AC4" s="3273" t="s">
        <v>2648</v>
      </c>
    </row>
    <row r="5" spans="1:29" ht="15">
      <c r="A5" s="404"/>
      <c r="B5" s="405"/>
      <c r="C5" s="3200" t="s">
        <v>2541</v>
      </c>
      <c r="D5" s="3201"/>
      <c r="E5" s="3198" t="s">
        <v>2542</v>
      </c>
      <c r="F5" s="3199"/>
      <c r="G5" s="3200" t="s">
        <v>2543</v>
      </c>
      <c r="H5" s="3201"/>
      <c r="I5" s="3200" t="s">
        <v>2544</v>
      </c>
      <c r="J5" s="3201"/>
      <c r="K5" s="609"/>
      <c r="L5" s="1128"/>
      <c r="M5" s="1129"/>
      <c r="N5" s="1129"/>
      <c r="O5" s="1129"/>
      <c r="P5" s="3278"/>
      <c r="Q5" s="3214"/>
      <c r="R5" s="3196"/>
      <c r="S5" s="3197"/>
      <c r="T5" s="3196"/>
      <c r="U5" s="3197"/>
      <c r="V5" s="3219"/>
      <c r="W5" s="3219"/>
      <c r="X5" s="1810"/>
      <c r="Y5" s="3196"/>
      <c r="Z5" s="3197"/>
      <c r="AA5" s="3190"/>
      <c r="AB5" s="3190"/>
      <c r="AC5" s="3274"/>
    </row>
    <row r="6" spans="1:29" ht="15.75" thickBot="1">
      <c r="A6" s="406"/>
      <c r="B6" s="407"/>
      <c r="C6" s="3202" t="s">
        <v>2545</v>
      </c>
      <c r="D6" s="3203"/>
      <c r="E6" s="3204" t="s">
        <v>2545</v>
      </c>
      <c r="F6" s="3205"/>
      <c r="G6" s="3202" t="s">
        <v>2545</v>
      </c>
      <c r="H6" s="3203"/>
      <c r="I6" s="3202" t="s">
        <v>2545</v>
      </c>
      <c r="J6" s="3203"/>
      <c r="K6" s="609" t="s">
        <v>2546</v>
      </c>
      <c r="L6" s="1128"/>
      <c r="M6" s="1129"/>
      <c r="N6" s="1129"/>
      <c r="O6" s="1129"/>
      <c r="P6" s="3279"/>
      <c r="Q6" s="3216"/>
      <c r="R6" s="3196"/>
      <c r="S6" s="3197"/>
      <c r="T6" s="3217"/>
      <c r="U6" s="3218"/>
      <c r="V6" s="3219"/>
      <c r="W6" s="3219"/>
      <c r="X6" s="1810"/>
      <c r="Y6" s="3217"/>
      <c r="Z6" s="3218"/>
      <c r="AA6" s="3191"/>
      <c r="AB6" s="3191"/>
      <c r="AC6" s="3275"/>
    </row>
    <row r="7" spans="1:29" s="117" customFormat="1" ht="15.75" thickBot="1">
      <c r="A7" s="408" t="s">
        <v>2547</v>
      </c>
      <c r="B7" s="409"/>
      <c r="C7" s="410">
        <f>'数据-取费表'!B2</f>
        <v>43539</v>
      </c>
      <c r="D7" s="411">
        <v>100</v>
      </c>
      <c r="E7" s="412">
        <v>43525</v>
      </c>
      <c r="F7" s="413">
        <f>SUMIF(59:59,YEAR(E7)&amp;"-"&amp;MONTH(E7),60:60)</f>
        <v>100</v>
      </c>
      <c r="G7" s="412">
        <f>E7</f>
        <v>43525</v>
      </c>
      <c r="H7" s="411">
        <f>SUMIF(59:59,YEAR(G7)&amp;"-"&amp;MONTH(G7),60:60)</f>
        <v>100</v>
      </c>
      <c r="I7" s="412">
        <f>G7</f>
        <v>43525</v>
      </c>
      <c r="J7" s="411">
        <f>SUMIF(59:59,YEAR(I7)&amp;"-"&amp;MONTH(I7),60:60)</f>
        <v>100</v>
      </c>
      <c r="K7" s="610"/>
      <c r="L7" s="1130"/>
      <c r="M7" s="1131"/>
      <c r="N7" s="1131"/>
      <c r="O7" s="1131"/>
      <c r="P7" s="3281" t="s">
        <v>2548</v>
      </c>
      <c r="Q7" s="3220"/>
      <c r="R7" s="769" t="s">
        <v>17</v>
      </c>
      <c r="S7" s="770">
        <f t="shared" ref="S7:S15" si="0">F7</f>
        <v>100</v>
      </c>
      <c r="T7" s="769" t="s">
        <v>17</v>
      </c>
      <c r="U7" s="770">
        <f t="shared" ref="U7:U15" si="1">H7</f>
        <v>100</v>
      </c>
      <c r="V7" s="769" t="s">
        <v>17</v>
      </c>
      <c r="W7" s="770">
        <f t="shared" ref="W7:W15" si="2">J7</f>
        <v>100</v>
      </c>
      <c r="X7" s="771"/>
      <c r="Y7" s="3192" t="s">
        <v>2548</v>
      </c>
      <c r="Z7" s="3193"/>
      <c r="AA7" s="772">
        <f>D7/F7</f>
        <v>1</v>
      </c>
      <c r="AB7" s="772">
        <f>D7/H7</f>
        <v>1</v>
      </c>
      <c r="AC7" s="2666">
        <f>D7/J7</f>
        <v>1</v>
      </c>
    </row>
    <row r="8" spans="1:29" s="117"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0"/>
      <c r="L8" s="1130"/>
      <c r="M8" s="1131"/>
      <c r="N8" s="1131"/>
      <c r="O8" s="1131"/>
      <c r="P8" s="3281" t="s">
        <v>2551</v>
      </c>
      <c r="Q8" s="3193"/>
      <c r="R8" s="769" t="s">
        <v>17</v>
      </c>
      <c r="S8" s="770">
        <f t="shared" si="0"/>
        <v>100</v>
      </c>
      <c r="T8" s="769" t="s">
        <v>17</v>
      </c>
      <c r="U8" s="770">
        <f t="shared" si="1"/>
        <v>100</v>
      </c>
      <c r="V8" s="769" t="s">
        <v>17</v>
      </c>
      <c r="W8" s="770">
        <f t="shared" si="2"/>
        <v>100</v>
      </c>
      <c r="X8" s="771"/>
      <c r="Y8" s="3192" t="s">
        <v>2551</v>
      </c>
      <c r="Z8" s="3193"/>
      <c r="AA8" s="772">
        <f t="shared" ref="AA8:AA47" si="3">D8/F8</f>
        <v>1</v>
      </c>
      <c r="AB8" s="772">
        <f t="shared" ref="AB8:AB47" si="4">D8/H8</f>
        <v>1</v>
      </c>
      <c r="AC8" s="2666">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0"/>
      <c r="L9" s="1130"/>
      <c r="M9" s="1131"/>
      <c r="N9" s="1131"/>
      <c r="O9" s="1131"/>
      <c r="P9" s="3230"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2666">
        <f t="shared" si="5"/>
        <v>1</v>
      </c>
    </row>
    <row r="10" spans="1:29" s="426" customFormat="1" ht="27">
      <c r="A10" s="420"/>
      <c r="B10" s="421" t="s">
        <v>2556</v>
      </c>
      <c r="C10" s="422"/>
      <c r="D10" s="136">
        <v>100</v>
      </c>
      <c r="E10" s="422"/>
      <c r="F10" s="136">
        <f>SUMIF(66:66,E10,67:67)-SUMIF(66:66,C10,67:67)+100</f>
        <v>100</v>
      </c>
      <c r="G10" s="423"/>
      <c r="H10" s="136">
        <f>SUMIF(66:66,G10,67:67)-SUMIF(66:66,C10,67:67)+100</f>
        <v>100</v>
      </c>
      <c r="I10" s="422"/>
      <c r="J10" s="136">
        <f>SUMIF(66:66,I10,67:67)-SUMIF(66:66,C10,67:67)+100</f>
        <v>100</v>
      </c>
      <c r="K10" s="611"/>
      <c r="L10" s="1133"/>
      <c r="M10" s="1134"/>
      <c r="N10" s="1134"/>
      <c r="O10" s="1134"/>
      <c r="P10" s="3230"/>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2666">
        <f t="shared" si="5"/>
        <v>1</v>
      </c>
    </row>
    <row r="11" spans="1:29" ht="15">
      <c r="A11" s="427"/>
      <c r="B11" s="421" t="s">
        <v>2557</v>
      </c>
      <c r="C11" s="428">
        <v>2</v>
      </c>
      <c r="D11" s="136">
        <v>100</v>
      </c>
      <c r="E11" s="428">
        <v>2</v>
      </c>
      <c r="F11" s="136">
        <f>LOOKUP(E11,69:69,70:70)-LOOKUP(C11,69:69,70:70)+100</f>
        <v>100</v>
      </c>
      <c r="G11" s="429">
        <v>2</v>
      </c>
      <c r="H11" s="136">
        <f>LOOKUP(G11,69:69,70:70)-LOOKUP(C11,69:69,70:70)+100</f>
        <v>100</v>
      </c>
      <c r="I11" s="428">
        <v>2</v>
      </c>
      <c r="J11" s="136">
        <f>LOOKUP(I11,69:69,70:70)-LOOKUP(C11,69:69,70:70)+100</f>
        <v>100</v>
      </c>
      <c r="K11" s="611">
        <v>1</v>
      </c>
      <c r="L11" s="1136"/>
      <c r="M11" s="1129"/>
      <c r="N11" s="1129"/>
      <c r="O11" s="1129"/>
      <c r="P11" s="3230"/>
      <c r="Q11" s="1792" t="str">
        <f t="shared" si="6"/>
        <v>容积率</v>
      </c>
      <c r="R11" s="769" t="s">
        <v>17</v>
      </c>
      <c r="S11" s="770">
        <f t="shared" si="0"/>
        <v>100</v>
      </c>
      <c r="T11" s="769" t="s">
        <v>17</v>
      </c>
      <c r="U11" s="770">
        <f t="shared" si="1"/>
        <v>100</v>
      </c>
      <c r="V11" s="769" t="s">
        <v>17</v>
      </c>
      <c r="W11" s="770">
        <f t="shared" si="2"/>
        <v>100</v>
      </c>
      <c r="X11" s="771"/>
      <c r="Y11" s="3069"/>
      <c r="Z11" s="55" t="str">
        <f t="shared" si="7"/>
        <v>容积率</v>
      </c>
      <c r="AA11" s="772">
        <f t="shared" si="3"/>
        <v>1</v>
      </c>
      <c r="AB11" s="772">
        <f t="shared" si="4"/>
        <v>1</v>
      </c>
      <c r="AC11" s="2666">
        <f t="shared" si="5"/>
        <v>1</v>
      </c>
    </row>
    <row r="12" spans="1:29" s="117" customFormat="1" ht="15">
      <c r="A12" s="430"/>
      <c r="B12" s="2595">
        <v>111</v>
      </c>
      <c r="C12" s="431"/>
      <c r="D12" s="432">
        <v>100</v>
      </c>
      <c r="E12" s="431"/>
      <c r="F12" s="136">
        <f>SUMIF(71:71,E12,72:72)-SUMIF(71:71,C12,72:72)+100</f>
        <v>100</v>
      </c>
      <c r="G12" s="2667"/>
      <c r="H12" s="136">
        <f>SUMIF(71:71,G12,72:72)-SUMIF(71:71,C12,72:72)+100</f>
        <v>100</v>
      </c>
      <c r="I12" s="431"/>
      <c r="J12" s="136">
        <f>SUMIF(71:71,I12,72:72)-SUMIF(71:71,C12,72:72)+100</f>
        <v>100</v>
      </c>
      <c r="K12" s="612"/>
      <c r="L12" s="1130"/>
      <c r="M12" s="1131"/>
      <c r="N12" s="1131"/>
      <c r="O12" s="1131"/>
      <c r="P12" s="3230"/>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2666">
        <f>D12/J12</f>
        <v>1</v>
      </c>
    </row>
    <row r="13" spans="1:29" ht="15">
      <c r="A13" s="427"/>
      <c r="B13" s="2595">
        <v>111</v>
      </c>
      <c r="C13" s="433"/>
      <c r="D13" s="434">
        <v>100</v>
      </c>
      <c r="E13" s="431"/>
      <c r="F13" s="136">
        <f>SUMIF(73:73,E13,74:74)-SUMIF(73:73,C13,74:74)+100</f>
        <v>100</v>
      </c>
      <c r="G13" s="2667"/>
      <c r="H13" s="434">
        <f>SUMIF(73:73,G13,74:74)-SUMIF(73:73,C13,74:74)+100</f>
        <v>100</v>
      </c>
      <c r="I13" s="431"/>
      <c r="J13" s="434">
        <f>SUMIF(73:73,I13,74:74)-SUMIF(73:73,C13,74:74)+100</f>
        <v>100</v>
      </c>
      <c r="K13" s="612"/>
      <c r="L13" s="1138"/>
      <c r="M13" s="1129"/>
      <c r="N13" s="1129"/>
      <c r="O13" s="1129"/>
      <c r="P13" s="3230"/>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2666">
        <f t="shared" si="5"/>
        <v>1</v>
      </c>
    </row>
    <row r="14" spans="1:29" ht="15.75" thickBot="1">
      <c r="A14" s="435"/>
      <c r="B14" s="2597">
        <v>111</v>
      </c>
      <c r="C14" s="436"/>
      <c r="D14" s="437">
        <v>100</v>
      </c>
      <c r="E14" s="627"/>
      <c r="F14" s="437">
        <f>SUMIF(75:75,E14,76:76)-SUMIF(75:75,C14,76:76)+100</f>
        <v>100</v>
      </c>
      <c r="G14" s="2667"/>
      <c r="H14" s="437">
        <f>SUMIF(75:75,G14,76:76)-SUMIF(75:75,C14,76:76)+100</f>
        <v>100</v>
      </c>
      <c r="I14" s="431"/>
      <c r="J14" s="437">
        <f>SUMIF(75:75,I14,76:76)-SUMIF(75:75,C14,76:76)+100</f>
        <v>100</v>
      </c>
      <c r="K14" s="612"/>
      <c r="L14" s="1138"/>
      <c r="M14" s="1129"/>
      <c r="N14" s="1129"/>
      <c r="O14" s="1129"/>
      <c r="P14" s="3230"/>
      <c r="Q14" s="1792">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2666">
        <f t="shared" si="5"/>
        <v>1</v>
      </c>
    </row>
    <row r="15" spans="1:29" ht="71.25">
      <c r="A15" s="439" t="s">
        <v>2558</v>
      </c>
      <c r="B15" s="628" t="s">
        <v>2686</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8" t="s">
        <v>2559</v>
      </c>
      <c r="Q15" s="1807" t="str">
        <f t="shared" si="6"/>
        <v>办公集聚程度</v>
      </c>
      <c r="R15" s="773" t="s">
        <v>17</v>
      </c>
      <c r="S15" s="774">
        <f t="shared" si="0"/>
        <v>100</v>
      </c>
      <c r="T15" s="773" t="s">
        <v>17</v>
      </c>
      <c r="U15" s="774">
        <f t="shared" si="1"/>
        <v>100</v>
      </c>
      <c r="V15" s="773" t="s">
        <v>17</v>
      </c>
      <c r="W15" s="774">
        <f t="shared" si="2"/>
        <v>100</v>
      </c>
      <c r="X15" s="1810"/>
      <c r="Y15" s="3221" t="s">
        <v>2559</v>
      </c>
      <c r="Z15" s="1811" t="str">
        <f t="shared" si="7"/>
        <v>办公集聚程度</v>
      </c>
      <c r="AA15" s="1808">
        <f t="shared" si="3"/>
        <v>1</v>
      </c>
      <c r="AB15" s="1808">
        <f t="shared" si="4"/>
        <v>1</v>
      </c>
      <c r="AC15" s="2669">
        <f t="shared" si="5"/>
        <v>1</v>
      </c>
    </row>
    <row r="16" spans="1:29" ht="15">
      <c r="A16" s="427"/>
      <c r="B16" s="629"/>
      <c r="C16" s="2606"/>
      <c r="D16" s="447"/>
      <c r="E16" s="446"/>
      <c r="F16" s="447"/>
      <c r="G16" s="2606"/>
      <c r="H16" s="449"/>
      <c r="I16" s="446"/>
      <c r="J16" s="447"/>
      <c r="K16" s="614"/>
      <c r="L16" s="1138"/>
      <c r="M16" s="1129"/>
      <c r="N16" s="1129"/>
      <c r="O16" s="1129"/>
      <c r="P16" s="3269"/>
      <c r="Q16" s="1807"/>
      <c r="R16" s="773"/>
      <c r="S16" s="774"/>
      <c r="T16" s="773"/>
      <c r="U16" s="774"/>
      <c r="V16" s="773"/>
      <c r="W16" s="774"/>
      <c r="X16" s="1810"/>
      <c r="Y16" s="3222"/>
      <c r="Z16" s="1811"/>
      <c r="AA16" s="1808">
        <v>1</v>
      </c>
      <c r="AB16" s="1808">
        <v>1</v>
      </c>
      <c r="AC16" s="2669">
        <v>1</v>
      </c>
    </row>
    <row r="17" spans="1:29" ht="71.25">
      <c r="A17" s="427"/>
      <c r="B17" s="630" t="s">
        <v>2097</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9"/>
      <c r="Q17" s="1807" t="str">
        <f>B17</f>
        <v>交通便捷度</v>
      </c>
      <c r="R17" s="773" t="s">
        <v>17</v>
      </c>
      <c r="S17" s="774">
        <f>F17</f>
        <v>100</v>
      </c>
      <c r="T17" s="773" t="s">
        <v>17</v>
      </c>
      <c r="U17" s="774">
        <f>H17</f>
        <v>100</v>
      </c>
      <c r="V17" s="773" t="s">
        <v>17</v>
      </c>
      <c r="W17" s="774">
        <f>J17</f>
        <v>100</v>
      </c>
      <c r="X17" s="1810"/>
      <c r="Y17" s="3222"/>
      <c r="Z17" s="1811" t="str">
        <f>Q17</f>
        <v>交通便捷度</v>
      </c>
      <c r="AA17" s="1808">
        <f t="shared" si="3"/>
        <v>1</v>
      </c>
      <c r="AB17" s="1808">
        <f t="shared" si="4"/>
        <v>1</v>
      </c>
      <c r="AC17" s="2669">
        <f t="shared" si="5"/>
        <v>1</v>
      </c>
    </row>
    <row r="18" spans="1:29" ht="15">
      <c r="A18" s="427"/>
      <c r="B18" s="631"/>
      <c r="C18" s="2671"/>
      <c r="D18" s="449"/>
      <c r="E18" s="2604"/>
      <c r="F18" s="449"/>
      <c r="G18" s="2605"/>
      <c r="H18" s="447"/>
      <c r="I18" s="2605"/>
      <c r="J18" s="447"/>
      <c r="K18" s="614"/>
      <c r="L18" s="1138"/>
      <c r="M18" s="1129"/>
      <c r="N18" s="1129"/>
      <c r="O18" s="1129"/>
      <c r="P18" s="3269"/>
      <c r="Q18" s="1807"/>
      <c r="R18" s="773"/>
      <c r="S18" s="774"/>
      <c r="T18" s="773"/>
      <c r="U18" s="774"/>
      <c r="V18" s="773"/>
      <c r="W18" s="774"/>
      <c r="X18" s="1810"/>
      <c r="Y18" s="3222"/>
      <c r="Z18" s="1811"/>
      <c r="AA18" s="1808">
        <v>1</v>
      </c>
      <c r="AB18" s="1808">
        <v>1</v>
      </c>
      <c r="AC18" s="2669">
        <v>1</v>
      </c>
    </row>
    <row r="19" spans="1:29" ht="42.75">
      <c r="A19" s="427"/>
      <c r="B19" s="630" t="s">
        <v>2687</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9"/>
      <c r="Q19" s="1807" t="str">
        <f>B19</f>
        <v>公共配套设施</v>
      </c>
      <c r="R19" s="773" t="s">
        <v>17</v>
      </c>
      <c r="S19" s="774">
        <f>F19</f>
        <v>100</v>
      </c>
      <c r="T19" s="773" t="s">
        <v>17</v>
      </c>
      <c r="U19" s="774">
        <f>H19</f>
        <v>100</v>
      </c>
      <c r="V19" s="773" t="s">
        <v>17</v>
      </c>
      <c r="W19" s="774">
        <f>J19</f>
        <v>100</v>
      </c>
      <c r="X19" s="1810"/>
      <c r="Y19" s="3222"/>
      <c r="Z19" s="1811" t="str">
        <f>Q19</f>
        <v>公共配套设施</v>
      </c>
      <c r="AA19" s="1808">
        <f t="shared" si="3"/>
        <v>1</v>
      </c>
      <c r="AB19" s="1808">
        <f t="shared" si="4"/>
        <v>1</v>
      </c>
      <c r="AC19" s="2669">
        <f t="shared" si="5"/>
        <v>1</v>
      </c>
    </row>
    <row r="20" spans="1:29" ht="15">
      <c r="A20" s="427"/>
      <c r="B20" s="631"/>
      <c r="C20" s="2606"/>
      <c r="D20" s="447"/>
      <c r="E20" s="2599"/>
      <c r="F20" s="447"/>
      <c r="G20" s="2600"/>
      <c r="H20" s="447"/>
      <c r="I20" s="2600"/>
      <c r="J20" s="447"/>
      <c r="K20" s="614"/>
      <c r="L20" s="1138"/>
      <c r="M20" s="1129"/>
      <c r="N20" s="1129"/>
      <c r="O20" s="1129"/>
      <c r="P20" s="3269"/>
      <c r="Q20" s="1807"/>
      <c r="R20" s="773"/>
      <c r="S20" s="774"/>
      <c r="T20" s="773"/>
      <c r="U20" s="774"/>
      <c r="V20" s="773"/>
      <c r="W20" s="774"/>
      <c r="X20" s="1810"/>
      <c r="Y20" s="3222"/>
      <c r="Z20" s="1811"/>
      <c r="AA20" s="1808">
        <v>1</v>
      </c>
      <c r="AB20" s="1808">
        <v>1</v>
      </c>
      <c r="AC20" s="2669">
        <v>1</v>
      </c>
    </row>
    <row r="21" spans="1:29" ht="28.5">
      <c r="A21" s="427"/>
      <c r="B21" s="632" t="s">
        <v>2688</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9"/>
      <c r="Q21" s="1807" t="str">
        <f>B21</f>
        <v>基础设施水平</v>
      </c>
      <c r="R21" s="773" t="s">
        <v>17</v>
      </c>
      <c r="S21" s="774">
        <f>F21</f>
        <v>100</v>
      </c>
      <c r="T21" s="773" t="s">
        <v>17</v>
      </c>
      <c r="U21" s="774">
        <f>H21</f>
        <v>100</v>
      </c>
      <c r="V21" s="773" t="s">
        <v>17</v>
      </c>
      <c r="W21" s="774">
        <f>J21</f>
        <v>100</v>
      </c>
      <c r="X21" s="1810"/>
      <c r="Y21" s="3222"/>
      <c r="Z21" s="1811" t="str">
        <f>Q21</f>
        <v>基础设施水平</v>
      </c>
      <c r="AA21" s="1808">
        <f t="shared" ref="AA21" si="8">D21/F21</f>
        <v>1</v>
      </c>
      <c r="AB21" s="1808">
        <f t="shared" ref="AB21" si="9">D21/H21</f>
        <v>1</v>
      </c>
      <c r="AC21" s="2669">
        <f t="shared" ref="AC21" si="10">D21/J21</f>
        <v>1</v>
      </c>
    </row>
    <row r="22" spans="1:29" ht="15">
      <c r="A22" s="427"/>
      <c r="B22" s="632"/>
      <c r="C22" s="2671"/>
      <c r="D22" s="447"/>
      <c r="E22" s="446"/>
      <c r="F22" s="447"/>
      <c r="G22" s="2606"/>
      <c r="H22" s="447"/>
      <c r="I22" s="2606"/>
      <c r="J22" s="447"/>
      <c r="K22" s="1381"/>
      <c r="L22" s="1138"/>
      <c r="M22" s="1129"/>
      <c r="N22" s="1129"/>
      <c r="O22" s="1129"/>
      <c r="P22" s="3269"/>
      <c r="Q22" s="1807"/>
      <c r="R22" s="773"/>
      <c r="S22" s="774"/>
      <c r="T22" s="773"/>
      <c r="U22" s="774"/>
      <c r="V22" s="773"/>
      <c r="W22" s="774"/>
      <c r="X22" s="1810"/>
      <c r="Y22" s="3222"/>
      <c r="Z22" s="1811"/>
      <c r="AA22" s="1808">
        <v>1</v>
      </c>
      <c r="AB22" s="1808">
        <v>1</v>
      </c>
      <c r="AC22" s="2669">
        <v>1</v>
      </c>
    </row>
    <row r="23" spans="1:29" ht="42.75">
      <c r="A23" s="427"/>
      <c r="B23" s="630" t="s">
        <v>2689</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9"/>
      <c r="Q23" s="1807" t="str">
        <f>B23</f>
        <v>环境质量</v>
      </c>
      <c r="R23" s="773" t="s">
        <v>17</v>
      </c>
      <c r="S23" s="774">
        <f>F23</f>
        <v>100</v>
      </c>
      <c r="T23" s="773" t="s">
        <v>17</v>
      </c>
      <c r="U23" s="774">
        <f>H23</f>
        <v>100</v>
      </c>
      <c r="V23" s="773" t="s">
        <v>17</v>
      </c>
      <c r="W23" s="774">
        <f>J23</f>
        <v>100</v>
      </c>
      <c r="X23" s="1810"/>
      <c r="Y23" s="3222"/>
      <c r="Z23" s="1811" t="str">
        <f>Q23</f>
        <v>环境质量</v>
      </c>
      <c r="AA23" s="1808">
        <f t="shared" si="3"/>
        <v>1</v>
      </c>
      <c r="AB23" s="1808">
        <f t="shared" si="4"/>
        <v>1</v>
      </c>
      <c r="AC23" s="2669">
        <f t="shared" si="5"/>
        <v>1</v>
      </c>
    </row>
    <row r="24" spans="1:29" ht="15">
      <c r="A24" s="427"/>
      <c r="B24" s="632"/>
      <c r="C24" s="2606"/>
      <c r="D24" s="447"/>
      <c r="E24" s="2599"/>
      <c r="F24" s="447"/>
      <c r="G24" s="2600"/>
      <c r="H24" s="447"/>
      <c r="I24" s="2600"/>
      <c r="J24" s="447"/>
      <c r="K24" s="614"/>
      <c r="L24" s="1138"/>
      <c r="M24" s="1129"/>
      <c r="N24" s="1129"/>
      <c r="O24" s="1129"/>
      <c r="P24" s="3269"/>
      <c r="Q24" s="1807"/>
      <c r="R24" s="773"/>
      <c r="S24" s="774"/>
      <c r="T24" s="773"/>
      <c r="U24" s="774"/>
      <c r="V24" s="773"/>
      <c r="W24" s="774"/>
      <c r="X24" s="1810"/>
      <c r="Y24" s="3222"/>
      <c r="Z24" s="1811"/>
      <c r="AA24" s="1808">
        <v>1</v>
      </c>
      <c r="AB24" s="1808">
        <v>1</v>
      </c>
      <c r="AC24" s="2669">
        <v>1</v>
      </c>
    </row>
    <row r="25" spans="1:29" ht="27">
      <c r="A25" s="404"/>
      <c r="B25" s="630" t="s">
        <v>2690</v>
      </c>
      <c r="C25" s="2610"/>
      <c r="D25" s="434">
        <v>100</v>
      </c>
      <c r="E25" s="433"/>
      <c r="F25" s="434">
        <f>SUMIF(87:87,E26,88:88)-SUMIF(87:87,C26,88:88)+100</f>
        <v>100</v>
      </c>
      <c r="G25" s="2610"/>
      <c r="H25" s="434">
        <f>SUMIF(87:87,G26,88:88)-SUMIF(87:87,C26,88:88)+100</f>
        <v>100</v>
      </c>
      <c r="I25" s="433"/>
      <c r="J25" s="434">
        <f>SUMIF(87:87,I26,88:88)-SUMIF(87:87,C26,88:88)+100</f>
        <v>100</v>
      </c>
      <c r="K25" s="613"/>
      <c r="L25" s="1138"/>
      <c r="M25" s="1129"/>
      <c r="N25" s="1129"/>
      <c r="O25" s="1129"/>
      <c r="P25" s="3269"/>
      <c r="Q25" s="1807" t="str">
        <f>B25</f>
        <v>毗邻道路的类型与等级</v>
      </c>
      <c r="R25" s="773" t="s">
        <v>17</v>
      </c>
      <c r="S25" s="774">
        <f>F25</f>
        <v>100</v>
      </c>
      <c r="T25" s="773" t="s">
        <v>17</v>
      </c>
      <c r="U25" s="774">
        <f>H25</f>
        <v>100</v>
      </c>
      <c r="V25" s="773" t="s">
        <v>17</v>
      </c>
      <c r="W25" s="774">
        <f>J25</f>
        <v>100</v>
      </c>
      <c r="X25" s="1810"/>
      <c r="Y25" s="3222"/>
      <c r="Z25" s="1811" t="str">
        <f>Q25</f>
        <v>毗邻道路的类型与等级</v>
      </c>
      <c r="AA25" s="1808">
        <f t="shared" si="3"/>
        <v>1</v>
      </c>
      <c r="AB25" s="1808">
        <f t="shared" si="4"/>
        <v>1</v>
      </c>
      <c r="AC25" s="2669">
        <f t="shared" si="5"/>
        <v>1</v>
      </c>
    </row>
    <row r="26" spans="1:29" ht="15">
      <c r="A26" s="404"/>
      <c r="B26" s="631"/>
      <c r="C26" s="633"/>
      <c r="D26" s="434"/>
      <c r="E26" s="615"/>
      <c r="F26" s="434"/>
      <c r="G26" s="633"/>
      <c r="H26" s="434"/>
      <c r="I26" s="615"/>
      <c r="J26" s="434"/>
      <c r="K26" s="614"/>
      <c r="L26" s="1138"/>
      <c r="M26" s="1129"/>
      <c r="N26" s="1129"/>
      <c r="O26" s="1129"/>
      <c r="P26" s="3269"/>
      <c r="Q26" s="1807"/>
      <c r="R26" s="773"/>
      <c r="S26" s="774"/>
      <c r="T26" s="773"/>
      <c r="U26" s="774"/>
      <c r="V26" s="773"/>
      <c r="W26" s="774"/>
      <c r="X26" s="1810"/>
      <c r="Y26" s="3222"/>
      <c r="Z26" s="1811"/>
      <c r="AA26" s="1808">
        <v>1</v>
      </c>
      <c r="AB26" s="1808">
        <v>1</v>
      </c>
      <c r="AC26" s="2669">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9"/>
      <c r="Q27" s="1807" t="str">
        <f t="shared" ref="Q27:Q47" si="11">B27</f>
        <v>楼层</v>
      </c>
      <c r="R27" s="773" t="s">
        <v>17</v>
      </c>
      <c r="S27" s="774">
        <f>F27</f>
        <v>100</v>
      </c>
      <c r="T27" s="773" t="s">
        <v>17</v>
      </c>
      <c r="U27" s="774">
        <f>H27</f>
        <v>100</v>
      </c>
      <c r="V27" s="773" t="s">
        <v>17</v>
      </c>
      <c r="W27" s="774">
        <f>J27</f>
        <v>100</v>
      </c>
      <c r="X27" s="1810"/>
      <c r="Y27" s="3222"/>
      <c r="Z27" s="1811" t="str">
        <f>Q27</f>
        <v>楼层</v>
      </c>
      <c r="AA27" s="1808">
        <f t="shared" si="3"/>
        <v>1</v>
      </c>
      <c r="AB27" s="1808">
        <f t="shared" si="4"/>
        <v>1</v>
      </c>
      <c r="AC27" s="2669">
        <f t="shared" si="5"/>
        <v>1</v>
      </c>
    </row>
    <row r="28" spans="1:29" s="117" customFormat="1" ht="15">
      <c r="A28" s="430"/>
      <c r="B28" s="630" t="s">
        <v>2691</v>
      </c>
      <c r="C28" s="2672"/>
      <c r="D28" s="461">
        <v>100</v>
      </c>
      <c r="E28" s="2660"/>
      <c r="F28" s="461">
        <f>SUMIF(91:91,E28,92:92)-SUMIF(91:91,C28,92:92)+100</f>
        <v>100</v>
      </c>
      <c r="G28" s="2672"/>
      <c r="H28" s="461">
        <f>SUMIF(91:91,G28,92:92)-SUMIF(91:91,C28,92:92)+100</f>
        <v>100</v>
      </c>
      <c r="I28" s="2660"/>
      <c r="J28" s="461">
        <f>SUMIF(91:91,I28,92:92)-SUMIF(91:91,C28,92:92)+100</f>
        <v>100</v>
      </c>
      <c r="K28" s="611"/>
      <c r="L28" s="1130"/>
      <c r="M28" s="1131"/>
      <c r="N28" s="1131"/>
      <c r="O28" s="1131"/>
      <c r="P28" s="3269"/>
      <c r="Q28" s="1792" t="str">
        <f t="shared" si="11"/>
        <v>朝向</v>
      </c>
      <c r="R28" s="769" t="s">
        <v>17</v>
      </c>
      <c r="S28" s="770">
        <f>F28</f>
        <v>100</v>
      </c>
      <c r="T28" s="769" t="s">
        <v>17</v>
      </c>
      <c r="U28" s="770">
        <f>H28</f>
        <v>100</v>
      </c>
      <c r="V28" s="769" t="s">
        <v>17</v>
      </c>
      <c r="W28" s="770">
        <f>J28</f>
        <v>100</v>
      </c>
      <c r="X28" s="771"/>
      <c r="Y28" s="3222"/>
      <c r="Z28" s="55" t="str">
        <f>Q28</f>
        <v>朝向</v>
      </c>
      <c r="AA28" s="1808">
        <f>D28/F28</f>
        <v>1</v>
      </c>
      <c r="AB28" s="1808">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38"/>
      <c r="M29" s="1129"/>
      <c r="N29" s="1129"/>
      <c r="O29" s="1129"/>
      <c r="P29" s="3269"/>
      <c r="Q29" s="1807">
        <f t="shared" si="11"/>
        <v>111</v>
      </c>
      <c r="R29" s="773" t="s">
        <v>17</v>
      </c>
      <c r="S29" s="774">
        <f t="shared" ref="S29:S47" si="12">F29</f>
        <v>100</v>
      </c>
      <c r="T29" s="773" t="s">
        <v>17</v>
      </c>
      <c r="U29" s="774">
        <f t="shared" ref="U29:U47" si="13">H29</f>
        <v>100</v>
      </c>
      <c r="V29" s="773" t="s">
        <v>17</v>
      </c>
      <c r="W29" s="774">
        <f t="shared" ref="W29:W47" si="14">J29</f>
        <v>100</v>
      </c>
      <c r="X29" s="1810"/>
      <c r="Y29" s="3222"/>
      <c r="Z29" s="1811">
        <f t="shared" ref="Z29:Z47" si="15">Q29</f>
        <v>111</v>
      </c>
      <c r="AA29" s="1808">
        <f t="shared" si="3"/>
        <v>1</v>
      </c>
      <c r="AB29" s="1808">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38"/>
      <c r="M30" s="1129"/>
      <c r="N30" s="1129"/>
      <c r="O30" s="1129"/>
      <c r="P30" s="3269"/>
      <c r="Q30" s="1807">
        <f t="shared" si="11"/>
        <v>111</v>
      </c>
      <c r="R30" s="773" t="s">
        <v>17</v>
      </c>
      <c r="S30" s="774">
        <f t="shared" si="12"/>
        <v>100</v>
      </c>
      <c r="T30" s="773" t="s">
        <v>17</v>
      </c>
      <c r="U30" s="774">
        <f t="shared" si="13"/>
        <v>100</v>
      </c>
      <c r="V30" s="773" t="s">
        <v>17</v>
      </c>
      <c r="W30" s="774">
        <f t="shared" si="14"/>
        <v>100</v>
      </c>
      <c r="X30" s="1810"/>
      <c r="Y30" s="3222"/>
      <c r="Z30" s="1811">
        <f t="shared" si="15"/>
        <v>111</v>
      </c>
      <c r="AA30" s="1808">
        <f t="shared" si="3"/>
        <v>1</v>
      </c>
      <c r="AB30" s="1808">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38"/>
      <c r="M31" s="1129"/>
      <c r="N31" s="1129"/>
      <c r="O31" s="1129"/>
      <c r="P31" s="3269"/>
      <c r="Q31" s="1807">
        <f t="shared" si="11"/>
        <v>111</v>
      </c>
      <c r="R31" s="773" t="s">
        <v>17</v>
      </c>
      <c r="S31" s="774">
        <f t="shared" si="12"/>
        <v>100</v>
      </c>
      <c r="T31" s="773" t="s">
        <v>17</v>
      </c>
      <c r="U31" s="774">
        <f t="shared" si="13"/>
        <v>100</v>
      </c>
      <c r="V31" s="773" t="s">
        <v>17</v>
      </c>
      <c r="W31" s="774">
        <f t="shared" si="14"/>
        <v>100</v>
      </c>
      <c r="X31" s="1810"/>
      <c r="Y31" s="3222"/>
      <c r="Z31" s="1811">
        <f t="shared" si="15"/>
        <v>111</v>
      </c>
      <c r="AA31" s="1808">
        <f t="shared" si="3"/>
        <v>1</v>
      </c>
      <c r="AB31" s="1808">
        <f t="shared" si="4"/>
        <v>1</v>
      </c>
      <c r="AC31" s="2669">
        <f t="shared" si="5"/>
        <v>1</v>
      </c>
    </row>
    <row r="32" spans="1:29" ht="15.75" thickBot="1">
      <c r="A32" s="435"/>
      <c r="B32" s="634">
        <v>111</v>
      </c>
      <c r="C32" s="2611"/>
      <c r="D32" s="437">
        <v>100</v>
      </c>
      <c r="E32" s="627"/>
      <c r="F32" s="437">
        <f>SUMIF(99:99,E32,100:100)-SUMIF(99:99,C32,100:100)+100</f>
        <v>100</v>
      </c>
      <c r="G32" s="2667"/>
      <c r="H32" s="437">
        <f>SUMIF(99:99,G32,100:100)-SUMIF(99:99,C32,100:100)+100</f>
        <v>100</v>
      </c>
      <c r="I32" s="431"/>
      <c r="J32" s="437">
        <f>SUMIF(99:99,I32,100:100)-SUMIF(99:99,C32,100:100)+100</f>
        <v>100</v>
      </c>
      <c r="K32" s="612"/>
      <c r="L32" s="1138"/>
      <c r="M32" s="1129"/>
      <c r="N32" s="1129"/>
      <c r="O32" s="1129"/>
      <c r="P32" s="3269"/>
      <c r="Q32" s="1807">
        <f t="shared" si="11"/>
        <v>111</v>
      </c>
      <c r="R32" s="773" t="s">
        <v>17</v>
      </c>
      <c r="S32" s="774">
        <f t="shared" si="12"/>
        <v>100</v>
      </c>
      <c r="T32" s="773" t="s">
        <v>17</v>
      </c>
      <c r="U32" s="774">
        <f t="shared" si="13"/>
        <v>100</v>
      </c>
      <c r="V32" s="773" t="s">
        <v>17</v>
      </c>
      <c r="W32" s="774">
        <f t="shared" si="14"/>
        <v>100</v>
      </c>
      <c r="X32" s="1810"/>
      <c r="Y32" s="3222"/>
      <c r="Z32" s="1811">
        <f t="shared" si="15"/>
        <v>111</v>
      </c>
      <c r="AA32" s="1808">
        <f t="shared" si="3"/>
        <v>1</v>
      </c>
      <c r="AB32" s="1808">
        <f t="shared" si="4"/>
        <v>1</v>
      </c>
      <c r="AC32" s="2669">
        <f t="shared" si="5"/>
        <v>1</v>
      </c>
    </row>
    <row r="33" spans="1:29" ht="15">
      <c r="A33" s="439" t="s">
        <v>2562</v>
      </c>
      <c r="B33" s="71" t="s">
        <v>2692</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8"/>
      <c r="M33" s="1129"/>
      <c r="N33" s="1129"/>
      <c r="O33" s="1129"/>
      <c r="P33" s="3264" t="s">
        <v>2564</v>
      </c>
      <c r="Q33" s="1807" t="str">
        <f t="shared" si="11"/>
        <v>建筑类型</v>
      </c>
      <c r="R33" s="773" t="s">
        <v>17</v>
      </c>
      <c r="S33" s="774">
        <f t="shared" si="12"/>
        <v>100</v>
      </c>
      <c r="T33" s="773" t="s">
        <v>17</v>
      </c>
      <c r="U33" s="774">
        <f t="shared" si="13"/>
        <v>100</v>
      </c>
      <c r="V33" s="773" t="s">
        <v>17</v>
      </c>
      <c r="W33" s="774">
        <f t="shared" si="14"/>
        <v>100</v>
      </c>
      <c r="X33" s="1810"/>
      <c r="Y33" s="3224" t="s">
        <v>2564</v>
      </c>
      <c r="Z33" s="1811" t="str">
        <f t="shared" si="15"/>
        <v>建筑类型</v>
      </c>
      <c r="AA33" s="1808">
        <f t="shared" si="3"/>
        <v>1</v>
      </c>
      <c r="AB33" s="1808">
        <f t="shared" si="4"/>
        <v>1</v>
      </c>
      <c r="AC33" s="2669">
        <f t="shared" si="5"/>
        <v>1</v>
      </c>
    </row>
    <row r="34" spans="1:29" s="470" customFormat="1" ht="15">
      <c r="A34" s="467"/>
      <c r="B34" s="421" t="s">
        <v>2565</v>
      </c>
      <c r="C34" s="468"/>
      <c r="D34" s="136">
        <v>100</v>
      </c>
      <c r="E34" s="429"/>
      <c r="F34" s="424">
        <f>LOOKUP(E34,104:104,105:105)-LOOKUP(C34,104:104,105:105)+100</f>
        <v>100</v>
      </c>
      <c r="G34" s="428"/>
      <c r="H34" s="136">
        <f>LOOKUP(G34,104:104,105:105)-LOOKUP(C34,104:104,105:105)+100</f>
        <v>100</v>
      </c>
      <c r="I34" s="428"/>
      <c r="J34" s="136">
        <f>LOOKUP(I34,104:104,105:105)-LOOKUP(C34,104:104,105:105)+100</f>
        <v>100</v>
      </c>
      <c r="K34" s="612"/>
      <c r="L34" s="1136"/>
      <c r="M34" s="1139"/>
      <c r="N34" s="1139"/>
      <c r="O34" s="1139"/>
      <c r="P34" s="3265"/>
      <c r="Q34" s="775" t="str">
        <f t="shared" si="11"/>
        <v>项目建筑规模</v>
      </c>
      <c r="R34" s="776" t="s">
        <v>17</v>
      </c>
      <c r="S34" s="777">
        <f t="shared" si="12"/>
        <v>100</v>
      </c>
      <c r="T34" s="776" t="s">
        <v>17</v>
      </c>
      <c r="U34" s="777">
        <f t="shared" si="13"/>
        <v>100</v>
      </c>
      <c r="V34" s="776" t="s">
        <v>17</v>
      </c>
      <c r="W34" s="777">
        <f t="shared" si="14"/>
        <v>100</v>
      </c>
      <c r="X34" s="778"/>
      <c r="Y34" s="3224"/>
      <c r="Z34" s="779" t="str">
        <f t="shared" si="15"/>
        <v>项目建筑规模</v>
      </c>
      <c r="AA34" s="1808">
        <f t="shared" si="3"/>
        <v>1</v>
      </c>
      <c r="AB34" s="1808">
        <f t="shared" si="4"/>
        <v>1</v>
      </c>
      <c r="AC34" s="2669">
        <f t="shared" si="5"/>
        <v>1</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5"/>
      <c r="Q35" s="1807" t="str">
        <f t="shared" si="11"/>
        <v>建筑结构</v>
      </c>
      <c r="R35" s="773" t="s">
        <v>17</v>
      </c>
      <c r="S35" s="774">
        <f t="shared" si="12"/>
        <v>100</v>
      </c>
      <c r="T35" s="773" t="s">
        <v>17</v>
      </c>
      <c r="U35" s="774">
        <f t="shared" si="13"/>
        <v>100</v>
      </c>
      <c r="V35" s="773" t="s">
        <v>17</v>
      </c>
      <c r="W35" s="774">
        <f t="shared" si="14"/>
        <v>100</v>
      </c>
      <c r="X35" s="1810"/>
      <c r="Y35" s="3224"/>
      <c r="Z35" s="1811" t="str">
        <f t="shared" si="15"/>
        <v>建筑结构</v>
      </c>
      <c r="AA35" s="1808">
        <f t="shared" si="3"/>
        <v>1</v>
      </c>
      <c r="AB35" s="1808">
        <f t="shared" si="4"/>
        <v>1</v>
      </c>
      <c r="AC35" s="2669">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5"/>
      <c r="Q36" s="1807" t="str">
        <f t="shared" si="11"/>
        <v>公共部分装修</v>
      </c>
      <c r="R36" s="773" t="s">
        <v>17</v>
      </c>
      <c r="S36" s="774">
        <f t="shared" si="12"/>
        <v>100</v>
      </c>
      <c r="T36" s="773" t="s">
        <v>17</v>
      </c>
      <c r="U36" s="774">
        <f t="shared" si="13"/>
        <v>100</v>
      </c>
      <c r="V36" s="773" t="s">
        <v>17</v>
      </c>
      <c r="W36" s="774">
        <f t="shared" si="14"/>
        <v>100</v>
      </c>
      <c r="X36" s="1810"/>
      <c r="Y36" s="3224"/>
      <c r="Z36" s="1811" t="str">
        <f t="shared" si="15"/>
        <v>公共部分装修</v>
      </c>
      <c r="AA36" s="1808">
        <f t="shared" si="3"/>
        <v>1</v>
      </c>
      <c r="AB36" s="1808">
        <f t="shared" si="4"/>
        <v>1</v>
      </c>
      <c r="AC36" s="2669">
        <f t="shared" si="5"/>
        <v>1</v>
      </c>
    </row>
    <row r="37" spans="1:29" ht="15">
      <c r="A37" s="471"/>
      <c r="B37" s="421" t="s">
        <v>2661</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265"/>
      <c r="Q37" s="1807" t="str">
        <f t="shared" si="11"/>
        <v>成新度</v>
      </c>
      <c r="R37" s="773" t="s">
        <v>17</v>
      </c>
      <c r="S37" s="774">
        <f t="shared" si="12"/>
        <v>100</v>
      </c>
      <c r="T37" s="773" t="s">
        <v>17</v>
      </c>
      <c r="U37" s="774">
        <f t="shared" si="13"/>
        <v>100</v>
      </c>
      <c r="V37" s="773" t="s">
        <v>17</v>
      </c>
      <c r="W37" s="774">
        <f t="shared" si="14"/>
        <v>100</v>
      </c>
      <c r="X37" s="1810"/>
      <c r="Y37" s="3224"/>
      <c r="Z37" s="1811" t="str">
        <f t="shared" si="15"/>
        <v>成新度</v>
      </c>
      <c r="AA37" s="1808">
        <f t="shared" si="3"/>
        <v>1</v>
      </c>
      <c r="AB37" s="1808">
        <f t="shared" si="4"/>
        <v>1</v>
      </c>
      <c r="AC37" s="2669">
        <f t="shared" si="5"/>
        <v>1</v>
      </c>
    </row>
    <row r="38" spans="1:29" s="117" customFormat="1" ht="15">
      <c r="A38" s="472"/>
      <c r="B38" s="421" t="s">
        <v>2693</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5"/>
      <c r="Q38" s="1792" t="str">
        <f t="shared" si="11"/>
        <v>写字楼等级</v>
      </c>
      <c r="R38" s="769" t="s">
        <v>17</v>
      </c>
      <c r="S38" s="770">
        <f t="shared" si="12"/>
        <v>100</v>
      </c>
      <c r="T38" s="769" t="s">
        <v>17</v>
      </c>
      <c r="U38" s="770">
        <f t="shared" si="13"/>
        <v>100</v>
      </c>
      <c r="V38" s="769" t="s">
        <v>17</v>
      </c>
      <c r="W38" s="770">
        <f t="shared" si="14"/>
        <v>100</v>
      </c>
      <c r="X38" s="771"/>
      <c r="Y38" s="3224"/>
      <c r="Z38" s="55" t="str">
        <f t="shared" si="15"/>
        <v>写字楼等级</v>
      </c>
      <c r="AA38" s="772">
        <f t="shared" si="3"/>
        <v>1</v>
      </c>
      <c r="AB38" s="772">
        <f t="shared" si="4"/>
        <v>1</v>
      </c>
      <c r="AC38" s="2666">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5" t="s">
        <v>2564</v>
      </c>
      <c r="Q39" s="1807" t="str">
        <f t="shared" si="11"/>
        <v>物业管理</v>
      </c>
      <c r="R39" s="773" t="s">
        <v>17</v>
      </c>
      <c r="S39" s="774">
        <f t="shared" si="12"/>
        <v>100</v>
      </c>
      <c r="T39" s="773" t="s">
        <v>17</v>
      </c>
      <c r="U39" s="774">
        <f t="shared" si="13"/>
        <v>100</v>
      </c>
      <c r="V39" s="773" t="s">
        <v>17</v>
      </c>
      <c r="W39" s="774">
        <f t="shared" si="14"/>
        <v>100</v>
      </c>
      <c r="X39" s="1810"/>
      <c r="Y39" s="3224" t="s">
        <v>2564</v>
      </c>
      <c r="Z39" s="1811" t="str">
        <f t="shared" si="15"/>
        <v>物业管理</v>
      </c>
      <c r="AA39" s="1808">
        <f t="shared" si="3"/>
        <v>1</v>
      </c>
      <c r="AB39" s="1808">
        <f t="shared" si="4"/>
        <v>1</v>
      </c>
      <c r="AC39" s="2669">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5"/>
      <c r="Q40" s="1807" t="str">
        <f t="shared" si="11"/>
        <v>市政基础设施</v>
      </c>
      <c r="R40" s="773" t="s">
        <v>17</v>
      </c>
      <c r="S40" s="774">
        <f t="shared" si="12"/>
        <v>100</v>
      </c>
      <c r="T40" s="773" t="s">
        <v>17</v>
      </c>
      <c r="U40" s="774">
        <f t="shared" si="13"/>
        <v>100</v>
      </c>
      <c r="V40" s="773" t="s">
        <v>17</v>
      </c>
      <c r="W40" s="774">
        <f t="shared" si="14"/>
        <v>100</v>
      </c>
      <c r="X40" s="1810"/>
      <c r="Y40" s="3224"/>
      <c r="Z40" s="1811" t="str">
        <f t="shared" si="15"/>
        <v>市政基础设施</v>
      </c>
      <c r="AA40" s="1808">
        <f t="shared" si="3"/>
        <v>1</v>
      </c>
      <c r="AB40" s="1808">
        <f t="shared" si="4"/>
        <v>1</v>
      </c>
      <c r="AC40" s="2669">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5"/>
      <c r="Q41" s="1807" t="str">
        <f t="shared" si="11"/>
        <v>层高</v>
      </c>
      <c r="R41" s="773" t="s">
        <v>17</v>
      </c>
      <c r="S41" s="774">
        <f t="shared" si="12"/>
        <v>100</v>
      </c>
      <c r="T41" s="773" t="s">
        <v>17</v>
      </c>
      <c r="U41" s="774">
        <f t="shared" si="13"/>
        <v>100</v>
      </c>
      <c r="V41" s="773" t="s">
        <v>17</v>
      </c>
      <c r="W41" s="774">
        <f t="shared" si="14"/>
        <v>100</v>
      </c>
      <c r="X41" s="1810"/>
      <c r="Y41" s="3224"/>
      <c r="Z41" s="1811" t="str">
        <f t="shared" si="15"/>
        <v>层高</v>
      </c>
      <c r="AA41" s="1808">
        <f t="shared" si="3"/>
        <v>1</v>
      </c>
      <c r="AB41" s="1808">
        <f t="shared" si="4"/>
        <v>1</v>
      </c>
      <c r="AC41" s="2669">
        <f t="shared" si="5"/>
        <v>1</v>
      </c>
    </row>
    <row r="42" spans="1:29" s="470" customFormat="1" ht="15">
      <c r="A42" s="467"/>
      <c r="B42" s="1809"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5"/>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08">
        <f t="shared" si="3"/>
        <v>1</v>
      </c>
      <c r="AB42" s="1808">
        <f t="shared" si="4"/>
        <v>1</v>
      </c>
      <c r="AC42" s="2669">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5"/>
      <c r="Q43" s="1807" t="str">
        <f t="shared" si="11"/>
        <v>内部装修</v>
      </c>
      <c r="R43" s="773" t="s">
        <v>17</v>
      </c>
      <c r="S43" s="774">
        <f t="shared" si="12"/>
        <v>100</v>
      </c>
      <c r="T43" s="773" t="s">
        <v>17</v>
      </c>
      <c r="U43" s="774">
        <f t="shared" si="13"/>
        <v>100</v>
      </c>
      <c r="V43" s="773" t="s">
        <v>17</v>
      </c>
      <c r="W43" s="774">
        <f t="shared" si="14"/>
        <v>100</v>
      </c>
      <c r="X43" s="1810"/>
      <c r="Y43" s="3224"/>
      <c r="Z43" s="1811" t="str">
        <f t="shared" si="15"/>
        <v>内部装修</v>
      </c>
      <c r="AA43" s="1808">
        <f t="shared" si="3"/>
        <v>1</v>
      </c>
      <c r="AB43" s="1808">
        <f t="shared" si="4"/>
        <v>1</v>
      </c>
      <c r="AC43" s="2669">
        <f t="shared" si="5"/>
        <v>1</v>
      </c>
    </row>
    <row r="44" spans="1:29" ht="15">
      <c r="A44" s="471"/>
      <c r="B44" s="421" t="s">
        <v>2575</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8"/>
      <c r="M44" s="1129"/>
      <c r="N44" s="1129"/>
      <c r="O44" s="1129"/>
      <c r="P44" s="3265"/>
      <c r="Q44" s="1807" t="str">
        <f t="shared" si="11"/>
        <v>内部装修维护情况</v>
      </c>
      <c r="R44" s="773" t="s">
        <v>17</v>
      </c>
      <c r="S44" s="774">
        <f t="shared" si="12"/>
        <v>100</v>
      </c>
      <c r="T44" s="773" t="s">
        <v>17</v>
      </c>
      <c r="U44" s="774">
        <f t="shared" si="13"/>
        <v>100</v>
      </c>
      <c r="V44" s="773" t="s">
        <v>17</v>
      </c>
      <c r="W44" s="774">
        <f t="shared" si="14"/>
        <v>100</v>
      </c>
      <c r="X44" s="1810"/>
      <c r="Y44" s="3224"/>
      <c r="Z44" s="1811" t="str">
        <f t="shared" si="15"/>
        <v>内部装修维护情况</v>
      </c>
      <c r="AA44" s="1808">
        <f t="shared" si="3"/>
        <v>1</v>
      </c>
      <c r="AB44" s="1808">
        <f t="shared" si="4"/>
        <v>1</v>
      </c>
      <c r="AC44" s="2669">
        <f t="shared" si="5"/>
        <v>1</v>
      </c>
    </row>
    <row r="45" spans="1:29" s="117" customFormat="1" ht="15">
      <c r="A45" s="472"/>
      <c r="B45" s="1384">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0"/>
      <c r="M45" s="1131"/>
      <c r="N45" s="1131"/>
      <c r="O45" s="1131"/>
      <c r="P45" s="3265"/>
      <c r="Q45" s="1792">
        <f t="shared" si="11"/>
        <v>111</v>
      </c>
      <c r="R45" s="769" t="s">
        <v>17</v>
      </c>
      <c r="S45" s="770">
        <f t="shared" si="12"/>
        <v>100</v>
      </c>
      <c r="T45" s="769" t="s">
        <v>17</v>
      </c>
      <c r="U45" s="770">
        <f t="shared" si="13"/>
        <v>100</v>
      </c>
      <c r="V45" s="769" t="s">
        <v>17</v>
      </c>
      <c r="W45" s="770">
        <f t="shared" si="14"/>
        <v>100</v>
      </c>
      <c r="X45" s="771"/>
      <c r="Y45" s="3224"/>
      <c r="Z45" s="55">
        <f t="shared" si="15"/>
        <v>111</v>
      </c>
      <c r="AA45" s="772">
        <f t="shared" si="3"/>
        <v>1</v>
      </c>
      <c r="AB45" s="772">
        <f t="shared" si="4"/>
        <v>1</v>
      </c>
      <c r="AC45" s="2666">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5"/>
      <c r="Q46" s="1807">
        <f t="shared" si="11"/>
        <v>111</v>
      </c>
      <c r="R46" s="773" t="s">
        <v>17</v>
      </c>
      <c r="S46" s="774">
        <f t="shared" si="12"/>
        <v>100</v>
      </c>
      <c r="T46" s="773" t="s">
        <v>17</v>
      </c>
      <c r="U46" s="774">
        <f t="shared" si="13"/>
        <v>100</v>
      </c>
      <c r="V46" s="773" t="s">
        <v>17</v>
      </c>
      <c r="W46" s="774">
        <f t="shared" si="14"/>
        <v>100</v>
      </c>
      <c r="X46" s="1810"/>
      <c r="Y46" s="3224"/>
      <c r="Z46" s="1811">
        <f t="shared" si="15"/>
        <v>111</v>
      </c>
      <c r="AA46" s="1808">
        <f t="shared" si="3"/>
        <v>1</v>
      </c>
      <c r="AB46" s="1808">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6"/>
      <c r="Q47" s="1807">
        <f t="shared" si="11"/>
        <v>111</v>
      </c>
      <c r="R47" s="773" t="s">
        <v>17</v>
      </c>
      <c r="S47" s="774">
        <f t="shared" si="12"/>
        <v>100</v>
      </c>
      <c r="T47" s="773" t="s">
        <v>17</v>
      </c>
      <c r="U47" s="774">
        <f t="shared" si="13"/>
        <v>100</v>
      </c>
      <c r="V47" s="773" t="s">
        <v>17</v>
      </c>
      <c r="W47" s="774">
        <f t="shared" si="14"/>
        <v>100</v>
      </c>
      <c r="X47" s="1810"/>
      <c r="Y47" s="3267"/>
      <c r="Z47" s="1811">
        <f t="shared" si="15"/>
        <v>111</v>
      </c>
      <c r="AA47" s="1808">
        <f t="shared" si="3"/>
        <v>1</v>
      </c>
      <c r="AB47" s="1808">
        <f t="shared" si="4"/>
        <v>1</v>
      </c>
      <c r="AC47" s="2669">
        <f t="shared" si="5"/>
        <v>1</v>
      </c>
    </row>
    <row r="48" spans="1:29" ht="15">
      <c r="A48" s="478" t="s">
        <v>2576</v>
      </c>
      <c r="B48" s="479"/>
      <c r="C48" s="1405" t="s">
        <v>1</v>
      </c>
      <c r="D48" s="1406"/>
      <c r="E48" s="1407">
        <v>50000</v>
      </c>
      <c r="F48" s="1408"/>
      <c r="G48" s="1409">
        <f>E48</f>
        <v>50000</v>
      </c>
      <c r="H48" s="1410"/>
      <c r="I48" s="1407">
        <f>G48</f>
        <v>50000</v>
      </c>
      <c r="J48" s="484"/>
      <c r="K48" s="782"/>
      <c r="L48" s="1141"/>
      <c r="M48" s="1129"/>
      <c r="N48" s="1129"/>
      <c r="O48" s="1129"/>
      <c r="P48" s="3230" t="str">
        <f>A48</f>
        <v>成交单价（元/平方米）</v>
      </c>
      <c r="Q48" s="3206"/>
      <c r="R48" s="3263">
        <f>E48</f>
        <v>50000</v>
      </c>
      <c r="S48" s="3263"/>
      <c r="T48" s="3263">
        <f>G48</f>
        <v>50000</v>
      </c>
      <c r="U48" s="3263"/>
      <c r="V48" s="3263">
        <f>I48</f>
        <v>50000</v>
      </c>
      <c r="W48" s="3263"/>
      <c r="X48" s="445"/>
      <c r="Y48" s="780"/>
      <c r="Z48" s="445"/>
      <c r="AA48" s="445"/>
      <c r="AB48" s="445"/>
      <c r="AC48" s="629"/>
    </row>
    <row r="49" spans="1:29" ht="15.75" thickBot="1">
      <c r="A49" s="485" t="s">
        <v>2668</v>
      </c>
      <c r="B49" s="486"/>
      <c r="C49" s="1411">
        <f>R50</f>
        <v>50000</v>
      </c>
      <c r="D49" s="1412"/>
      <c r="E49" s="1413">
        <f>R49</f>
        <v>50000</v>
      </c>
      <c r="F49" s="1413"/>
      <c r="G49" s="1411">
        <f>T49</f>
        <v>50000</v>
      </c>
      <c r="H49" s="1412"/>
      <c r="I49" s="1413">
        <f>V49</f>
        <v>50000</v>
      </c>
      <c r="J49" s="488"/>
      <c r="K49" s="783"/>
      <c r="L49" s="1141"/>
      <c r="M49" s="1129"/>
      <c r="N49" s="1129"/>
      <c r="O49" s="1129"/>
      <c r="P49" s="3230" t="str">
        <f>A49</f>
        <v>比较价值（元/平方米）</v>
      </c>
      <c r="Q49" s="3206"/>
      <c r="R49" s="3263">
        <f>IF(F1="售价",ROUND(PRODUCT(R48,AA7:AA47),0),ROUND(PRODUCT(R48,AA7:AA47),1))</f>
        <v>50000</v>
      </c>
      <c r="S49" s="3263"/>
      <c r="T49" s="3263">
        <f>IF(F1="售价",ROUND(PRODUCT(T48,AB7:AB47),0),ROUND(PRODUCT(T48,AB7:AB47),1))</f>
        <v>50000</v>
      </c>
      <c r="U49" s="3263"/>
      <c r="V49" s="3263">
        <f>IF(F1="售价",ROUND(PRODUCT(V48,AC7:AC47),0),ROUND(PRODUCT(V48,AC7:AC47),1))</f>
        <v>50000</v>
      </c>
      <c r="W49" s="3263"/>
      <c r="X49" s="445"/>
      <c r="Y49" s="445"/>
      <c r="Z49" s="445"/>
      <c r="AA49" s="445"/>
      <c r="AB49" s="445"/>
      <c r="AC49" s="629"/>
    </row>
    <row r="50" spans="1:29" ht="15.75" thickBot="1">
      <c r="A50" s="491" t="s">
        <v>2669</v>
      </c>
      <c r="B50" s="492"/>
      <c r="C50" s="1415">
        <f>R50</f>
        <v>50000</v>
      </c>
      <c r="D50" s="1415"/>
      <c r="E50" s="1415"/>
      <c r="F50" s="1415"/>
      <c r="G50" s="1415"/>
      <c r="H50" s="1415"/>
      <c r="I50" s="1415"/>
      <c r="J50" s="493"/>
      <c r="K50" s="784"/>
      <c r="L50" s="1141"/>
      <c r="M50" s="1129"/>
      <c r="N50" s="1129"/>
      <c r="O50" s="1129"/>
      <c r="P50" s="3282" t="str">
        <f>A50</f>
        <v>估价对象XX用房的比较价值（楼面单价，元/平方米）</v>
      </c>
      <c r="Q50" s="3283"/>
      <c r="R50" s="3284">
        <f>IF(F1="售价",ROUND(AVERAGE(R49:V49),0),ROUND(AVERAGE(R49:V49),1))</f>
        <v>50000</v>
      </c>
      <c r="S50" s="3284"/>
      <c r="T50" s="3284"/>
      <c r="U50" s="3284"/>
      <c r="V50" s="3284"/>
      <c r="W50" s="3284"/>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f>IF(E48&lt;E49,E49/E48-1,E48/E49-1)</f>
        <v>0</v>
      </c>
      <c r="F53" s="499" t="str">
        <f>IF(OR(E53&gt;=0.3,E53&lt;=-0.3),"超过30%","")</f>
        <v/>
      </c>
      <c r="G53" s="498">
        <f>IF(G48&lt;G49,G49/G48-1,G48/G49-1)</f>
        <v>0</v>
      </c>
      <c r="H53" s="499" t="str">
        <f>IF(OR(G53&gt;=0.3,G53&lt;=-0.3),"超过30%","")</f>
        <v/>
      </c>
      <c r="I53" s="498">
        <f>IF(I48&lt;I49,I49/I48-1,I48/I49-1)</f>
        <v>0</v>
      </c>
      <c r="J53" s="499" t="str">
        <f>IF(OR(I53&gt;=0.3,I53&lt;=-0.3),"超过30%","")</f>
        <v/>
      </c>
      <c r="K53" s="1103"/>
      <c r="L53" s="1104"/>
      <c r="M53" s="1142"/>
      <c r="N53" s="1142"/>
      <c r="O53" s="1142"/>
    </row>
    <row r="54" spans="1:29" ht="13.5" customHeight="1">
      <c r="A54" s="1142"/>
      <c r="B54" s="1142"/>
      <c r="C54" s="496" t="s">
        <v>2671</v>
      </c>
      <c r="D54" s="500"/>
      <c r="E54" s="498">
        <f>IF(E49&lt;G49,G49/E49-1,E49/G49-1)</f>
        <v>0</v>
      </c>
      <c r="F54" s="499" t="str">
        <f>IF(OR(E54&gt;=0.2,E54&lt;=-0.2),"超过20%","")</f>
        <v/>
      </c>
      <c r="G54" s="498">
        <f>IF(G49&lt;I49,I49/G49-1,G49/I49-1)</f>
        <v>0</v>
      </c>
      <c r="H54" s="499" t="str">
        <f>IF(OR(G54&gt;=0.2,G54&lt;=-0.2),"超过20%","")</f>
        <v/>
      </c>
      <c r="I54" s="498">
        <f>IF(I49&lt;E49,E49/I49-1,I49/E49-1)</f>
        <v>0</v>
      </c>
      <c r="J54" s="499" t="str">
        <f>IF(OR(I54&gt;=0.2,I54&lt;=-0.2),"超过20%","")</f>
        <v/>
      </c>
      <c r="K54" s="1103"/>
      <c r="L54" s="1104"/>
      <c r="M54" s="1142"/>
      <c r="N54" s="1142"/>
      <c r="O54" s="1142"/>
    </row>
    <row r="55" spans="1:29" s="501" customFormat="1" ht="13.5" customHeight="1">
      <c r="A55" s="1143"/>
      <c r="B55" s="1143"/>
      <c r="C55" s="496" t="s">
        <v>2672</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46"/>
      <c r="L55" s="1147"/>
      <c r="M55" s="1143"/>
      <c r="N55" s="1143"/>
      <c r="O55" s="1143"/>
      <c r="P55" s="2675"/>
    </row>
    <row r="56" spans="1:29" s="501"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2" t="s">
        <v>2673</v>
      </c>
      <c r="B58" s="758"/>
      <c r="C58" s="763"/>
      <c r="D58" s="763"/>
      <c r="E58" s="763"/>
      <c r="F58" s="764"/>
      <c r="G58" s="764"/>
      <c r="H58" s="763"/>
      <c r="I58" s="763"/>
      <c r="J58" s="763"/>
      <c r="K58" s="765"/>
      <c r="L58" s="1159"/>
      <c r="M58" s="1157"/>
      <c r="N58" s="1157"/>
      <c r="O58" s="1157"/>
      <c r="P58" s="2676"/>
      <c r="Q58" s="503"/>
    </row>
    <row r="59" spans="1:29" s="507" customFormat="1" ht="15">
      <c r="A59" s="504" t="s">
        <v>2547</v>
      </c>
      <c r="B59" s="505"/>
      <c r="C59" s="1571" t="str">
        <f>YEAR(C7)&amp;"-"&amp;MONTH(C7)</f>
        <v>2019-3</v>
      </c>
      <c r="D59" s="1572">
        <f>EDATE(C59,-1)</f>
        <v>43497</v>
      </c>
      <c r="E59" s="1572">
        <f>EDATE(D59,-1)</f>
        <v>43466</v>
      </c>
      <c r="F59" s="1572">
        <f t="shared" ref="F59:O59" si="16">EDATE(E59,-1)</f>
        <v>43435</v>
      </c>
      <c r="G59" s="1572">
        <f t="shared" si="16"/>
        <v>43405</v>
      </c>
      <c r="H59" s="1572">
        <f t="shared" si="16"/>
        <v>43374</v>
      </c>
      <c r="I59" s="1572">
        <f t="shared" si="16"/>
        <v>43344</v>
      </c>
      <c r="J59" s="1572">
        <f t="shared" si="16"/>
        <v>43313</v>
      </c>
      <c r="K59" s="1572">
        <f t="shared" si="16"/>
        <v>43282</v>
      </c>
      <c r="L59" s="1572">
        <f t="shared" si="16"/>
        <v>43252</v>
      </c>
      <c r="M59" s="1572">
        <f t="shared" si="16"/>
        <v>43221</v>
      </c>
      <c r="N59" s="1572">
        <f t="shared" si="16"/>
        <v>43191</v>
      </c>
      <c r="O59" s="1572">
        <f t="shared" si="16"/>
        <v>43160</v>
      </c>
      <c r="P59" s="1568"/>
    </row>
    <row r="60" spans="1:29" s="117" customFormat="1" ht="15">
      <c r="A60" s="508"/>
      <c r="B60" s="509"/>
      <c r="C60" s="1570">
        <v>100</v>
      </c>
      <c r="D60" s="511"/>
      <c r="E60" s="511"/>
      <c r="F60" s="511"/>
      <c r="G60" s="511"/>
      <c r="H60" s="511"/>
      <c r="I60" s="511"/>
      <c r="J60" s="511"/>
      <c r="K60" s="511"/>
      <c r="L60" s="511"/>
      <c r="M60" s="512"/>
      <c r="N60" s="511"/>
      <c r="O60" s="512"/>
      <c r="P60" s="2677"/>
    </row>
    <row r="61" spans="1:29" s="117" customFormat="1" ht="15.75" thickBot="1">
      <c r="A61" s="514" t="s">
        <v>2584</v>
      </c>
      <c r="B61" s="515"/>
      <c r="C61" s="516"/>
      <c r="D61" s="517"/>
      <c r="E61" s="517"/>
      <c r="F61" s="517"/>
      <c r="G61" s="517"/>
      <c r="H61" s="517"/>
      <c r="I61" s="517"/>
      <c r="J61" s="517"/>
      <c r="K61" s="517"/>
      <c r="L61" s="517"/>
      <c r="M61" s="518"/>
      <c r="N61" s="517"/>
      <c r="O61" s="518"/>
      <c r="P61" s="2677"/>
      <c r="Q61" s="503"/>
    </row>
    <row r="62" spans="1:29" s="117" customFormat="1" ht="15">
      <c r="A62" s="520" t="s">
        <v>2549</v>
      </c>
      <c r="B62" s="509"/>
      <c r="C62" s="521" t="s">
        <v>2651</v>
      </c>
      <c r="D62" s="522"/>
      <c r="E62" s="522"/>
      <c r="F62" s="522"/>
      <c r="G62" s="522"/>
      <c r="H62" s="522"/>
      <c r="I62" s="522"/>
      <c r="J62" s="522"/>
      <c r="K62" s="522"/>
      <c r="L62" s="523"/>
      <c r="M62" s="524"/>
      <c r="N62" s="1149"/>
      <c r="O62" s="1149"/>
      <c r="P62" s="2678"/>
      <c r="Q62" s="503"/>
    </row>
    <row r="63" spans="1:29" s="117" customFormat="1" ht="15.75" thickBot="1">
      <c r="A63" s="520"/>
      <c r="B63" s="509"/>
      <c r="C63" s="510">
        <v>100</v>
      </c>
      <c r="D63" s="511"/>
      <c r="E63" s="511"/>
      <c r="F63" s="511"/>
      <c r="G63" s="511"/>
      <c r="H63" s="511"/>
      <c r="I63" s="511"/>
      <c r="J63" s="511"/>
      <c r="K63" s="511"/>
      <c r="L63" s="511"/>
      <c r="M63" s="513"/>
      <c r="N63" s="1149"/>
      <c r="O63" s="1149"/>
      <c r="P63" s="2677"/>
      <c r="Q63" s="503"/>
    </row>
    <row r="64" spans="1:29">
      <c r="A64" s="526" t="s">
        <v>2587</v>
      </c>
      <c r="B64" s="527" t="s">
        <v>2553</v>
      </c>
      <c r="C64" s="528">
        <f>C9</f>
        <v>0</v>
      </c>
      <c r="D64" s="529"/>
      <c r="E64" s="529"/>
      <c r="F64" s="529"/>
      <c r="G64" s="529"/>
      <c r="H64" s="529"/>
      <c r="I64" s="529"/>
      <c r="J64" s="529"/>
      <c r="K64" s="530"/>
      <c r="L64" s="531"/>
      <c r="M64" s="532"/>
      <c r="N64" s="1150"/>
      <c r="O64" s="1150"/>
      <c r="P64" s="2679"/>
      <c r="Q64" s="503"/>
    </row>
    <row r="65" spans="1:17" ht="15.75" thickBot="1">
      <c r="A65" s="533"/>
      <c r="B65" s="534"/>
      <c r="C65" s="535">
        <v>100</v>
      </c>
      <c r="D65" s="535"/>
      <c r="E65" s="535"/>
      <c r="F65" s="535"/>
      <c r="G65" s="535"/>
      <c r="H65" s="535"/>
      <c r="I65" s="535"/>
      <c r="J65" s="535"/>
      <c r="K65" s="535"/>
      <c r="L65" s="535"/>
      <c r="M65" s="536"/>
      <c r="N65" s="1151"/>
      <c r="O65" s="1151"/>
      <c r="P65" s="2679"/>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9"/>
      <c r="Q67" s="503"/>
    </row>
    <row r="68" spans="1:17" ht="15.75" thickTop="1">
      <c r="A68" s="533"/>
      <c r="B68" s="545" t="s">
        <v>2557</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v>
      </c>
      <c r="I68" s="546" t="str">
        <f t="shared" si="17"/>
        <v>（含）-</v>
      </c>
      <c r="J68" s="546" t="str">
        <f t="shared" si="17"/>
        <v>（含）-</v>
      </c>
      <c r="K68" s="546" t="str">
        <f t="shared" si="17"/>
        <v>（含）-</v>
      </c>
      <c r="L68" s="546" t="str">
        <f t="shared" si="17"/>
        <v>（含）-</v>
      </c>
      <c r="M68" s="447" t="str">
        <f>M69&amp;"（含）"&amp;"-"&amp;P69</f>
        <v>（含）-</v>
      </c>
      <c r="N68" s="1151"/>
      <c r="O68" s="1151"/>
      <c r="P68" s="2679"/>
      <c r="Q68" s="503"/>
    </row>
    <row r="69" spans="1:17" ht="15">
      <c r="A69" s="533"/>
      <c r="B69" s="547"/>
      <c r="C69" s="548">
        <v>0</v>
      </c>
      <c r="D69" s="548">
        <v>1</v>
      </c>
      <c r="E69" s="548">
        <v>2</v>
      </c>
      <c r="F69" s="548">
        <v>3</v>
      </c>
      <c r="G69" s="548">
        <v>4</v>
      </c>
      <c r="H69" s="548">
        <v>5</v>
      </c>
      <c r="I69" s="548"/>
      <c r="J69" s="548"/>
      <c r="K69" s="549"/>
      <c r="L69" s="550"/>
      <c r="M69" s="551"/>
      <c r="N69" s="1150"/>
      <c r="O69" s="1150"/>
      <c r="P69" s="2679"/>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79"/>
      <c r="Q70" s="503"/>
    </row>
    <row r="71" spans="1:17" s="470" customFormat="1" ht="15.75" thickTop="1">
      <c r="A71" s="552"/>
      <c r="B71" s="537">
        <f>B12</f>
        <v>111</v>
      </c>
      <c r="C71" s="553"/>
      <c r="D71" s="553"/>
      <c r="E71" s="553"/>
      <c r="F71" s="553"/>
      <c r="G71" s="553"/>
      <c r="H71" s="554"/>
      <c r="I71" s="554"/>
      <c r="J71" s="554"/>
      <c r="K71" s="554"/>
      <c r="L71" s="555"/>
      <c r="M71" s="556"/>
      <c r="N71" s="1152"/>
      <c r="O71" s="1152"/>
      <c r="P71" s="2680"/>
      <c r="Q71" s="558"/>
    </row>
    <row r="72" spans="1:17" s="470" customFormat="1" ht="15.75" thickBot="1">
      <c r="A72" s="552"/>
      <c r="B72" s="542"/>
      <c r="C72" s="559"/>
      <c r="D72" s="535"/>
      <c r="E72" s="535"/>
      <c r="F72" s="535"/>
      <c r="G72" s="535"/>
      <c r="H72" s="535"/>
      <c r="I72" s="535"/>
      <c r="J72" s="535"/>
      <c r="K72" s="535"/>
      <c r="L72" s="535"/>
      <c r="M72" s="536"/>
      <c r="N72" s="1151"/>
      <c r="O72" s="1151"/>
      <c r="P72" s="2680"/>
      <c r="Q72" s="558"/>
    </row>
    <row r="73" spans="1:17" s="470" customFormat="1" ht="15.75" thickTop="1">
      <c r="A73" s="552"/>
      <c r="B73" s="537">
        <f>B13</f>
        <v>111</v>
      </c>
      <c r="C73" s="553"/>
      <c r="D73" s="553"/>
      <c r="E73" s="553"/>
      <c r="F73" s="553"/>
      <c r="G73" s="553"/>
      <c r="H73" s="554"/>
      <c r="I73" s="554"/>
      <c r="J73" s="554"/>
      <c r="K73" s="554"/>
      <c r="L73" s="555"/>
      <c r="M73" s="556"/>
      <c r="N73" s="1152"/>
      <c r="O73" s="1152"/>
      <c r="P73" s="2681"/>
      <c r="Q73" s="560"/>
    </row>
    <row r="74" spans="1:17" s="470" customFormat="1" ht="15.75" thickBot="1">
      <c r="A74" s="552"/>
      <c r="B74" s="542"/>
      <c r="C74" s="559"/>
      <c r="D74" s="559"/>
      <c r="E74" s="559"/>
      <c r="F74" s="559"/>
      <c r="G74" s="559"/>
      <c r="H74" s="561"/>
      <c r="I74" s="561"/>
      <c r="J74" s="561"/>
      <c r="K74" s="561"/>
      <c r="L74" s="561"/>
      <c r="M74" s="562"/>
      <c r="N74" s="1152"/>
      <c r="O74" s="1152"/>
      <c r="P74" s="2680"/>
      <c r="Q74" s="558"/>
    </row>
    <row r="75" spans="1:17" s="470" customFormat="1" ht="15.75" thickTop="1">
      <c r="A75" s="552"/>
      <c r="B75" s="545">
        <f>B14</f>
        <v>111</v>
      </c>
      <c r="C75" s="522"/>
      <c r="D75" s="522"/>
      <c r="E75" s="522"/>
      <c r="F75" s="522"/>
      <c r="G75" s="522"/>
      <c r="H75" s="563"/>
      <c r="I75" s="563"/>
      <c r="J75" s="563"/>
      <c r="K75" s="563"/>
      <c r="L75" s="564"/>
      <c r="M75" s="565"/>
      <c r="N75" s="1152"/>
      <c r="O75" s="1152"/>
      <c r="P75" s="2682"/>
      <c r="Q75" s="558"/>
    </row>
    <row r="76" spans="1:17" s="470" customFormat="1" ht="15.75" thickBot="1">
      <c r="A76" s="567"/>
      <c r="B76" s="568"/>
      <c r="C76" s="569"/>
      <c r="D76" s="569"/>
      <c r="E76" s="569"/>
      <c r="F76" s="569"/>
      <c r="G76" s="569"/>
      <c r="H76" s="570"/>
      <c r="I76" s="570"/>
      <c r="J76" s="570"/>
      <c r="K76" s="570"/>
      <c r="L76" s="570"/>
      <c r="M76" s="571"/>
      <c r="N76" s="1152"/>
      <c r="O76" s="1152"/>
      <c r="P76" s="2680"/>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9"/>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9"/>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9"/>
      <c r="Q82" s="503"/>
    </row>
    <row r="83" spans="1:17" ht="15.75" thickTop="1">
      <c r="A83" s="533"/>
      <c r="B83" s="545" t="s">
        <v>2688</v>
      </c>
      <c r="C83" s="659" t="s">
        <v>2674</v>
      </c>
      <c r="D83" s="659" t="s">
        <v>2675</v>
      </c>
      <c r="E83" s="659" t="s">
        <v>2676</v>
      </c>
      <c r="F83" s="659" t="s">
        <v>2677</v>
      </c>
      <c r="G83" s="659" t="s">
        <v>2678</v>
      </c>
      <c r="H83" s="538"/>
      <c r="I83" s="538"/>
      <c r="J83" s="538"/>
      <c r="K83" s="538"/>
      <c r="L83" s="538"/>
      <c r="M83" s="1380"/>
      <c r="N83" s="1151"/>
      <c r="O83" s="1151"/>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9"/>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9"/>
      <c r="Q86" s="503"/>
    </row>
    <row r="87" spans="1:17" s="117" customFormat="1" ht="27.75" thickTop="1">
      <c r="A87" s="578"/>
      <c r="B87" s="537" t="s">
        <v>2698</v>
      </c>
      <c r="C87" s="553"/>
      <c r="D87" s="553"/>
      <c r="E87" s="553"/>
      <c r="F87" s="553"/>
      <c r="G87" s="553"/>
      <c r="H87" s="553"/>
      <c r="I87" s="553"/>
      <c r="J87" s="553"/>
      <c r="K87" s="553"/>
      <c r="L87" s="579"/>
      <c r="M87" s="580"/>
      <c r="N87" s="1149"/>
      <c r="O87" s="1149"/>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9"/>
      <c r="Q88" s="503"/>
    </row>
    <row r="89" spans="1:17" s="117" customFormat="1" ht="15.75" thickTop="1">
      <c r="A89" s="578"/>
      <c r="B89" s="537" t="str">
        <f>B27</f>
        <v>楼层</v>
      </c>
      <c r="C89" s="553"/>
      <c r="D89" s="553"/>
      <c r="E89" s="553"/>
      <c r="F89" s="2630"/>
      <c r="G89" s="553"/>
      <c r="H89" s="553"/>
      <c r="I89" s="553"/>
      <c r="J89" s="553"/>
      <c r="K89" s="553"/>
      <c r="L89" s="553"/>
      <c r="M89" s="580"/>
      <c r="N89" s="1149"/>
      <c r="O89" s="1149"/>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9"/>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0"/>
      <c r="Q92" s="558"/>
    </row>
    <row r="93" spans="1:17" ht="15.75" thickTop="1">
      <c r="A93" s="533"/>
      <c r="B93" s="537">
        <f>B29</f>
        <v>111</v>
      </c>
      <c r="C93" s="553"/>
      <c r="D93" s="553"/>
      <c r="E93" s="553"/>
      <c r="F93" s="553"/>
      <c r="G93" s="553"/>
      <c r="H93" s="553"/>
      <c r="I93" s="553"/>
      <c r="J93" s="553"/>
      <c r="K93" s="553"/>
      <c r="L93" s="579"/>
      <c r="M93" s="580"/>
      <c r="N93" s="1150"/>
      <c r="O93" s="1150"/>
      <c r="P93" s="2679"/>
      <c r="Q93" s="503"/>
    </row>
    <row r="94" spans="1:17" ht="15.75" thickBot="1">
      <c r="A94" s="533"/>
      <c r="B94" s="542"/>
      <c r="C94" s="559"/>
      <c r="D94" s="535"/>
      <c r="E94" s="535"/>
      <c r="F94" s="535"/>
      <c r="G94" s="535"/>
      <c r="H94" s="535"/>
      <c r="I94" s="535"/>
      <c r="J94" s="535"/>
      <c r="K94" s="535"/>
      <c r="L94" s="535"/>
      <c r="M94" s="536"/>
      <c r="N94" s="1151"/>
      <c r="O94" s="1151"/>
      <c r="P94" s="2679"/>
      <c r="Q94" s="503"/>
    </row>
    <row r="95" spans="1:17" ht="15.75" thickTop="1">
      <c r="A95" s="533"/>
      <c r="B95" s="537">
        <f>B30</f>
        <v>111</v>
      </c>
      <c r="C95" s="553"/>
      <c r="D95" s="553"/>
      <c r="E95" s="553"/>
      <c r="F95" s="553"/>
      <c r="G95" s="582"/>
      <c r="H95" s="582"/>
      <c r="I95" s="582"/>
      <c r="J95" s="582"/>
      <c r="K95" s="583"/>
      <c r="L95" s="584"/>
      <c r="M95" s="585"/>
      <c r="N95" s="1150"/>
      <c r="O95" s="1150"/>
      <c r="P95" s="2679"/>
      <c r="Q95" s="503"/>
    </row>
    <row r="96" spans="1:17" ht="15.75" thickBot="1">
      <c r="A96" s="533"/>
      <c r="B96" s="542"/>
      <c r="C96" s="559"/>
      <c r="D96" s="559"/>
      <c r="E96" s="559"/>
      <c r="F96" s="559"/>
      <c r="G96" s="535"/>
      <c r="H96" s="535"/>
      <c r="I96" s="535"/>
      <c r="J96" s="535"/>
      <c r="K96" s="535"/>
      <c r="L96" s="535"/>
      <c r="M96" s="536"/>
      <c r="N96" s="1151"/>
      <c r="O96" s="1151"/>
      <c r="P96" s="2679"/>
      <c r="Q96" s="503"/>
    </row>
    <row r="97" spans="1:17" ht="15.75" thickTop="1">
      <c r="A97" s="533"/>
      <c r="B97" s="537">
        <f>B31</f>
        <v>111</v>
      </c>
      <c r="C97" s="553"/>
      <c r="D97" s="553"/>
      <c r="E97" s="553"/>
      <c r="F97" s="553"/>
      <c r="G97" s="582"/>
      <c r="H97" s="582"/>
      <c r="I97" s="582"/>
      <c r="J97" s="582"/>
      <c r="K97" s="583"/>
      <c r="L97" s="584"/>
      <c r="M97" s="585"/>
      <c r="N97" s="1150"/>
      <c r="O97" s="1150"/>
      <c r="P97" s="2679"/>
      <c r="Q97" s="503"/>
    </row>
    <row r="98" spans="1:17" ht="15.75" thickBot="1">
      <c r="A98" s="533"/>
      <c r="B98" s="542"/>
      <c r="C98" s="559"/>
      <c r="D98" s="535"/>
      <c r="E98" s="535"/>
      <c r="F98" s="535"/>
      <c r="G98" s="535"/>
      <c r="H98" s="535"/>
      <c r="I98" s="535"/>
      <c r="J98" s="535"/>
      <c r="K98" s="535"/>
      <c r="L98" s="535"/>
      <c r="M98" s="536"/>
      <c r="N98" s="1151"/>
      <c r="O98" s="1151"/>
      <c r="P98" s="2679"/>
      <c r="Q98" s="503"/>
    </row>
    <row r="99" spans="1:17" ht="15.75" thickTop="1">
      <c r="A99" s="533"/>
      <c r="B99" s="545">
        <f>B32</f>
        <v>111</v>
      </c>
      <c r="C99" s="522"/>
      <c r="D99" s="522"/>
      <c r="E99" s="522"/>
      <c r="F99" s="522"/>
      <c r="G99" s="586"/>
      <c r="H99" s="586"/>
      <c r="I99" s="586"/>
      <c r="J99" s="586"/>
      <c r="K99" s="587"/>
      <c r="L99" s="588"/>
      <c r="M99" s="589"/>
      <c r="N99" s="1150"/>
      <c r="O99" s="1150"/>
      <c r="P99" s="2679"/>
      <c r="Q99" s="503"/>
    </row>
    <row r="100" spans="1:17" ht="15.75" thickBot="1">
      <c r="A100" s="2631"/>
      <c r="B100" s="568"/>
      <c r="C100" s="569"/>
      <c r="D100" s="569"/>
      <c r="E100" s="569"/>
      <c r="F100" s="569"/>
      <c r="G100" s="590"/>
      <c r="H100" s="590"/>
      <c r="I100" s="590"/>
      <c r="J100" s="590"/>
      <c r="K100" s="590"/>
      <c r="L100" s="590"/>
      <c r="M100" s="591"/>
      <c r="N100" s="1151"/>
      <c r="O100" s="1151"/>
      <c r="P100" s="2679"/>
      <c r="Q100" s="503"/>
    </row>
    <row r="101" spans="1:17">
      <c r="A101" s="526" t="s">
        <v>2562</v>
      </c>
      <c r="B101" s="527" t="s">
        <v>2611</v>
      </c>
      <c r="C101" s="529"/>
      <c r="D101" s="529"/>
      <c r="E101" s="529"/>
      <c r="F101" s="529"/>
      <c r="G101" s="529"/>
      <c r="H101" s="529"/>
      <c r="I101" s="529"/>
      <c r="J101" s="529"/>
      <c r="K101" s="530"/>
      <c r="L101" s="531"/>
      <c r="M101" s="532"/>
      <c r="N101" s="1150"/>
      <c r="O101" s="1150"/>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9"/>
      <c r="Q102" s="503"/>
    </row>
    <row r="103" spans="1:17" ht="29.25" thickTop="1">
      <c r="A103" s="533"/>
      <c r="B103" s="537" t="s">
        <v>2612</v>
      </c>
      <c r="C103" s="577" t="str">
        <f>C104&amp;"(含)"&amp;"-"&amp;D104</f>
        <v>0(含)-1000</v>
      </c>
      <c r="D103" s="577" t="str">
        <f t="shared" ref="D103:L103" si="23">D104&amp;"(含)"&amp;"-"&amp;E104</f>
        <v>1000(含)-2000</v>
      </c>
      <c r="E103" s="577" t="str">
        <f t="shared" si="23"/>
        <v>2000(含)-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9"/>
      <c r="Q103" s="503"/>
    </row>
    <row r="104" spans="1:17" s="470" customFormat="1">
      <c r="A104" s="592"/>
      <c r="B104" s="593"/>
      <c r="C104" s="594">
        <v>0</v>
      </c>
      <c r="D104" s="594">
        <v>1000</v>
      </c>
      <c r="E104" s="594">
        <v>2000</v>
      </c>
      <c r="F104" s="594"/>
      <c r="G104" s="594"/>
      <c r="H104" s="594"/>
      <c r="I104" s="594"/>
      <c r="J104" s="595"/>
      <c r="K104" s="595"/>
      <c r="L104" s="596"/>
      <c r="M104" s="597"/>
      <c r="N104" s="1152"/>
      <c r="O104" s="1152"/>
      <c r="P104" s="2680"/>
      <c r="Q104" s="558"/>
    </row>
    <row r="105" spans="1:17" s="470" customFormat="1" ht="15.75" thickBot="1">
      <c r="A105" s="552"/>
      <c r="B105" s="542"/>
      <c r="C105" s="559">
        <v>0</v>
      </c>
      <c r="D105" s="535">
        <v>100</v>
      </c>
      <c r="E105" s="535">
        <v>101</v>
      </c>
      <c r="F105" s="535"/>
      <c r="G105" s="535"/>
      <c r="H105" s="535"/>
      <c r="I105" s="535"/>
      <c r="J105" s="535"/>
      <c r="K105" s="535"/>
      <c r="L105" s="535"/>
      <c r="M105" s="536"/>
      <c r="N105" s="1151"/>
      <c r="O105" s="1151"/>
      <c r="P105" s="2680"/>
      <c r="Q105" s="558"/>
    </row>
    <row r="106" spans="1:17" ht="15" thickTop="1">
      <c r="A106" s="598"/>
      <c r="B106" s="537" t="s">
        <v>2613</v>
      </c>
      <c r="C106" s="553"/>
      <c r="D106" s="553"/>
      <c r="E106" s="582"/>
      <c r="F106" s="582"/>
      <c r="G106" s="582"/>
      <c r="H106" s="582"/>
      <c r="I106" s="582"/>
      <c r="J106" s="582"/>
      <c r="K106" s="583"/>
      <c r="L106" s="584"/>
      <c r="M106" s="585"/>
      <c r="N106" s="1150"/>
      <c r="O106" s="1150"/>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9"/>
      <c r="Q107" s="503"/>
    </row>
    <row r="108" spans="1:17" ht="15" thickTop="1">
      <c r="A108" s="598"/>
      <c r="B108" s="537" t="s">
        <v>2615</v>
      </c>
      <c r="C108" s="553"/>
      <c r="D108" s="553"/>
      <c r="E108" s="553"/>
      <c r="F108" s="582"/>
      <c r="G108" s="582"/>
      <c r="H108" s="582"/>
      <c r="I108" s="582"/>
      <c r="J108" s="582"/>
      <c r="K108" s="583"/>
      <c r="L108" s="584"/>
      <c r="M108" s="585"/>
      <c r="N108" s="1150"/>
      <c r="O108" s="1150"/>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9"/>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9"/>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9"/>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0"/>
      <c r="Q114" s="558"/>
    </row>
    <row r="115" spans="1:17" ht="15" thickTop="1">
      <c r="A115" s="598"/>
      <c r="B115" s="537" t="s">
        <v>2616</v>
      </c>
      <c r="C115" s="553"/>
      <c r="D115" s="553"/>
      <c r="E115" s="582"/>
      <c r="F115" s="582"/>
      <c r="G115" s="582"/>
      <c r="H115" s="582"/>
      <c r="I115" s="582"/>
      <c r="J115" s="582"/>
      <c r="K115" s="583"/>
      <c r="L115" s="584"/>
      <c r="M115" s="585"/>
      <c r="N115" s="1150"/>
      <c r="O115" s="1150"/>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9"/>
      <c r="Q116" s="503"/>
    </row>
    <row r="117" spans="1:17" ht="15" thickTop="1">
      <c r="A117" s="598"/>
      <c r="B117" s="537" t="s">
        <v>2617</v>
      </c>
      <c r="C117" s="553"/>
      <c r="D117" s="553"/>
      <c r="E117" s="553"/>
      <c r="F117" s="553"/>
      <c r="G117" s="553"/>
      <c r="H117" s="582"/>
      <c r="I117" s="582"/>
      <c r="J117" s="582"/>
      <c r="K117" s="583"/>
      <c r="L117" s="584"/>
      <c r="M117" s="585"/>
      <c r="N117" s="1150"/>
      <c r="O117" s="1150"/>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9"/>
      <c r="Q118" s="503"/>
    </row>
    <row r="119" spans="1:17" ht="15" thickTop="1">
      <c r="A119" s="598"/>
      <c r="B119" s="635" t="s">
        <v>2700</v>
      </c>
      <c r="C119" s="582"/>
      <c r="D119" s="582"/>
      <c r="E119" s="582"/>
      <c r="F119" s="582"/>
      <c r="G119" s="582"/>
      <c r="H119" s="582"/>
      <c r="I119" s="582"/>
      <c r="J119" s="582"/>
      <c r="K119" s="582"/>
      <c r="L119" s="2684"/>
      <c r="M119" s="2685"/>
      <c r="N119" s="1151"/>
      <c r="O119" s="1151"/>
      <c r="P119" s="268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9"/>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0"/>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0"/>
      <c r="Q122" s="558"/>
    </row>
    <row r="123" spans="1:17" ht="15" thickTop="1">
      <c r="A123" s="598"/>
      <c r="B123" s="537" t="s">
        <v>2619</v>
      </c>
      <c r="C123" s="553"/>
      <c r="D123" s="553"/>
      <c r="E123" s="553"/>
      <c r="F123" s="582"/>
      <c r="G123" s="582"/>
      <c r="H123" s="582"/>
      <c r="I123" s="582"/>
      <c r="J123" s="582"/>
      <c r="K123" s="583"/>
      <c r="L123" s="584"/>
      <c r="M123" s="585"/>
      <c r="N123" s="1150"/>
      <c r="O123" s="1150"/>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9"/>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9"/>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0"/>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0"/>
      <c r="Q128" s="558"/>
    </row>
    <row r="129" spans="1:17" ht="15" thickTop="1">
      <c r="A129" s="598"/>
      <c r="B129" s="537">
        <f>B46</f>
        <v>111</v>
      </c>
      <c r="C129" s="553"/>
      <c r="D129" s="553"/>
      <c r="E129" s="553"/>
      <c r="F129" s="553"/>
      <c r="G129" s="582"/>
      <c r="H129" s="582"/>
      <c r="I129" s="582"/>
      <c r="J129" s="582"/>
      <c r="K129" s="583"/>
      <c r="L129" s="584"/>
      <c r="M129" s="585"/>
      <c r="N129" s="1150"/>
      <c r="O129" s="1150"/>
      <c r="P129" s="2679"/>
      <c r="Q129" s="503"/>
    </row>
    <row r="130" spans="1:17" ht="15.75" thickBot="1">
      <c r="A130" s="533"/>
      <c r="B130" s="542"/>
      <c r="C130" s="559"/>
      <c r="D130" s="559"/>
      <c r="E130" s="559"/>
      <c r="F130" s="559"/>
      <c r="G130" s="535"/>
      <c r="H130" s="535"/>
      <c r="I130" s="535"/>
      <c r="J130" s="535"/>
      <c r="K130" s="535"/>
      <c r="L130" s="535"/>
      <c r="M130" s="536"/>
      <c r="N130" s="1151"/>
      <c r="O130" s="1151"/>
      <c r="P130" s="2679"/>
      <c r="Q130" s="503"/>
    </row>
    <row r="131" spans="1:17" ht="15" thickTop="1">
      <c r="A131" s="598"/>
      <c r="B131" s="545">
        <f>B47</f>
        <v>111</v>
      </c>
      <c r="C131" s="522"/>
      <c r="D131" s="522"/>
      <c r="E131" s="522"/>
      <c r="F131" s="522"/>
      <c r="G131" s="586"/>
      <c r="H131" s="586"/>
      <c r="I131" s="586"/>
      <c r="J131" s="586"/>
      <c r="K131" s="522"/>
      <c r="L131" s="523"/>
      <c r="M131" s="589"/>
      <c r="N131" s="1150"/>
      <c r="O131" s="1150"/>
      <c r="P131" s="2679"/>
      <c r="Q131" s="503"/>
    </row>
    <row r="132" spans="1:17" ht="15.75" thickBot="1">
      <c r="A132" s="2631"/>
      <c r="B132" s="568"/>
      <c r="C132" s="569"/>
      <c r="D132" s="569"/>
      <c r="E132" s="569"/>
      <c r="F132" s="569"/>
      <c r="G132" s="590"/>
      <c r="H132" s="590"/>
      <c r="I132" s="590"/>
      <c r="J132" s="590"/>
      <c r="K132" s="590"/>
      <c r="L132" s="590"/>
      <c r="M132" s="591"/>
      <c r="N132" s="1151"/>
      <c r="O132" s="1151"/>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64" t="s">
        <v>2701</v>
      </c>
      <c r="C1" s="1617" t="s">
        <v>2529</v>
      </c>
      <c r="D1" s="1618"/>
      <c r="E1" s="1627"/>
      <c r="F1" s="2579"/>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6" t="e">
        <f ca="1">IF(C2="——",ROUND(C43*D3/10000,0),ROUND(C43*D3/10000,0)-D2)</f>
        <v>#DIV/0!</v>
      </c>
      <c r="C2" s="2581"/>
      <c r="D2" s="1122" t="e">
        <f ca="1">SUMIF(INDIRECT("'"&amp;F2&amp;"'"&amp;"!A:A"),"承租人权益价值",INDIRECT("'"&amp;F2&amp;"'"&amp;"!c:c"))</f>
        <v>#REF!</v>
      </c>
      <c r="E2" s="2582" t="s">
        <v>2330</v>
      </c>
      <c r="F2" s="2583"/>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2331</v>
      </c>
      <c r="B3" s="608" t="e">
        <f ca="1">IF(C2="——",C43,ROUND(B2*10000/D3,0))</f>
        <v>#DIV/0!</v>
      </c>
      <c r="C3" s="400" t="s">
        <v>2643</v>
      </c>
      <c r="D3" s="399">
        <f>IF(D1="",'数据-汇总表'!E3,SUMIF('数据-汇总表'!$C19:$C33,D1,'数据-汇总表'!$E19:$E33))</f>
        <v>22318.329999999998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190" t="s">
        <v>2647</v>
      </c>
      <c r="AC4" s="3189" t="s">
        <v>2648</v>
      </c>
    </row>
    <row r="5" spans="1:29" ht="15">
      <c r="A5" s="404"/>
      <c r="B5" s="405"/>
      <c r="C5" s="3200" t="s">
        <v>2541</v>
      </c>
      <c r="D5" s="3201"/>
      <c r="E5" s="3198" t="s">
        <v>2542</v>
      </c>
      <c r="F5" s="3199"/>
      <c r="G5" s="3200" t="s">
        <v>2543</v>
      </c>
      <c r="H5" s="3201"/>
      <c r="I5" s="3200" t="s">
        <v>2544</v>
      </c>
      <c r="J5" s="3201"/>
      <c r="K5" s="609"/>
      <c r="L5" s="1128"/>
      <c r="M5" s="1129"/>
      <c r="N5" s="1129"/>
      <c r="O5" s="1129"/>
      <c r="P5" s="3213"/>
      <c r="Q5" s="3214"/>
      <c r="R5" s="3196"/>
      <c r="S5" s="3197"/>
      <c r="T5" s="3196"/>
      <c r="U5" s="3197"/>
      <c r="V5" s="3219"/>
      <c r="W5" s="3219"/>
      <c r="X5" s="1810"/>
      <c r="Y5" s="3196"/>
      <c r="Z5" s="3197"/>
      <c r="AA5" s="3190"/>
      <c r="AB5" s="3190"/>
      <c r="AC5" s="3190"/>
    </row>
    <row r="6" spans="1:29" ht="15.75" thickBot="1">
      <c r="A6" s="406"/>
      <c r="B6" s="407"/>
      <c r="C6" s="3202" t="s">
        <v>2545</v>
      </c>
      <c r="D6" s="3203"/>
      <c r="E6" s="3204" t="s">
        <v>2545</v>
      </c>
      <c r="F6" s="3205"/>
      <c r="G6" s="3202" t="s">
        <v>2545</v>
      </c>
      <c r="H6" s="3203"/>
      <c r="I6" s="3202" t="s">
        <v>2545</v>
      </c>
      <c r="J6" s="3203"/>
      <c r="K6" s="609" t="s">
        <v>2546</v>
      </c>
      <c r="L6" s="1128"/>
      <c r="M6" s="1129"/>
      <c r="N6" s="1129"/>
      <c r="O6" s="1129"/>
      <c r="P6" s="3215"/>
      <c r="Q6" s="3216"/>
      <c r="R6" s="3196"/>
      <c r="S6" s="3197"/>
      <c r="T6" s="3217"/>
      <c r="U6" s="3218"/>
      <c r="V6" s="3219"/>
      <c r="W6" s="3219"/>
      <c r="X6" s="1810"/>
      <c r="Y6" s="3217"/>
      <c r="Z6" s="3218"/>
      <c r="AA6" s="3191"/>
      <c r="AB6" s="3191"/>
      <c r="AC6" s="3191"/>
    </row>
    <row r="7" spans="1:29" s="117" customFormat="1" ht="15.75" thickBot="1">
      <c r="A7" s="408" t="s">
        <v>2547</v>
      </c>
      <c r="B7" s="409"/>
      <c r="C7" s="410">
        <f>'数据-取费表'!B2</f>
        <v>43539</v>
      </c>
      <c r="D7" s="411">
        <v>100</v>
      </c>
      <c r="E7" s="412"/>
      <c r="F7" s="413">
        <f>SUMIF(52:52,YEAR(E7)&amp;"-"&amp;MONTH(E7),53:53)</f>
        <v>0</v>
      </c>
      <c r="G7" s="412"/>
      <c r="H7" s="411">
        <f>SUMIF(52:52,YEAR(G7)&amp;"-"&amp;MONTH(G7),53:53)</f>
        <v>0</v>
      </c>
      <c r="I7" s="412"/>
      <c r="J7" s="411">
        <f>SUMIF(52:52,YEAR(I7)&amp;"-"&amp;MONTH(I7),53:53)</f>
        <v>0</v>
      </c>
      <c r="K7" s="610"/>
      <c r="L7" s="1130"/>
      <c r="M7" s="1131"/>
      <c r="N7" s="1131"/>
      <c r="O7" s="1131"/>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0"/>
      <c r="L8" s="1130"/>
      <c r="M8" s="1131"/>
      <c r="N8" s="1131"/>
      <c r="O8" s="1131"/>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0"/>
      <c r="L9" s="1130"/>
      <c r="M9" s="1131"/>
      <c r="N9" s="1131"/>
      <c r="O9" s="1132"/>
      <c r="P9" s="3206"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2"/>
      <c r="F10" s="136">
        <f>SUMIF(59:59,E10,60:60)-SUMIF(59:59,C10,60:60)+100</f>
        <v>100</v>
      </c>
      <c r="G10" s="423"/>
      <c r="H10" s="136">
        <f>SUMIF(59:59,G10,60:60)-SUMIF(59:59,C10,60:60)+100</f>
        <v>100</v>
      </c>
      <c r="I10" s="422"/>
      <c r="J10" s="136">
        <f>SUMIF(59:59,I10,60:60)-SUMIF(59:59,C10,60:60)+100</f>
        <v>100</v>
      </c>
      <c r="K10" s="611"/>
      <c r="L10" s="1133"/>
      <c r="M10" s="1134"/>
      <c r="N10" s="1134"/>
      <c r="O10" s="1135"/>
      <c r="P10" s="3206"/>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6"/>
      <c r="M11" s="1129"/>
      <c r="N11" s="1129"/>
      <c r="O11" s="1137"/>
      <c r="P11" s="3206"/>
      <c r="Q11" s="1792"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7"/>
      <c r="H12" s="136">
        <f>SUMIF(64:64,G12,65:65)-SUMIF(64:64,C12,65:65)+100</f>
        <v>100</v>
      </c>
      <c r="I12" s="468"/>
      <c r="J12" s="136">
        <f>SUMIF(64:64,I12,65:65)-SUMIF(64:64,C12,65:65)+100</f>
        <v>100</v>
      </c>
      <c r="K12" s="612"/>
      <c r="L12" s="1130"/>
      <c r="M12" s="1131"/>
      <c r="N12" s="1131"/>
      <c r="O12" s="1132"/>
      <c r="P12" s="3206"/>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7"/>
      <c r="H13" s="434">
        <f>SUMIF(66:66,G13,67:67)-SUMIF(66:66,C13,67:67)+100</f>
        <v>100</v>
      </c>
      <c r="I13" s="468"/>
      <c r="J13" s="434">
        <f>SUMIF(66:66,I13,67:67)-SUMIF(66:66,C13,67:67)+100</f>
        <v>100</v>
      </c>
      <c r="K13" s="612"/>
      <c r="L13" s="1138"/>
      <c r="M13" s="1129"/>
      <c r="N13" s="1129"/>
      <c r="O13" s="1137"/>
      <c r="P13" s="3206"/>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38"/>
      <c r="M14" s="1129"/>
      <c r="N14" s="1129"/>
      <c r="O14" s="1137"/>
      <c r="P14" s="3206"/>
      <c r="Q14" s="1792">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57">
      <c r="A15" s="439" t="s">
        <v>2558</v>
      </c>
      <c r="B15" s="69" t="s">
        <v>2702</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1" t="s">
        <v>2559</v>
      </c>
      <c r="Q15" s="1807" t="str">
        <f t="shared" si="6"/>
        <v>产业集聚程度</v>
      </c>
      <c r="R15" s="773" t="s">
        <v>17</v>
      </c>
      <c r="S15" s="774">
        <f t="shared" si="0"/>
        <v>100</v>
      </c>
      <c r="T15" s="773" t="s">
        <v>17</v>
      </c>
      <c r="U15" s="774">
        <f t="shared" si="1"/>
        <v>100</v>
      </c>
      <c r="V15" s="773" t="s">
        <v>17</v>
      </c>
      <c r="W15" s="774">
        <f t="shared" si="2"/>
        <v>100</v>
      </c>
      <c r="X15" s="1810"/>
      <c r="Y15" s="3221" t="s">
        <v>2559</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22"/>
      <c r="Q16" s="1807"/>
      <c r="R16" s="773"/>
      <c r="S16" s="774"/>
      <c r="T16" s="773"/>
      <c r="U16" s="774"/>
      <c r="V16" s="773"/>
      <c r="W16" s="774"/>
      <c r="X16" s="1810"/>
      <c r="Y16" s="3222"/>
      <c r="Z16" s="1811"/>
      <c r="AA16" s="1808">
        <v>1</v>
      </c>
      <c r="AB16" s="1808">
        <v>1</v>
      </c>
      <c r="AC16" s="1808">
        <v>1</v>
      </c>
    </row>
    <row r="17" spans="1:29" ht="85.5">
      <c r="A17" s="427"/>
      <c r="B17" s="450" t="s">
        <v>2097</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2"/>
      <c r="Q17" s="1807" t="str">
        <f>B17</f>
        <v>交通便捷度</v>
      </c>
      <c r="R17" s="773" t="s">
        <v>17</v>
      </c>
      <c r="S17" s="774">
        <f>F17</f>
        <v>100</v>
      </c>
      <c r="T17" s="773" t="s">
        <v>17</v>
      </c>
      <c r="U17" s="774">
        <f>H17</f>
        <v>100</v>
      </c>
      <c r="V17" s="773" t="s">
        <v>17</v>
      </c>
      <c r="W17" s="774">
        <f>J17</f>
        <v>100</v>
      </c>
      <c r="X17" s="1810"/>
      <c r="Y17" s="3222"/>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8"/>
      <c r="M18" s="1129"/>
      <c r="N18" s="1129"/>
      <c r="O18" s="1137"/>
      <c r="P18" s="3222"/>
      <c r="Q18" s="1807"/>
      <c r="R18" s="773"/>
      <c r="S18" s="774"/>
      <c r="T18" s="773"/>
      <c r="U18" s="774"/>
      <c r="V18" s="773"/>
      <c r="W18" s="774"/>
      <c r="X18" s="1810"/>
      <c r="Y18" s="3222"/>
      <c r="Z18" s="1811"/>
      <c r="AA18" s="1808">
        <v>1</v>
      </c>
      <c r="AB18" s="1808">
        <v>1</v>
      </c>
      <c r="AC18" s="1808">
        <v>1</v>
      </c>
    </row>
    <row r="19" spans="1:29" ht="42.75">
      <c r="A19" s="427"/>
      <c r="B19" s="450" t="s">
        <v>2687</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2"/>
      <c r="Q19" s="1807" t="str">
        <f>B19</f>
        <v>公共配套设施</v>
      </c>
      <c r="R19" s="773" t="s">
        <v>17</v>
      </c>
      <c r="S19" s="774">
        <f>F19</f>
        <v>100</v>
      </c>
      <c r="T19" s="773" t="s">
        <v>17</v>
      </c>
      <c r="U19" s="774">
        <f>H19</f>
        <v>100</v>
      </c>
      <c r="V19" s="773" t="s">
        <v>17</v>
      </c>
      <c r="W19" s="774">
        <f>J19</f>
        <v>100</v>
      </c>
      <c r="X19" s="1810"/>
      <c r="Y19" s="3222"/>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8"/>
      <c r="M20" s="1129"/>
      <c r="N20" s="1129"/>
      <c r="O20" s="1137"/>
      <c r="P20" s="3222"/>
      <c r="Q20" s="1807"/>
      <c r="R20" s="773"/>
      <c r="S20" s="774"/>
      <c r="T20" s="773"/>
      <c r="U20" s="774"/>
      <c r="V20" s="773"/>
      <c r="W20" s="774"/>
      <c r="X20" s="1810"/>
      <c r="Y20" s="3222"/>
      <c r="Z20" s="1811"/>
      <c r="AA20" s="1808">
        <v>1</v>
      </c>
      <c r="AB20" s="1808">
        <v>1</v>
      </c>
      <c r="AC20" s="1808">
        <v>1</v>
      </c>
    </row>
    <row r="21" spans="1:29" ht="28.5">
      <c r="A21" s="427"/>
      <c r="B21" s="1382" t="s">
        <v>2688</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2"/>
      <c r="Q21" s="1807" t="str">
        <f>B21</f>
        <v>基础设施水平</v>
      </c>
      <c r="R21" s="773" t="s">
        <v>17</v>
      </c>
      <c r="S21" s="774">
        <f>F21</f>
        <v>100</v>
      </c>
      <c r="T21" s="773" t="s">
        <v>17</v>
      </c>
      <c r="U21" s="774">
        <f>H21</f>
        <v>100</v>
      </c>
      <c r="V21" s="773" t="s">
        <v>17</v>
      </c>
      <c r="W21" s="774">
        <f>J21</f>
        <v>100</v>
      </c>
      <c r="X21" s="1810"/>
      <c r="Y21" s="3222"/>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8"/>
      <c r="G22" s="446"/>
      <c r="H22" s="447"/>
      <c r="I22" s="446"/>
      <c r="J22" s="447"/>
      <c r="K22" s="1381"/>
      <c r="L22" s="1138"/>
      <c r="M22" s="1129"/>
      <c r="N22" s="1129"/>
      <c r="O22" s="1137"/>
      <c r="P22" s="3222"/>
      <c r="Q22" s="1807"/>
      <c r="R22" s="773"/>
      <c r="S22" s="774"/>
      <c r="T22" s="773"/>
      <c r="U22" s="774"/>
      <c r="V22" s="773"/>
      <c r="W22" s="774"/>
      <c r="X22" s="1810"/>
      <c r="Y22" s="3222"/>
      <c r="Z22" s="1811"/>
      <c r="AA22" s="1808">
        <v>1</v>
      </c>
      <c r="AB22" s="1808">
        <v>1</v>
      </c>
      <c r="AC22" s="1808">
        <v>1</v>
      </c>
    </row>
    <row r="23" spans="1:29" ht="71.25">
      <c r="A23" s="427"/>
      <c r="B23" s="450" t="s">
        <v>2689</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2"/>
      <c r="Q23" s="1807" t="str">
        <f>B23</f>
        <v>环境质量</v>
      </c>
      <c r="R23" s="773" t="s">
        <v>17</v>
      </c>
      <c r="S23" s="774">
        <f>F23</f>
        <v>100</v>
      </c>
      <c r="T23" s="773" t="s">
        <v>17</v>
      </c>
      <c r="U23" s="774">
        <f>H23</f>
        <v>100</v>
      </c>
      <c r="V23" s="773" t="s">
        <v>17</v>
      </c>
      <c r="W23" s="774">
        <f>J23</f>
        <v>100</v>
      </c>
      <c r="X23" s="1810"/>
      <c r="Y23" s="3222"/>
      <c r="Z23" s="1811" t="str">
        <f>Q23</f>
        <v>环境质量</v>
      </c>
      <c r="AA23" s="1808">
        <f t="shared" si="3"/>
        <v>1</v>
      </c>
      <c r="AB23" s="1808">
        <f t="shared" si="4"/>
        <v>1</v>
      </c>
      <c r="AC23" s="1808">
        <f t="shared" si="5"/>
        <v>1</v>
      </c>
    </row>
    <row r="24" spans="1:29" ht="15">
      <c r="A24" s="427"/>
      <c r="B24" s="1382"/>
      <c r="C24" s="446"/>
      <c r="D24" s="447"/>
      <c r="E24" s="2600"/>
      <c r="F24" s="448"/>
      <c r="G24" s="2599"/>
      <c r="H24" s="447"/>
      <c r="I24" s="2600"/>
      <c r="J24" s="447"/>
      <c r="K24" s="614"/>
      <c r="L24" s="1138"/>
      <c r="M24" s="1129"/>
      <c r="N24" s="1129"/>
      <c r="O24" s="1137"/>
      <c r="P24" s="3222"/>
      <c r="Q24" s="1807"/>
      <c r="R24" s="773"/>
      <c r="S24" s="774"/>
      <c r="T24" s="773"/>
      <c r="U24" s="774"/>
      <c r="V24" s="773"/>
      <c r="W24" s="774"/>
      <c r="X24" s="1810"/>
      <c r="Y24" s="3222"/>
      <c r="Z24" s="1811"/>
      <c r="AA24" s="1808">
        <v>1</v>
      </c>
      <c r="AB24" s="1808">
        <v>1</v>
      </c>
      <c r="AC24" s="1808">
        <v>1</v>
      </c>
    </row>
    <row r="25" spans="1:29" ht="15">
      <c r="A25" s="404"/>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2"/>
      <c r="Q25" s="1807">
        <f>B25</f>
        <v>111</v>
      </c>
      <c r="R25" s="773" t="s">
        <v>17</v>
      </c>
      <c r="S25" s="774">
        <f>F25</f>
        <v>100</v>
      </c>
      <c r="T25" s="773" t="s">
        <v>17</v>
      </c>
      <c r="U25" s="774">
        <f>H25</f>
        <v>100</v>
      </c>
      <c r="V25" s="773" t="s">
        <v>17</v>
      </c>
      <c r="W25" s="774">
        <f>J25</f>
        <v>100</v>
      </c>
      <c r="X25" s="1810"/>
      <c r="Y25" s="3222"/>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2"/>
      <c r="Q26" s="1807">
        <f t="shared" ref="Q26:Q40" si="11">B26</f>
        <v>111</v>
      </c>
      <c r="R26" s="773" t="s">
        <v>17</v>
      </c>
      <c r="S26" s="774">
        <f>F26</f>
        <v>100</v>
      </c>
      <c r="T26" s="773" t="s">
        <v>17</v>
      </c>
      <c r="U26" s="774">
        <f>H26</f>
        <v>100</v>
      </c>
      <c r="V26" s="773" t="s">
        <v>17</v>
      </c>
      <c r="W26" s="774">
        <f>J26</f>
        <v>100</v>
      </c>
      <c r="X26" s="1810"/>
      <c r="Y26" s="3222"/>
      <c r="Z26" s="1811">
        <f>Q26</f>
        <v>111</v>
      </c>
      <c r="AA26" s="1808">
        <f t="shared" si="3"/>
        <v>1</v>
      </c>
      <c r="AB26" s="1808">
        <f t="shared" si="4"/>
        <v>1</v>
      </c>
      <c r="AC26" s="1808">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2"/>
      <c r="Q27" s="1792">
        <f t="shared" si="11"/>
        <v>111</v>
      </c>
      <c r="R27" s="769" t="s">
        <v>17</v>
      </c>
      <c r="S27" s="770">
        <f>F27</f>
        <v>100</v>
      </c>
      <c r="T27" s="769" t="s">
        <v>17</v>
      </c>
      <c r="U27" s="770">
        <f>H27</f>
        <v>100</v>
      </c>
      <c r="V27" s="769" t="s">
        <v>17</v>
      </c>
      <c r="W27" s="770">
        <f>J27</f>
        <v>100</v>
      </c>
      <c r="X27" s="771"/>
      <c r="Y27" s="3222"/>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2"/>
      <c r="Q28" s="1807">
        <f t="shared" si="11"/>
        <v>111</v>
      </c>
      <c r="R28" s="773" t="s">
        <v>17</v>
      </c>
      <c r="S28" s="774">
        <f t="shared" ref="S28:S40" si="12">F28</f>
        <v>100</v>
      </c>
      <c r="T28" s="773" t="s">
        <v>17</v>
      </c>
      <c r="U28" s="774">
        <f t="shared" ref="U28:U40" si="13">H28</f>
        <v>100</v>
      </c>
      <c r="V28" s="773" t="s">
        <v>17</v>
      </c>
      <c r="W28" s="774">
        <f t="shared" ref="W28:W40" si="14">J28</f>
        <v>100</v>
      </c>
      <c r="X28" s="1810"/>
      <c r="Y28" s="3222"/>
      <c r="Z28" s="1811">
        <f t="shared" ref="Z28:Z40" si="15">Q28</f>
        <v>111</v>
      </c>
      <c r="AA28" s="1808">
        <f t="shared" si="3"/>
        <v>1</v>
      </c>
      <c r="AB28" s="1808">
        <f t="shared" si="4"/>
        <v>1</v>
      </c>
      <c r="AC28" s="1808">
        <f t="shared" si="5"/>
        <v>1</v>
      </c>
    </row>
    <row r="29" spans="1:29" ht="15">
      <c r="A29" s="465" t="s">
        <v>2562</v>
      </c>
      <c r="B29" s="71" t="s">
        <v>2692</v>
      </c>
      <c r="C29" s="2674"/>
      <c r="D29" s="466">
        <v>100</v>
      </c>
      <c r="E29" s="2674"/>
      <c r="F29" s="460">
        <f>SUMIF(88:88,E29,89:89)-SUMIF(88:88,C29,89:89)+100</f>
        <v>100</v>
      </c>
      <c r="G29" s="2674"/>
      <c r="H29" s="434">
        <f>SUMIF(88:88,G29,89:89)-SUMIF(88:88,C29,89:89)+100</f>
        <v>100</v>
      </c>
      <c r="I29" s="2674"/>
      <c r="J29" s="466">
        <f>SUMIF(88:88,I29,89:89)-SUMIF(88:88,C29,89:89)+100</f>
        <v>100</v>
      </c>
      <c r="K29" s="611"/>
      <c r="L29" s="1138"/>
      <c r="M29" s="1129"/>
      <c r="N29" s="1129"/>
      <c r="O29" s="1137"/>
      <c r="P29" s="3223" t="s">
        <v>2564</v>
      </c>
      <c r="Q29" s="1807" t="str">
        <f t="shared" si="11"/>
        <v>建筑类型</v>
      </c>
      <c r="R29" s="773" t="s">
        <v>17</v>
      </c>
      <c r="S29" s="774">
        <f t="shared" si="12"/>
        <v>100</v>
      </c>
      <c r="T29" s="773" t="s">
        <v>17</v>
      </c>
      <c r="U29" s="774">
        <f t="shared" si="13"/>
        <v>100</v>
      </c>
      <c r="V29" s="773" t="s">
        <v>17</v>
      </c>
      <c r="W29" s="774">
        <f t="shared" si="14"/>
        <v>100</v>
      </c>
      <c r="X29" s="1810"/>
      <c r="Y29" s="3224" t="s">
        <v>2564</v>
      </c>
      <c r="Z29" s="1811" t="str">
        <f t="shared" si="15"/>
        <v>建筑类型</v>
      </c>
      <c r="AA29" s="1808">
        <f t="shared" si="3"/>
        <v>1</v>
      </c>
      <c r="AB29" s="1808">
        <f t="shared" si="4"/>
        <v>1</v>
      </c>
      <c r="AC29" s="1808">
        <f t="shared" si="5"/>
        <v>1</v>
      </c>
    </row>
    <row r="30" spans="1:29" s="470" customFormat="1" ht="15">
      <c r="A30" s="467"/>
      <c r="B30" s="421" t="s">
        <v>2565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6"/>
      <c r="M30" s="1139"/>
      <c r="N30" s="1139"/>
      <c r="O30" s="1140"/>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08" t="e">
        <f t="shared" si="3"/>
        <v>#N/A</v>
      </c>
      <c r="AB30" s="1808" t="e">
        <f t="shared" si="4"/>
        <v>#N/A</v>
      </c>
      <c r="AC30" s="1808"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4"/>
      <c r="Q31" s="1807" t="str">
        <f t="shared" si="11"/>
        <v>建筑结构</v>
      </c>
      <c r="R31" s="773" t="s">
        <v>17</v>
      </c>
      <c r="S31" s="774">
        <f t="shared" si="12"/>
        <v>100</v>
      </c>
      <c r="T31" s="773" t="s">
        <v>17</v>
      </c>
      <c r="U31" s="774">
        <f t="shared" si="13"/>
        <v>100</v>
      </c>
      <c r="V31" s="773" t="s">
        <v>17</v>
      </c>
      <c r="W31" s="774">
        <f t="shared" si="14"/>
        <v>100</v>
      </c>
      <c r="X31" s="1810"/>
      <c r="Y31" s="3224"/>
      <c r="Z31" s="1811" t="str">
        <f t="shared" si="15"/>
        <v>建筑结构</v>
      </c>
      <c r="AA31" s="1808">
        <f t="shared" si="3"/>
        <v>1</v>
      </c>
      <c r="AB31" s="1808">
        <f t="shared" si="4"/>
        <v>1</v>
      </c>
      <c r="AC31" s="1808">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4"/>
      <c r="Q32" s="1807" t="str">
        <f t="shared" si="11"/>
        <v>公共部分装修</v>
      </c>
      <c r="R32" s="773" t="s">
        <v>17</v>
      </c>
      <c r="S32" s="774">
        <f t="shared" si="12"/>
        <v>100</v>
      </c>
      <c r="T32" s="773" t="s">
        <v>17</v>
      </c>
      <c r="U32" s="774">
        <f t="shared" si="13"/>
        <v>100</v>
      </c>
      <c r="V32" s="773" t="s">
        <v>17</v>
      </c>
      <c r="W32" s="774">
        <f t="shared" si="14"/>
        <v>100</v>
      </c>
      <c r="X32" s="1810"/>
      <c r="Y32" s="3224"/>
      <c r="Z32" s="1811" t="str">
        <f t="shared" si="15"/>
        <v>公共部分装修</v>
      </c>
      <c r="AA32" s="1808">
        <f t="shared" si="3"/>
        <v>1</v>
      </c>
      <c r="AB32" s="1808">
        <f t="shared" si="4"/>
        <v>1</v>
      </c>
      <c r="AC32" s="1808">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4"/>
      <c r="Q33" s="1807" t="str">
        <f t="shared" si="11"/>
        <v>成新度</v>
      </c>
      <c r="R33" s="773" t="s">
        <v>17</v>
      </c>
      <c r="S33" s="774" t="e">
        <f t="shared" si="12"/>
        <v>#N/A</v>
      </c>
      <c r="T33" s="773" t="s">
        <v>17</v>
      </c>
      <c r="U33" s="774" t="e">
        <f t="shared" si="13"/>
        <v>#N/A</v>
      </c>
      <c r="V33" s="773" t="s">
        <v>17</v>
      </c>
      <c r="W33" s="774" t="e">
        <f t="shared" si="14"/>
        <v>#N/A</v>
      </c>
      <c r="X33" s="1810"/>
      <c r="Y33" s="3224"/>
      <c r="Z33" s="1811" t="str">
        <f t="shared" si="15"/>
        <v>成新度</v>
      </c>
      <c r="AA33" s="1808" t="e">
        <f t="shared" si="3"/>
        <v>#N/A</v>
      </c>
      <c r="AB33" s="1808" t="e">
        <f t="shared" si="4"/>
        <v>#N/A</v>
      </c>
      <c r="AC33" s="1808" t="e">
        <f t="shared" si="5"/>
        <v>#N/A</v>
      </c>
    </row>
    <row r="34" spans="1:29" s="117" customFormat="1" ht="15">
      <c r="A34" s="472"/>
      <c r="B34" s="421" t="s">
        <v>2694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4"/>
      <c r="Q34" s="1792" t="str">
        <f t="shared" si="11"/>
        <v>物业管理</v>
      </c>
      <c r="R34" s="769" t="s">
        <v>17</v>
      </c>
      <c r="S34" s="770">
        <f t="shared" si="12"/>
        <v>100</v>
      </c>
      <c r="T34" s="769" t="s">
        <v>17</v>
      </c>
      <c r="U34" s="770">
        <f t="shared" si="13"/>
        <v>100</v>
      </c>
      <c r="V34" s="769" t="s">
        <v>17</v>
      </c>
      <c r="W34" s="770">
        <f t="shared" si="14"/>
        <v>100</v>
      </c>
      <c r="X34" s="771"/>
      <c r="Y34" s="3224"/>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4" t="s">
        <v>2564</v>
      </c>
      <c r="Q35" s="1807" t="str">
        <f t="shared" si="11"/>
        <v>市政基础设施</v>
      </c>
      <c r="R35" s="773" t="s">
        <v>17</v>
      </c>
      <c r="S35" s="774">
        <f t="shared" si="12"/>
        <v>100</v>
      </c>
      <c r="T35" s="773" t="s">
        <v>17</v>
      </c>
      <c r="U35" s="774">
        <f t="shared" si="13"/>
        <v>100</v>
      </c>
      <c r="V35" s="773" t="s">
        <v>17</v>
      </c>
      <c r="W35" s="774">
        <f t="shared" si="14"/>
        <v>100</v>
      </c>
      <c r="X35" s="1810"/>
      <c r="Y35" s="3224" t="s">
        <v>2564</v>
      </c>
      <c r="Z35" s="1811" t="str">
        <f t="shared" si="15"/>
        <v>市政基础设施</v>
      </c>
      <c r="AA35" s="1808">
        <f t="shared" si="3"/>
        <v>1</v>
      </c>
      <c r="AB35" s="1808">
        <f t="shared" si="4"/>
        <v>1</v>
      </c>
      <c r="AC35" s="1808">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4"/>
      <c r="Q36" s="1807" t="str">
        <f t="shared" si="11"/>
        <v>内部装修</v>
      </c>
      <c r="R36" s="773" t="s">
        <v>17</v>
      </c>
      <c r="S36" s="774">
        <f t="shared" si="12"/>
        <v>100</v>
      </c>
      <c r="T36" s="773" t="s">
        <v>17</v>
      </c>
      <c r="U36" s="774">
        <f t="shared" si="13"/>
        <v>100</v>
      </c>
      <c r="V36" s="773" t="s">
        <v>17</v>
      </c>
      <c r="W36" s="774">
        <f t="shared" si="14"/>
        <v>100</v>
      </c>
      <c r="X36" s="1810"/>
      <c r="Y36" s="3224"/>
      <c r="Z36" s="1811" t="str">
        <f t="shared" si="15"/>
        <v>内部装修</v>
      </c>
      <c r="AA36" s="1808">
        <f t="shared" si="3"/>
        <v>1</v>
      </c>
      <c r="AB36" s="1808">
        <f t="shared" si="4"/>
        <v>1</v>
      </c>
      <c r="AC36" s="1808">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4"/>
      <c r="Q37" s="1807" t="str">
        <f t="shared" si="11"/>
        <v>内部装修状况</v>
      </c>
      <c r="R37" s="773" t="s">
        <v>17</v>
      </c>
      <c r="S37" s="774">
        <f t="shared" si="12"/>
        <v>100</v>
      </c>
      <c r="T37" s="773" t="s">
        <v>17</v>
      </c>
      <c r="U37" s="774">
        <f t="shared" si="13"/>
        <v>100</v>
      </c>
      <c r="V37" s="773" t="s">
        <v>17</v>
      </c>
      <c r="W37" s="774">
        <f t="shared" si="14"/>
        <v>100</v>
      </c>
      <c r="X37" s="1810"/>
      <c r="Y37" s="3224"/>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4"/>
      <c r="Q39" s="1807">
        <f t="shared" si="11"/>
        <v>111</v>
      </c>
      <c r="R39" s="773" t="s">
        <v>17</v>
      </c>
      <c r="S39" s="774">
        <f t="shared" si="12"/>
        <v>100</v>
      </c>
      <c r="T39" s="773" t="s">
        <v>17</v>
      </c>
      <c r="U39" s="774">
        <f t="shared" si="13"/>
        <v>100</v>
      </c>
      <c r="V39" s="773" t="s">
        <v>17</v>
      </c>
      <c r="W39" s="774">
        <f t="shared" si="14"/>
        <v>100</v>
      </c>
      <c r="X39" s="1810"/>
      <c r="Y39" s="3224"/>
      <c r="Z39" s="1811">
        <f t="shared" si="15"/>
        <v>111</v>
      </c>
      <c r="AA39" s="1808">
        <f t="shared" si="3"/>
        <v>1</v>
      </c>
      <c r="AB39" s="1808">
        <f t="shared" si="4"/>
        <v>1</v>
      </c>
      <c r="AC39" s="1808">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7"/>
      <c r="Q40" s="1807">
        <f t="shared" si="11"/>
        <v>111</v>
      </c>
      <c r="R40" s="773" t="s">
        <v>17</v>
      </c>
      <c r="S40" s="774">
        <f t="shared" si="12"/>
        <v>100</v>
      </c>
      <c r="T40" s="773" t="s">
        <v>17</v>
      </c>
      <c r="U40" s="774">
        <f t="shared" si="13"/>
        <v>100</v>
      </c>
      <c r="V40" s="773" t="s">
        <v>17</v>
      </c>
      <c r="W40" s="774">
        <f t="shared" si="14"/>
        <v>100</v>
      </c>
      <c r="X40" s="1810"/>
      <c r="Y40" s="3267"/>
      <c r="Z40" s="1811">
        <f t="shared" si="15"/>
        <v>111</v>
      </c>
      <c r="AA40" s="1808">
        <f t="shared" si="3"/>
        <v>1</v>
      </c>
      <c r="AB40" s="1808">
        <f t="shared" si="4"/>
        <v>1</v>
      </c>
      <c r="AC40" s="1808">
        <f t="shared" si="5"/>
        <v>1</v>
      </c>
    </row>
    <row r="41" spans="1:29" ht="15">
      <c r="A41" s="478" t="s">
        <v>2576</v>
      </c>
      <c r="B41" s="479"/>
      <c r="C41" s="1405" t="s">
        <v>1</v>
      </c>
      <c r="D41" s="1406"/>
      <c r="E41" s="1407"/>
      <c r="F41" s="1408"/>
      <c r="G41" s="1409"/>
      <c r="H41" s="1410"/>
      <c r="I41" s="1407"/>
      <c r="J41" s="1410"/>
      <c r="K41" s="782"/>
      <c r="L41" s="1141"/>
      <c r="M41" s="1142"/>
      <c r="N41" s="1129"/>
      <c r="O41" s="1142"/>
      <c r="P41" s="3206" t="str">
        <f>A41</f>
        <v>成交单价（元/平方米）</v>
      </c>
      <c r="Q41" s="3206"/>
      <c r="R41" s="3263">
        <f>E41</f>
        <v>0</v>
      </c>
      <c r="S41" s="3263"/>
      <c r="T41" s="3263">
        <f>G41</f>
        <v>0</v>
      </c>
      <c r="U41" s="3263"/>
      <c r="V41" s="3263">
        <f>I41</f>
        <v>0</v>
      </c>
      <c r="W41" s="3263"/>
      <c r="X41" s="758"/>
      <c r="Y41" s="780"/>
      <c r="Z41" s="758"/>
      <c r="AA41" s="758"/>
      <c r="AB41" s="758"/>
      <c r="AC41" s="758"/>
    </row>
    <row r="42" spans="1:29" ht="15.75" thickBot="1">
      <c r="A42" s="485" t="s">
        <v>2668</v>
      </c>
      <c r="B42" s="486"/>
      <c r="C42" s="1411" t="e">
        <f>R43</f>
        <v>#DIV/0!</v>
      </c>
      <c r="D42" s="1412"/>
      <c r="E42" s="1413" t="e">
        <f>R42</f>
        <v>#DIV/0!</v>
      </c>
      <c r="F42" s="1413"/>
      <c r="G42" s="1411" t="e">
        <f>T42</f>
        <v>#DIV/0!</v>
      </c>
      <c r="H42" s="1412"/>
      <c r="I42" s="1413" t="e">
        <f>V42</f>
        <v>#DIV/0!</v>
      </c>
      <c r="J42" s="1412"/>
      <c r="K42" s="783"/>
      <c r="L42" s="1141"/>
      <c r="M42" s="1142"/>
      <c r="N42" s="1129"/>
      <c r="O42" s="1142"/>
      <c r="P42" s="3206" t="str">
        <f>A42</f>
        <v>比较价值（元/平方米）</v>
      </c>
      <c r="Q42" s="3206"/>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8"/>
      <c r="Y42" s="758"/>
      <c r="Z42" s="758"/>
      <c r="AA42" s="758"/>
      <c r="AB42" s="758"/>
      <c r="AC42" s="758"/>
    </row>
    <row r="43" spans="1:29" ht="15.75" thickBot="1">
      <c r="A43" s="491" t="s">
        <v>2669</v>
      </c>
      <c r="B43" s="492"/>
      <c r="C43" s="1415" t="e">
        <f>R43</f>
        <v>#DIV/0!</v>
      </c>
      <c r="D43" s="1415"/>
      <c r="E43" s="1415"/>
      <c r="F43" s="1415"/>
      <c r="G43" s="1415"/>
      <c r="H43" s="1415"/>
      <c r="I43" s="1415"/>
      <c r="J43" s="1415"/>
      <c r="K43" s="784"/>
      <c r="L43" s="1141"/>
      <c r="M43" s="1142"/>
      <c r="N43" s="1142"/>
      <c r="O43" s="1142"/>
      <c r="P43" s="3226" t="str">
        <f>A43</f>
        <v>估价对象XX用房的比较价值（楼面单价，元/平方米）</v>
      </c>
      <c r="Q43" s="3227"/>
      <c r="R43" s="3262" t="e">
        <f>IF(F1="售价",ROUND(AVERAGE(R42:V42),0),ROUND(AVERAGE(R42:V42),1))</f>
        <v>#DIV/0!</v>
      </c>
      <c r="S43" s="3262"/>
      <c r="T43" s="3262"/>
      <c r="U43" s="3262"/>
      <c r="V43" s="3262"/>
      <c r="W43" s="3262"/>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2673</v>
      </c>
      <c r="B51" s="758"/>
      <c r="C51" s="763"/>
      <c r="D51" s="763"/>
      <c r="E51" s="763"/>
      <c r="F51" s="764"/>
      <c r="G51" s="764"/>
      <c r="H51" s="763"/>
      <c r="I51" s="763"/>
      <c r="J51" s="763"/>
      <c r="K51" s="1158"/>
      <c r="L51" s="1159"/>
      <c r="M51" s="1157"/>
      <c r="N51" s="1157"/>
      <c r="O51" s="1157"/>
      <c r="P51" s="502"/>
      <c r="Q51" s="503"/>
    </row>
    <row r="52" spans="1:17" s="507" customFormat="1" ht="15">
      <c r="A52" s="504" t="s">
        <v>2547</v>
      </c>
      <c r="B52" s="505"/>
      <c r="C52" s="1571" t="str">
        <f>YEAR(C7)&amp;"-"&amp;MONTH(C7)</f>
        <v>2019-3</v>
      </c>
      <c r="D52" s="1572">
        <f>EDATE(C52,-1)</f>
        <v>43497</v>
      </c>
      <c r="E52" s="1572">
        <f t="shared" ref="E52:O52" si="16">EDATE(D52,-1)</f>
        <v>43466</v>
      </c>
      <c r="F52" s="1572">
        <f t="shared" si="16"/>
        <v>43435</v>
      </c>
      <c r="G52" s="1572">
        <f t="shared" si="16"/>
        <v>43405</v>
      </c>
      <c r="H52" s="1572">
        <f t="shared" si="16"/>
        <v>43374</v>
      </c>
      <c r="I52" s="1572">
        <f t="shared" si="16"/>
        <v>43344</v>
      </c>
      <c r="J52" s="1572">
        <f t="shared" si="16"/>
        <v>43313</v>
      </c>
      <c r="K52" s="1572">
        <f t="shared" si="16"/>
        <v>43282</v>
      </c>
      <c r="L52" s="1572">
        <f t="shared" si="16"/>
        <v>43252</v>
      </c>
      <c r="M52" s="1572">
        <f t="shared" si="16"/>
        <v>43221</v>
      </c>
      <c r="N52" s="1572">
        <f t="shared" si="16"/>
        <v>43191</v>
      </c>
      <c r="O52" s="1572">
        <f t="shared" si="16"/>
        <v>43160</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1"/>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1"/>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32" sqref="E3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1"/>
      <c r="C1" s="1834" t="s">
        <v>27</v>
      </c>
      <c r="D1" s="1817" t="s">
        <v>70</v>
      </c>
      <c r="E1" s="1818" t="s">
        <v>1387</v>
      </c>
      <c r="F1" s="1281">
        <f ca="1">J53</f>
        <v>42</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55225</v>
      </c>
      <c r="C2" s="1842" t="s">
        <v>1516</v>
      </c>
      <c r="D2" s="1842"/>
      <c r="E2" s="1843"/>
      <c r="F2" s="1844"/>
      <c r="G2" s="1845"/>
      <c r="H2" s="1837"/>
      <c r="I2" s="1837"/>
      <c r="J2" s="1837"/>
      <c r="K2" s="1838"/>
      <c r="L2" s="1837"/>
      <c r="M2" s="1837"/>
    </row>
    <row r="3" spans="1:37" ht="18" customHeight="1" thickBot="1">
      <c r="A3" s="1846" t="s">
        <v>1517</v>
      </c>
      <c r="B3" s="1847">
        <f ca="1">IF(ISERROR(B2*10000/F43),0,ROUND(B2*10000/F43,0))</f>
        <v>32263</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2815</v>
      </c>
      <c r="D5" s="1819" t="s">
        <v>1402</v>
      </c>
      <c r="E5" s="1291"/>
      <c r="F5" s="1292"/>
      <c r="G5" s="1848"/>
      <c r="H5" s="344">
        <v>1</v>
      </c>
      <c r="I5" s="345" t="s">
        <v>1401</v>
      </c>
      <c r="J5" s="1290">
        <f ca="1">J6+J10+J12</f>
        <v>0</v>
      </c>
      <c r="K5" s="1819" t="s">
        <v>1402</v>
      </c>
      <c r="L5" s="1291"/>
      <c r="M5" s="1292"/>
    </row>
    <row r="6" spans="1:37" ht="18" customHeight="1">
      <c r="A6" s="1289" t="s">
        <v>1035</v>
      </c>
      <c r="B6" s="3235" t="s">
        <v>1403</v>
      </c>
      <c r="C6" s="1294">
        <f ca="1">ROUND(F6*F8*F7*(1-F9)/10000,0)</f>
        <v>2811</v>
      </c>
      <c r="D6" s="164" t="s">
        <v>3030</v>
      </c>
      <c r="E6" s="347" t="s">
        <v>1405</v>
      </c>
      <c r="F6" s="348">
        <f ca="1">INDIRECT("'数据-取费表'!u"&amp;$G$1)</f>
        <v>5</v>
      </c>
      <c r="G6" s="1848"/>
      <c r="H6" s="1289" t="s">
        <v>1035</v>
      </c>
      <c r="I6" s="3235" t="s">
        <v>1403</v>
      </c>
      <c r="J6" s="346">
        <f ca="1">ROUND(M6*M8*M7*(1-M9)/10000,0)</f>
        <v>0</v>
      </c>
      <c r="K6" s="164" t="s">
        <v>3029</v>
      </c>
      <c r="L6" s="347" t="s">
        <v>1405</v>
      </c>
      <c r="M6" s="348">
        <f ca="1">INDIRECT("'数据-取费表'!z"&amp;$G$1)</f>
        <v>0</v>
      </c>
    </row>
    <row r="7" spans="1:37" ht="18" customHeight="1">
      <c r="A7" s="1293"/>
      <c r="B7" s="3236"/>
      <c r="C7" s="1295"/>
      <c r="D7" s="352"/>
      <c r="E7" s="2992" t="s">
        <v>1406</v>
      </c>
      <c r="F7" s="348">
        <f ca="1">IF(INDIRECT("'数据-取费表'!ah"&amp;$G$1)="",INDIRECT("'数据-取费表'!k"&amp;$G$1),INDIRECT("'数据-取费表'!ah"&amp;$G$1))</f>
        <v>17116.989999999998</v>
      </c>
      <c r="G7" s="1848"/>
      <c r="H7" s="349"/>
      <c r="I7" s="3236"/>
      <c r="J7" s="351"/>
      <c r="K7" s="352"/>
      <c r="L7" s="347" t="s">
        <v>1406</v>
      </c>
      <c r="M7" s="348">
        <f ca="1">F7</f>
        <v>17116.989999999998</v>
      </c>
    </row>
    <row r="8" spans="1:37" ht="18" customHeight="1">
      <c r="A8" s="349"/>
      <c r="B8" s="3236"/>
      <c r="C8" s="351"/>
      <c r="D8" s="352"/>
      <c r="E8" s="347" t="s">
        <v>1407</v>
      </c>
      <c r="F8" s="348">
        <f ca="1">INDIRECT("'数据-取费表'!ai"&amp;$G$1)</f>
        <v>365</v>
      </c>
      <c r="G8" s="1848"/>
      <c r="H8" s="349"/>
      <c r="I8" s="3236"/>
      <c r="J8" s="351"/>
      <c r="K8" s="352"/>
      <c r="L8" s="347" t="s">
        <v>1407</v>
      </c>
      <c r="M8" s="348">
        <f ca="1">INDIRECT("'数据-取费表'!ai"&amp;$G$1)</f>
        <v>365</v>
      </c>
    </row>
    <row r="9" spans="1:37" ht="18" customHeight="1">
      <c r="A9" s="349"/>
      <c r="B9" s="3237"/>
      <c r="C9" s="351"/>
      <c r="D9" s="352"/>
      <c r="E9" s="347" t="s">
        <v>1408</v>
      </c>
      <c r="F9" s="357">
        <f ca="1">INDIRECT("'数据-取费表'!w"&amp;$G$1)</f>
        <v>0.1</v>
      </c>
      <c r="G9" s="1848"/>
      <c r="H9" s="349"/>
      <c r="I9" s="3237"/>
      <c r="J9" s="351"/>
      <c r="K9" s="352"/>
      <c r="L9" s="358" t="s">
        <v>1408</v>
      </c>
      <c r="M9" s="359">
        <f ca="1">INDIRECT("'数据-取费表'!ab"&amp;$G$1)</f>
        <v>0</v>
      </c>
    </row>
    <row r="10" spans="1:37" ht="18" customHeight="1">
      <c r="A10" s="1289" t="s">
        <v>1039</v>
      </c>
      <c r="B10" s="1820" t="s">
        <v>1409</v>
      </c>
      <c r="C10" s="361">
        <f ca="1">ROUND(IF(F10="押一",C6/12*F11,IF(F10="押二",C6/12*2*F11,IF(F10="押三",C6/12*3*F11,C11*F11))),0)</f>
        <v>4</v>
      </c>
      <c r="D10" s="1821" t="s">
        <v>3039</v>
      </c>
      <c r="E10" s="358" t="s">
        <v>1410</v>
      </c>
      <c r="F10" s="1364" t="s">
        <v>3264</v>
      </c>
      <c r="G10" s="1848"/>
      <c r="H10" s="1289" t="s">
        <v>1039</v>
      </c>
      <c r="I10" s="1820" t="s">
        <v>1409</v>
      </c>
      <c r="J10" s="346">
        <f ca="1">ROUND(IF(M10="押一",J6/12*M11,IF(M10="押二",J6/12*2*M11,IF(M10="押三",J6/12*3*M11,J11*M11))),0)</f>
        <v>0</v>
      </c>
      <c r="K10" s="1821" t="s">
        <v>3038</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7"/>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7177</v>
      </c>
      <c r="D13" s="1329" t="s">
        <v>1415</v>
      </c>
      <c r="E13" s="1329" t="s">
        <v>1416</v>
      </c>
      <c r="F13" s="1330">
        <f ca="1">INDIRECT("'数据-取费表'!y"&amp;$G$1)</f>
        <v>0.95</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5135</v>
      </c>
      <c r="D14" s="2980" t="s">
        <v>1418</v>
      </c>
      <c r="E14" s="2975"/>
      <c r="F14" s="364"/>
      <c r="G14" s="1848"/>
      <c r="H14" s="1199" t="s">
        <v>1035</v>
      </c>
      <c r="I14" s="347" t="s">
        <v>1419</v>
      </c>
      <c r="J14" s="24">
        <f ca="1">C29</f>
        <v>7555</v>
      </c>
      <c r="K14" s="2991"/>
      <c r="L14" s="977"/>
      <c r="M14" s="978"/>
    </row>
    <row r="15" spans="1:37" s="1855" customFormat="1" ht="18" customHeight="1" thickBot="1">
      <c r="A15" s="1199" t="s">
        <v>1036</v>
      </c>
      <c r="B15" s="347" t="s">
        <v>1420</v>
      </c>
      <c r="C15" s="24">
        <f ca="1">ROUND(C14*F15,0)</f>
        <v>154</v>
      </c>
      <c r="D15" s="365" t="s">
        <v>1421</v>
      </c>
      <c r="E15" s="365" t="s">
        <v>1422</v>
      </c>
      <c r="F15" s="366">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177</v>
      </c>
      <c r="K16" s="1335" t="s">
        <v>1425</v>
      </c>
      <c r="L16" s="2982"/>
      <c r="M16" s="1292"/>
    </row>
    <row r="17" spans="1:37" s="1855" customFormat="1" ht="18" customHeight="1">
      <c r="A17" s="1199" t="s">
        <v>1390</v>
      </c>
      <c r="B17" s="347" t="s">
        <v>1426</v>
      </c>
      <c r="C17" s="24">
        <f ca="1">ROUND(F17*(F43+INDIRECT("'数据-取费表'!S"&amp;$G$1))/10000,0)</f>
        <v>342</v>
      </c>
      <c r="D17" s="347" t="s">
        <v>1427</v>
      </c>
      <c r="E17" s="347" t="s">
        <v>1428</v>
      </c>
      <c r="F17" s="26">
        <f>'数据-取费表'!B35</f>
        <v>200</v>
      </c>
      <c r="G17" s="1851"/>
      <c r="H17" s="1199" t="s">
        <v>1035</v>
      </c>
      <c r="I17" s="347" t="s">
        <v>1429</v>
      </c>
      <c r="J17" s="24">
        <f ca="1">ROUND(IF(项目基本情况!B11="自然人",J5*M17,J18+J19+J20),1)</f>
        <v>63.5</v>
      </c>
      <c r="K17" s="2980" t="s">
        <v>1430</v>
      </c>
      <c r="L17" s="297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77</v>
      </c>
      <c r="D18" s="347" t="s">
        <v>1421</v>
      </c>
      <c r="E18" s="347" t="s">
        <v>1422</v>
      </c>
      <c r="F18" s="367">
        <f>'数据-取费表'!B36</f>
        <v>1.4999999999999999E-2</v>
      </c>
      <c r="G18" s="1851"/>
      <c r="H18" s="1199" t="s">
        <v>1034</v>
      </c>
      <c r="I18" s="347" t="s">
        <v>1433</v>
      </c>
      <c r="J18" s="24">
        <f ca="1">ROUND(J5*M18/(1+'数据-取费表'!C42),2)</f>
        <v>0</v>
      </c>
      <c r="K18" s="297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5708</v>
      </c>
      <c r="D19" s="140" t="s">
        <v>1436</v>
      </c>
      <c r="E19" s="2989"/>
      <c r="F19" s="26"/>
      <c r="G19" s="1848"/>
      <c r="H19" s="1199" t="s">
        <v>1036</v>
      </c>
      <c r="I19" s="347" t="s">
        <v>1437</v>
      </c>
      <c r="J19" s="24">
        <f ca="1">IF(K19="按租金收入计税",ROUND(J5*M19,2),ROUND(C29*M19*0.7,2))</f>
        <v>63.46</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114</v>
      </c>
      <c r="D20" s="369" t="s">
        <v>1440</v>
      </c>
      <c r="E20" s="347" t="s">
        <v>1422</v>
      </c>
      <c r="F20" s="367">
        <f>'数据-取费表'!B37</f>
        <v>0.02</v>
      </c>
      <c r="G20" s="1851"/>
      <c r="H20" s="1199" t="s">
        <v>1389</v>
      </c>
      <c r="I20" s="164" t="s">
        <v>1441</v>
      </c>
      <c r="J20" s="25">
        <f ca="1">ROUND(M20*M21/10000,2)</f>
        <v>0</v>
      </c>
      <c r="K20" s="370" t="s">
        <v>1442</v>
      </c>
      <c r="L20" s="347" t="s">
        <v>1443</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89"/>
      <c r="F22" s="26"/>
      <c r="G22" s="1848"/>
      <c r="H22" s="1199" t="s">
        <v>1039</v>
      </c>
      <c r="I22" s="347" t="s">
        <v>1449</v>
      </c>
      <c r="J22" s="24">
        <f ca="1">ROUND(J14*M22,1)</f>
        <v>113.3</v>
      </c>
      <c r="K22" s="2978"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1452</v>
      </c>
      <c r="F23" s="371">
        <f>'数据-取费表'!B20</f>
        <v>2</v>
      </c>
      <c r="G23" s="1851"/>
      <c r="H23" s="1199" t="s">
        <v>1075</v>
      </c>
      <c r="I23" s="347" t="s">
        <v>1453</v>
      </c>
      <c r="J23" s="24">
        <f ca="1">ROUND(J13*M23,1)</f>
        <v>0</v>
      </c>
      <c r="K23" s="2978"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89"/>
      <c r="F25" s="26"/>
      <c r="G25" s="1848"/>
      <c r="H25" s="1327" t="s">
        <v>1031</v>
      </c>
      <c r="I25" s="1342" t="s">
        <v>1463</v>
      </c>
      <c r="J25" s="355">
        <f ca="1">J5-J16</f>
        <v>-177</v>
      </c>
      <c r="K25" s="1343" t="s">
        <v>1464</v>
      </c>
      <c r="L25" s="1344"/>
      <c r="M25" s="1345"/>
    </row>
    <row r="26" spans="1:37">
      <c r="A26" s="1199" t="s">
        <v>1034</v>
      </c>
      <c r="B26" s="347" t="s">
        <v>1465</v>
      </c>
      <c r="C26" s="24">
        <f ca="1">ROUND((C19+C20)*F26,0)</f>
        <v>873</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9"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7555</v>
      </c>
      <c r="D29" s="1340"/>
      <c r="E29" s="1338"/>
      <c r="F29" s="1341"/>
      <c r="G29" s="1851"/>
      <c r="H29" s="380" t="s">
        <v>1033</v>
      </c>
      <c r="I29" s="381" t="s">
        <v>1479</v>
      </c>
      <c r="J29" s="382">
        <f ca="1">ROUND(J26/(1+F40)^F41,0)</f>
        <v>0</v>
      </c>
      <c r="K29" s="383" t="s">
        <v>1480</v>
      </c>
      <c r="L29" s="384"/>
      <c r="M29" s="385">
        <f ca="1">INDIRECT("'数据-取费表'!k"&amp;$G$1)</f>
        <v>17116.989999999998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640</v>
      </c>
      <c r="D30" s="1335" t="s">
        <v>1425</v>
      </c>
      <c r="E30" s="2982"/>
      <c r="F30" s="1292"/>
      <c r="G30" s="1848"/>
      <c r="H30" s="744"/>
      <c r="I30" s="745"/>
      <c r="J30" s="746"/>
      <c r="K30" s="747"/>
      <c r="L30" s="748"/>
      <c r="M30" s="749"/>
    </row>
    <row r="31" spans="1:37" ht="18" customHeight="1">
      <c r="A31" s="1199" t="s">
        <v>1035</v>
      </c>
      <c r="B31" s="347" t="s">
        <v>1429</v>
      </c>
      <c r="C31" s="24">
        <f ca="1">ROUND(IF(项目基本情况!B11="自然人",C5*F31,C32+C33+C34),1)</f>
        <v>487.9</v>
      </c>
      <c r="D31" s="2980" t="s">
        <v>1430</v>
      </c>
      <c r="E31" s="2978"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1433</v>
      </c>
      <c r="C32" s="24">
        <f ca="1">IF(项目基本情况!B11="自然人","——",ROUND(C5*F32/(1+'数据-取费表'!C42),2))</f>
        <v>150.13</v>
      </c>
      <c r="D32" s="2978" t="s">
        <v>1434</v>
      </c>
      <c r="E32" s="347" t="s">
        <v>1422</v>
      </c>
      <c r="F32" s="377">
        <f>'数据-取费表'!B41</f>
        <v>5.6000000000000001E-2</v>
      </c>
      <c r="G32" s="1848"/>
      <c r="H32" s="744"/>
      <c r="I32" s="745"/>
      <c r="J32" s="746"/>
      <c r="K32" s="747"/>
      <c r="L32" s="748"/>
      <c r="M32" s="749"/>
    </row>
    <row r="33" spans="1:18" ht="18" customHeight="1">
      <c r="A33" s="1199" t="s">
        <v>1036</v>
      </c>
      <c r="B33" s="347" t="s">
        <v>1437</v>
      </c>
      <c r="C33" s="24">
        <f ca="1">IF(项目基本情况!B11="自然人","——",IF(D33="按租金收入计税",ROUND(C5*F33,2),IF(D33="按房产原值计税",ROUND(C29*F33*0.7,2),INDIRECT("'数据-取费表'!Aj"&amp;$G$1))))</f>
        <v>337.8</v>
      </c>
      <c r="D33" s="1825" t="s">
        <v>3267</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v>
      </c>
      <c r="D34" s="370" t="s">
        <v>1442</v>
      </c>
      <c r="E34" s="347" t="s">
        <v>1443</v>
      </c>
      <c r="F34" s="371">
        <f>'数据-取费表'!B52</f>
        <v>18</v>
      </c>
      <c r="G34" s="1848"/>
      <c r="H34" s="744"/>
      <c r="I34" s="1857"/>
      <c r="J34" s="1858"/>
      <c r="K34" s="1860"/>
      <c r="L34" s="1861"/>
      <c r="M34" s="1861"/>
    </row>
    <row r="35" spans="1:18" ht="18" customHeight="1">
      <c r="A35" s="1351"/>
      <c r="B35" s="1349"/>
      <c r="C35" s="29"/>
      <c r="D35" s="373"/>
      <c r="E35" s="347" t="s">
        <v>1447</v>
      </c>
      <c r="F35" s="348">
        <f ca="1">INDIRECT("'数据-取费表'!r"&amp;$G$1)</f>
        <v>0</v>
      </c>
      <c r="G35" s="1848"/>
      <c r="H35" s="744"/>
      <c r="I35" s="1857"/>
      <c r="J35" s="1858"/>
      <c r="K35" s="1859"/>
      <c r="L35" s="1856"/>
      <c r="M35" s="1856"/>
    </row>
    <row r="36" spans="1:18" ht="18" customHeight="1">
      <c r="A36" s="1350" t="s">
        <v>1039</v>
      </c>
      <c r="B36" s="347" t="s">
        <v>1449</v>
      </c>
      <c r="C36" s="24">
        <f ca="1">ROUND(C29*F36,1)</f>
        <v>113.3</v>
      </c>
      <c r="D36" s="2978" t="s">
        <v>1482</v>
      </c>
      <c r="E36" s="347" t="s">
        <v>1422</v>
      </c>
      <c r="F36" s="374">
        <f ca="1">INDIRECT("'数据-取费表'!Ak"&amp;$G$1)</f>
        <v>1.4999999999999999E-2</v>
      </c>
      <c r="G36" s="1848"/>
      <c r="H36" s="1856"/>
      <c r="I36" s="1857"/>
      <c r="J36" s="1858"/>
      <c r="K36" s="750"/>
      <c r="L36" s="1856"/>
      <c r="M36" s="1856"/>
    </row>
    <row r="37" spans="1:18" ht="18" customHeight="1">
      <c r="A37" s="1199" t="s">
        <v>1075</v>
      </c>
      <c r="B37" s="347" t="s">
        <v>1453</v>
      </c>
      <c r="C37" s="24">
        <f ca="1">ROUND(C13*F37,1)</f>
        <v>10.8</v>
      </c>
      <c r="D37" s="2978" t="s">
        <v>1454</v>
      </c>
      <c r="E37" s="347" t="s">
        <v>1455</v>
      </c>
      <c r="F37" s="376">
        <f ca="1">INDIRECT("'数据-取费表'!Al"&amp;$G$1)</f>
        <v>1.5E-3</v>
      </c>
      <c r="G37" s="1848"/>
      <c r="H37" s="1856"/>
      <c r="I37" s="1857"/>
      <c r="J37" s="1858"/>
      <c r="K37" s="750"/>
      <c r="L37" s="1856"/>
      <c r="M37" s="1856"/>
    </row>
    <row r="38" spans="1:18" ht="18" customHeight="1" thickBot="1">
      <c r="A38" s="1337" t="s">
        <v>1393</v>
      </c>
      <c r="B38" s="1338" t="s">
        <v>1439</v>
      </c>
      <c r="C38" s="1339">
        <f ca="1">ROUND(C5*F38,1)</f>
        <v>28.2</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2175</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55225</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42</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ROUND(C40*10000/F43,0)</f>
        <v>32263</v>
      </c>
      <c r="D43" s="383" t="s">
        <v>1488</v>
      </c>
      <c r="E43" s="384" t="s">
        <v>1489</v>
      </c>
      <c r="F43" s="385">
        <f ca="1">INDIRECT("'数据-取费表'!k"&amp;$G$1)</f>
        <v>17116.989999999998</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-67569</v>
      </c>
      <c r="D46" s="1869" t="str">
        <f>C2</f>
        <v>万元</v>
      </c>
      <c r="E46" s="1863"/>
      <c r="F46" s="1863"/>
      <c r="I46" s="1870" t="s">
        <v>1521</v>
      </c>
      <c r="J46" s="1871"/>
      <c r="K46" s="1872"/>
      <c r="L46" s="1873">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1"/>
      <c r="I47" s="1877" t="s">
        <v>1526</v>
      </c>
      <c r="J47" s="1878" t="s">
        <v>3265</v>
      </c>
      <c r="K47" s="1879" t="s">
        <v>1527</v>
      </c>
      <c r="L47" s="1880">
        <f ca="1">INDIRECT("'数据-取费表'!d"&amp;$G$1)</f>
        <v>50</v>
      </c>
      <c r="M47" s="1835" t="str">
        <f>IF(ISNUMBER(FIND("住宅",C1)),"住宅","非住宅")</f>
        <v>非住宅</v>
      </c>
      <c r="O47" s="1881" t="s">
        <v>1040</v>
      </c>
      <c r="P47" s="1882" t="s">
        <v>1528</v>
      </c>
      <c r="Q47" s="1883">
        <f ca="1">C40+J29</f>
        <v>55225</v>
      </c>
      <c r="R47" s="1883" t="s">
        <v>1529</v>
      </c>
    </row>
    <row r="48" spans="1:18" s="1839" customFormat="1" ht="28.5" thickBot="1">
      <c r="A48" s="1358" t="s">
        <v>1135</v>
      </c>
      <c r="B48" s="345" t="s">
        <v>1401</v>
      </c>
      <c r="C48" s="2988">
        <f ca="1">C49+C53+C55</f>
        <v>0</v>
      </c>
      <c r="D48" s="1360"/>
      <c r="E48" s="1361"/>
      <c r="F48" s="1179"/>
      <c r="G48" s="791"/>
      <c r="H48" s="792"/>
      <c r="I48" s="1884" t="s">
        <v>1530</v>
      </c>
      <c r="J48" s="1885" t="s">
        <v>3266</v>
      </c>
      <c r="K48" s="1886" t="s">
        <v>1531</v>
      </c>
      <c r="L48" s="1887">
        <f ca="1">INDIRECT("'数据-取费表'!f"&amp;$G$1)</f>
        <v>42</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3031</v>
      </c>
      <c r="E49" s="1827" t="s">
        <v>1491</v>
      </c>
      <c r="F49" s="1279"/>
      <c r="G49" s="1888"/>
      <c r="H49" s="792"/>
      <c r="I49" s="1884" t="s">
        <v>1534</v>
      </c>
      <c r="J49" s="1889">
        <v>2014</v>
      </c>
      <c r="K49" s="1886" t="s">
        <v>1535</v>
      </c>
      <c r="L49" s="1890"/>
      <c r="O49" s="1891" t="s">
        <v>1042</v>
      </c>
      <c r="P49" s="1882" t="s">
        <v>1536</v>
      </c>
      <c r="Q49" s="1883">
        <f ca="1">C29</f>
        <v>7555</v>
      </c>
      <c r="R49" s="1883" t="s">
        <v>1529</v>
      </c>
    </row>
    <row r="50" spans="1:18" s="1839" customFormat="1" ht="13.5" thickBot="1">
      <c r="A50" s="1193"/>
      <c r="B50" s="1196"/>
      <c r="C50" s="1366"/>
      <c r="D50" s="1170"/>
      <c r="E50" s="1275" t="s">
        <v>1406</v>
      </c>
      <c r="F50" s="1276">
        <f ca="1">F7</f>
        <v>17116.989999999998</v>
      </c>
      <c r="H50" s="792"/>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55</v>
      </c>
      <c r="K51" s="1897" t="s">
        <v>1541</v>
      </c>
      <c r="L51" s="1898">
        <f ca="1">ROUND(-PV(INDIRECT("'数据-取费表'!h"&amp;$G$1),L48,(C39-C13*C76),0),0)</f>
        <v>27892</v>
      </c>
      <c r="M51" s="1899"/>
      <c r="O51" s="1891" t="s">
        <v>1044</v>
      </c>
      <c r="P51" s="1882" t="s">
        <v>1542</v>
      </c>
      <c r="Q51" s="1894">
        <f>J52</f>
        <v>0.08</v>
      </c>
      <c r="R51" s="1883"/>
    </row>
    <row r="52" spans="1:18" s="1839" customFormat="1" ht="13.5" thickBot="1">
      <c r="A52" s="1194"/>
      <c r="B52" s="1196"/>
      <c r="C52" s="1197"/>
      <c r="D52" s="1170"/>
      <c r="E52" s="1198" t="s">
        <v>1408</v>
      </c>
      <c r="F52" s="1273"/>
      <c r="I52" s="1900" t="s">
        <v>1543</v>
      </c>
      <c r="J52" s="1901">
        <v>0.08</v>
      </c>
      <c r="K52" s="1900" t="s">
        <v>1544</v>
      </c>
      <c r="L52" s="1901"/>
      <c r="O52" s="1891" t="s">
        <v>1045</v>
      </c>
      <c r="P52" s="1882" t="s">
        <v>1545</v>
      </c>
      <c r="Q52" s="1883">
        <f ca="1">J53</f>
        <v>42</v>
      </c>
      <c r="R52" s="1883" t="s">
        <v>1546</v>
      </c>
    </row>
    <row r="53" spans="1:18" s="1839" customFormat="1" ht="24.75" thickBot="1">
      <c r="A53" s="1403" t="s">
        <v>1137</v>
      </c>
      <c r="B53" s="1828" t="s">
        <v>1409</v>
      </c>
      <c r="C53" s="361">
        <f ca="1">ROUND(IF(F53="押一",C49/12*F11,IF(F53="押二",C49/12*2*F11,IF(F53="押三",C49/12*3*F11,C54*F11))),0)</f>
        <v>0</v>
      </c>
      <c r="D53" s="1821" t="s">
        <v>3038</v>
      </c>
      <c r="E53" s="358" t="s">
        <v>1410</v>
      </c>
      <c r="F53" s="1364"/>
      <c r="I53" s="1902" t="s">
        <v>1547</v>
      </c>
      <c r="J53" s="1903">
        <f ca="1">IF(M47="住宅",IF(D1="——",MAX(J51,L48),IF(D1="在建（套用方法）",MAX(J51,L48-'数据-取费表'!B24),MAX(J51,L48-'数据-取费表'!B20))),IF(D1="——",MIN(J51,L48),IF(D1="在建（套用方法）",MIN(J51,L48-'数据-取费表'!B24),IF(D1="土地（套用方法）",MIN(J51,L48-'数据-取费表'!B20)))))</f>
        <v>42</v>
      </c>
      <c r="K53" s="3238" t="s">
        <v>1548</v>
      </c>
      <c r="L53" s="3239"/>
      <c r="O53" s="1881" t="s">
        <v>1046</v>
      </c>
      <c r="P53" s="1882" t="s">
        <v>1549</v>
      </c>
      <c r="Q53" s="1883">
        <f ca="1">Q47+Q48</f>
        <v>55225</v>
      </c>
      <c r="R53" s="1883" t="s">
        <v>1047</v>
      </c>
    </row>
    <row r="54" spans="1:18" s="1839" customFormat="1" ht="13.5" thickBot="1">
      <c r="A54" s="1404"/>
      <c r="B54" s="1822" t="s">
        <v>1388</v>
      </c>
      <c r="C54" s="1176"/>
      <c r="D54" s="1821"/>
      <c r="E54" s="2984"/>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84"/>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7177</v>
      </c>
      <c r="D56" s="1911"/>
      <c r="E56" s="1912"/>
      <c r="F56" s="1904"/>
      <c r="I56" s="1913" t="s">
        <v>1554</v>
      </c>
      <c r="J56" s="1914" t="s">
        <v>3107</v>
      </c>
      <c r="K56" s="1884" t="s">
        <v>1555</v>
      </c>
      <c r="L56" s="1887" t="str">
        <f ca="1">IF(L48&lt;J51,"——",L48-J53)</f>
        <v>——</v>
      </c>
      <c r="O56" s="1881" t="s">
        <v>1040</v>
      </c>
      <c r="P56" s="1882" t="s">
        <v>1528</v>
      </c>
      <c r="Q56" s="1883">
        <f ca="1">C40+J29</f>
        <v>55225</v>
      </c>
      <c r="R56" s="1883" t="s">
        <v>1529</v>
      </c>
    </row>
    <row r="57" spans="1:18" s="1839" customFormat="1" ht="24.75" thickBot="1">
      <c r="A57" s="1915"/>
      <c r="B57" s="1167" t="s">
        <v>1478</v>
      </c>
      <c r="C57" s="282">
        <f ca="1">C29</f>
        <v>7555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759</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634.6</v>
      </c>
      <c r="D59" s="1180" t="s">
        <v>1430</v>
      </c>
      <c r="E59" s="1181"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634.62</v>
      </c>
      <c r="D61" s="1825" t="s">
        <v>1438</v>
      </c>
      <c r="E61" s="1167"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71">
        <f t="shared" si="0"/>
        <v>18</v>
      </c>
      <c r="I62" s="1926" t="s">
        <v>1570</v>
      </c>
      <c r="J62" s="1927" t="s">
        <v>1571</v>
      </c>
      <c r="K62" s="1927" t="s">
        <v>1572</v>
      </c>
      <c r="L62" s="1927" t="s">
        <v>1573</v>
      </c>
      <c r="M62" s="1928" t="s">
        <v>1574</v>
      </c>
      <c r="O62" s="1881" t="s">
        <v>1046</v>
      </c>
      <c r="P62" s="1882" t="s">
        <v>1575</v>
      </c>
      <c r="Q62" s="1883">
        <f ca="1">Q56+Q57</f>
        <v>55225</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113.3</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10.8</v>
      </c>
      <c r="D65" s="1181" t="s">
        <v>1454</v>
      </c>
      <c r="E65" s="1167" t="s">
        <v>1455</v>
      </c>
      <c r="F65" s="376">
        <f t="shared" ca="1" si="0"/>
        <v>1.5E-3</v>
      </c>
      <c r="I65" s="1926" t="s">
        <v>1579</v>
      </c>
      <c r="J65" s="1927">
        <v>40</v>
      </c>
      <c r="K65" s="1927">
        <v>30</v>
      </c>
      <c r="L65" s="1927">
        <v>50</v>
      </c>
      <c r="M65" s="1929">
        <v>0.02</v>
      </c>
      <c r="O65" s="1881" t="s">
        <v>1040</v>
      </c>
      <c r="P65" s="1882" t="s">
        <v>1528</v>
      </c>
      <c r="Q65" s="1883">
        <f ca="1">C40+J29</f>
        <v>55225</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-759</v>
      </c>
      <c r="D67" s="1180" t="s">
        <v>1464</v>
      </c>
      <c r="E67" s="1185"/>
      <c r="F67" s="1186"/>
      <c r="O67" s="1891" t="s">
        <v>1042</v>
      </c>
      <c r="P67" s="1882" t="s">
        <v>1562</v>
      </c>
      <c r="Q67" s="1930">
        <f ca="1">L51</f>
        <v>27892</v>
      </c>
      <c r="R67" s="1883" t="s">
        <v>1582</v>
      </c>
    </row>
    <row r="68" spans="1:18" s="1839" customFormat="1" ht="16.5" thickBot="1">
      <c r="A68" s="1164" t="s">
        <v>1032</v>
      </c>
      <c r="B68" s="1165" t="s">
        <v>1485</v>
      </c>
      <c r="C68" s="346">
        <f ca="1">ROUND(C67*(1-((1+F70)/(1+F68))^F69)/(F68-F70),0)</f>
        <v>-12344</v>
      </c>
      <c r="D68" s="1182" t="s">
        <v>1469</v>
      </c>
      <c r="E68" s="1167" t="s">
        <v>1470</v>
      </c>
      <c r="F68" s="357">
        <f ca="1">F40</f>
        <v>5.5E-2</v>
      </c>
      <c r="O68" s="1891" t="s">
        <v>1043</v>
      </c>
      <c r="P68" s="1931" t="s">
        <v>1583</v>
      </c>
      <c r="Q68" s="1883">
        <f ca="1">ROUND(Q69-Q70*Q71,0)</f>
        <v>1601</v>
      </c>
      <c r="R68" s="1883" t="s">
        <v>1051</v>
      </c>
    </row>
    <row r="69" spans="1:18" s="1839" customFormat="1" ht="13.5" thickBot="1">
      <c r="A69" s="1168"/>
      <c r="B69" s="1169"/>
      <c r="C69" s="351"/>
      <c r="D69" s="1187" t="s">
        <v>1473</v>
      </c>
      <c r="E69" s="1167" t="s">
        <v>1474</v>
      </c>
      <c r="F69" s="379">
        <f ca="1">F41</f>
        <v>42</v>
      </c>
      <c r="O69" s="1891" t="s">
        <v>1048</v>
      </c>
      <c r="P69" s="1931" t="s">
        <v>1584</v>
      </c>
      <c r="Q69" s="1883">
        <f ca="1">C39</f>
        <v>2175</v>
      </c>
      <c r="R69" s="1883" t="s">
        <v>1529</v>
      </c>
    </row>
    <row r="70" spans="1:18" s="1839" customFormat="1" ht="13.5" thickBot="1">
      <c r="A70" s="1171"/>
      <c r="B70" s="1172"/>
      <c r="C70" s="355"/>
      <c r="D70" s="1183"/>
      <c r="E70" s="1167" t="s">
        <v>1477</v>
      </c>
      <c r="F70" s="1273"/>
      <c r="O70" s="1891" t="s">
        <v>1049</v>
      </c>
      <c r="P70" s="1931" t="s">
        <v>1585</v>
      </c>
      <c r="Q70" s="1883">
        <f ca="1">C13</f>
        <v>7177</v>
      </c>
      <c r="R70" s="1883" t="s">
        <v>1529</v>
      </c>
    </row>
    <row r="71" spans="1:18" s="1839" customFormat="1" ht="13.5" thickBot="1">
      <c r="A71" s="1188" t="s">
        <v>1033</v>
      </c>
      <c r="B71" s="1189" t="s">
        <v>1487</v>
      </c>
      <c r="C71" s="382">
        <f ca="1">ROUND(C68*10000/F71,0)</f>
        <v>-7212</v>
      </c>
      <c r="D71" s="1190" t="s">
        <v>1488</v>
      </c>
      <c r="E71" s="1191" t="s">
        <v>1489</v>
      </c>
      <c r="F71" s="385">
        <f ca="1">F43</f>
        <v>17116.989999999998</v>
      </c>
      <c r="O71" s="1891" t="s">
        <v>1050</v>
      </c>
      <c r="P71" s="1931" t="s">
        <v>1586</v>
      </c>
      <c r="Q71" s="1894">
        <f ca="1">C76</f>
        <v>0.08</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574</v>
      </c>
      <c r="D75" s="1839"/>
      <c r="E75" s="1839"/>
      <c r="F75" s="1839"/>
      <c r="K75" s="1865"/>
      <c r="L75" s="1839"/>
      <c r="O75" s="1881" t="s">
        <v>1046</v>
      </c>
      <c r="P75" s="1882" t="s">
        <v>1549</v>
      </c>
      <c r="Q75" s="1883">
        <f ca="1">Q65+Q66</f>
        <v>55225</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0.73599999999999999</v>
      </c>
    </row>
    <row r="80" spans="1:18">
      <c r="B80" s="386" t="s">
        <v>1511</v>
      </c>
      <c r="C80" s="318">
        <f ca="1">ROUND(C75/C39,3)</f>
        <v>0.26400000000000001</v>
      </c>
    </row>
    <row r="81" spans="2:3">
      <c r="B81" s="314" t="s">
        <v>1512</v>
      </c>
      <c r="C81" s="282"/>
    </row>
    <row r="82" spans="2:3">
      <c r="B82" s="317" t="s">
        <v>1513</v>
      </c>
      <c r="C82" s="319">
        <f ca="1">1-C83</f>
        <v>0.87</v>
      </c>
    </row>
    <row r="83" spans="2:3">
      <c r="B83" s="317" t="s">
        <v>1514</v>
      </c>
      <c r="C83" s="318">
        <f ca="1">ROUND(C13/C40,3)</f>
        <v>0.13</v>
      </c>
    </row>
  </sheetData>
  <sheetProtection formatCells="0" formatColumns="0" formatRows="0"/>
  <mergeCells count="3">
    <mergeCell ref="B6:B9"/>
    <mergeCell ref="I6:I9"/>
    <mergeCell ref="K53:L53"/>
  </mergeCells>
  <phoneticPr fontId="143" type="noConversion"/>
  <conditionalFormatting sqref="K55 K60">
    <cfRule type="expression" dxfId="66" priority="4">
      <formula>$L$48&gt;$J$51</formula>
    </cfRule>
  </conditionalFormatting>
  <conditionalFormatting sqref="I55 I60">
    <cfRule type="expression" dxfId="65" priority="5">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24" sqref="R24"/>
    </sheetView>
  </sheetViews>
  <sheetFormatPr defaultRowHeight="12.75"/>
  <cols>
    <col min="1" max="1" width="11.5" style="139" customWidth="1"/>
    <col min="2" max="2" width="9.25" style="27" customWidth="1"/>
    <col min="3" max="3" width="8.75" style="27" customWidth="1"/>
    <col min="4" max="4" width="9" style="27"/>
    <col min="5" max="5" width="6.6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3005</v>
      </c>
      <c r="C1" s="3286" t="s">
        <v>3006</v>
      </c>
      <c r="D1" s="3287"/>
      <c r="E1" s="3287"/>
      <c r="F1" s="3287"/>
      <c r="G1" s="3287"/>
      <c r="H1" s="3287"/>
      <c r="I1" s="3287"/>
      <c r="J1" s="3287"/>
      <c r="K1" s="3287"/>
      <c r="L1" s="3287"/>
      <c r="M1" s="3287"/>
      <c r="N1" s="3287"/>
      <c r="O1" s="3287"/>
      <c r="P1" s="3287"/>
      <c r="Q1" s="3287"/>
      <c r="R1" s="3287"/>
      <c r="S1" s="3288"/>
      <c r="T1" s="1202" t="s">
        <v>3007</v>
      </c>
    </row>
    <row r="2" spans="1:45" s="706" customFormat="1" ht="25.5">
      <c r="A2" s="1203"/>
      <c r="B2" s="702" t="s">
        <v>3008</v>
      </c>
      <c r="C2" s="703" t="str">
        <f t="shared" ref="C2:L2" si="0">C3&amp;"(含)"&amp;"-"&amp;D3</f>
        <v>0(含)-1000</v>
      </c>
      <c r="D2" s="704" t="str">
        <f t="shared" si="0"/>
        <v>1000(含)-2000</v>
      </c>
      <c r="E2" s="704" t="str">
        <f t="shared" si="0"/>
        <v>2000(含)-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100</v>
      </c>
      <c r="E4" s="1209">
        <v>100</v>
      </c>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2995" t="s">
        <v>3269</v>
      </c>
      <c r="C5" s="2996" t="s">
        <v>3271</v>
      </c>
      <c r="D5" s="2997" t="s">
        <v>3273</v>
      </c>
      <c r="E5" s="2997" t="s">
        <v>3275</v>
      </c>
      <c r="F5" s="1708"/>
      <c r="G5" s="1708"/>
      <c r="H5" s="1708"/>
      <c r="I5" s="1708"/>
      <c r="J5" s="1708"/>
      <c r="K5" s="1708"/>
      <c r="L5" s="1709"/>
      <c r="M5" s="1710"/>
      <c r="N5" s="1710"/>
      <c r="O5" s="1708"/>
      <c r="P5" s="1708"/>
      <c r="Q5" s="1708"/>
      <c r="R5" s="1708"/>
      <c r="S5" s="1711"/>
      <c r="T5" s="1217">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7" t="s">
        <v>3009</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7" t="s">
        <v>3010</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6" t="s">
        <v>3011</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6" t="s">
        <v>3012</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6" t="s">
        <v>3013</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1" t="s">
        <v>3014</v>
      </c>
      <c r="B17" s="2912"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3" t="s">
        <v>3016</v>
      </c>
      <c r="E19" s="1789"/>
      <c r="F19" s="1789"/>
      <c r="G19" s="1789"/>
      <c r="H19" s="1278"/>
      <c r="I19" s="168"/>
      <c r="J19" s="168"/>
      <c r="K19" s="168"/>
      <c r="L19" s="168"/>
      <c r="M19" s="168"/>
      <c r="N19" s="168"/>
      <c r="O19" s="168"/>
      <c r="P19" s="168"/>
      <c r="Q19" s="168"/>
      <c r="R19" s="787"/>
      <c r="S19" s="138"/>
    </row>
    <row r="20" spans="1:45" ht="16.5" thickBot="1">
      <c r="A20" s="714" t="s">
        <v>3017</v>
      </c>
      <c r="B20" s="338" t="e">
        <f ca="1">IF(D20="——",S22,S22-F20)</f>
        <v>#REF!</v>
      </c>
      <c r="C20" s="168"/>
      <c r="D20" s="2914" t="s">
        <v>3018</v>
      </c>
      <c r="E20" s="1790"/>
      <c r="F20" s="1202" t="e">
        <f ca="1">SUMIF(INDIRECT("'"&amp;H20&amp;"'"&amp;"!A:A"),"承租人权益价值",INDIRECT("'"&amp;H20&amp;"'"&amp;"!c:c"))</f>
        <v>#REF!</v>
      </c>
      <c r="G20" s="1202" t="s">
        <v>3019</v>
      </c>
      <c r="H20" s="2915"/>
      <c r="I20" s="168"/>
      <c r="J20" s="168"/>
      <c r="K20" s="168"/>
      <c r="L20" s="168"/>
      <c r="M20" s="168"/>
      <c r="N20" s="168"/>
      <c r="O20" s="168"/>
      <c r="P20" s="168"/>
      <c r="Q20" s="168"/>
      <c r="R20" s="787"/>
      <c r="S20" s="138"/>
    </row>
    <row r="21" spans="1:45" ht="15.75">
      <c r="A21" s="714" t="s">
        <v>3020</v>
      </c>
      <c r="B21" s="338">
        <f ca="1">R22</f>
        <v>42114</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17116.989999999998</v>
      </c>
      <c r="C22" s="3104" t="s">
        <v>33</v>
      </c>
      <c r="D22" s="3105"/>
      <c r="E22" s="3105"/>
      <c r="F22" s="3105"/>
      <c r="G22" s="3105"/>
      <c r="H22" s="3105"/>
      <c r="I22" s="3105"/>
      <c r="J22" s="3105"/>
      <c r="K22" s="3105"/>
      <c r="L22" s="3105"/>
      <c r="M22" s="3105"/>
      <c r="N22" s="3105"/>
      <c r="O22" s="3105"/>
      <c r="P22" s="3105"/>
      <c r="Q22" s="3285"/>
      <c r="R22" s="715">
        <f ca="1">ROUND(S22*10000/B22,0)</f>
        <v>42114</v>
      </c>
      <c r="S22" s="24">
        <f ca="1">SUM(S24:S10000)</f>
        <v>72087</v>
      </c>
    </row>
    <row r="23" spans="1:45" s="12" customFormat="1" ht="24">
      <c r="A23" s="11" t="s">
        <v>3022</v>
      </c>
      <c r="B23" s="11" t="s">
        <v>3023</v>
      </c>
      <c r="C23" s="11" t="s">
        <v>3024</v>
      </c>
      <c r="D23" s="11" t="str">
        <f>B5</f>
        <v>楼层</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98" t="s">
        <v>3276</v>
      </c>
      <c r="B24" s="717">
        <f>'数据-基础表'!I24+'数据-基础表'!I23+'数据-基础表'!I22+'数据-基础表'!I21</f>
        <v>6031.35</v>
      </c>
      <c r="C24" s="718">
        <v>1</v>
      </c>
      <c r="D24" s="719" t="s">
        <v>3270</v>
      </c>
      <c r="E24" s="718">
        <v>1</v>
      </c>
      <c r="F24" s="719"/>
      <c r="G24" s="718">
        <v>1</v>
      </c>
      <c r="H24" s="719"/>
      <c r="I24" s="718">
        <v>1</v>
      </c>
      <c r="J24" s="719"/>
      <c r="K24" s="718">
        <v>1</v>
      </c>
      <c r="L24" s="719"/>
      <c r="M24" s="718">
        <v>1</v>
      </c>
      <c r="N24" s="719"/>
      <c r="O24" s="718">
        <v>1</v>
      </c>
      <c r="P24" s="719"/>
      <c r="Q24" s="718">
        <v>1</v>
      </c>
      <c r="R24" s="720">
        <f ca="1">结果表办!G20</f>
        <v>42905</v>
      </c>
      <c r="S24" s="718">
        <f t="shared" ref="S24:S54" ca="1" si="11">ROUND(R24*B24/10000,0)</f>
        <v>25878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99" t="s">
        <v>3277</v>
      </c>
      <c r="B25" s="59">
        <f>'数据-基础表'!I20+'数据-基础表'!I19+'数据-基础表'!I18+'数据-基础表'!I17</f>
        <v>6395.0099999999993</v>
      </c>
      <c r="C25" s="24">
        <f>IF(B25="",1,(LOOKUP(B25,$3:$3,$4:$4)-LOOKUP($B$24,$3:$3,$4:$4)+100)/100)</f>
        <v>1</v>
      </c>
      <c r="D25" s="719" t="s">
        <v>3272</v>
      </c>
      <c r="E25" s="24">
        <f>(SUMIF($5:$5,D25,$6:$6)-SUMIF($5:$5,$D$24,$6:$6)+100)/100</f>
        <v>0.98</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42047</v>
      </c>
      <c r="S25" s="361">
        <f t="shared" ca="1" si="11"/>
        <v>26889</v>
      </c>
    </row>
    <row r="26" spans="1:45">
      <c r="A26" s="2999" t="s">
        <v>3278</v>
      </c>
      <c r="B26" s="59">
        <f>'数据-基础表'!I13+'数据-基础表'!I14+'数据-基础表'!I15+'数据-基础表'!I16</f>
        <v>4690.6299999999992</v>
      </c>
      <c r="C26" s="24">
        <f t="shared" ref="C26:C89" si="12">IF(B26="",1,(LOOKUP(B26,$3:$3,$4:$4)-LOOKUP($B$24,$3:$3,$4:$4)+100)/100)</f>
        <v>1</v>
      </c>
      <c r="D26" s="719" t="s">
        <v>3274</v>
      </c>
      <c r="E26" s="24">
        <f t="shared" ref="E26:E89" si="13">(SUMIF($5:$5,D26,$6:$6)-SUMIF($5:$5,$D$24,$6:$6)+100)/100</f>
        <v>0.96</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41189</v>
      </c>
      <c r="S26" s="361">
        <f t="shared" ca="1" si="11"/>
        <v>19320</v>
      </c>
    </row>
    <row r="27" spans="1:45">
      <c r="A27" s="159"/>
      <c r="B27" s="59"/>
      <c r="C27" s="24">
        <f t="shared" si="12"/>
        <v>1</v>
      </c>
      <c r="D27" s="719"/>
      <c r="E27" s="24">
        <f t="shared" si="13"/>
        <v>0</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0</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0</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0</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0</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0</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0</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0</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0</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2118</v>
      </c>
      <c r="B1" s="2411"/>
      <c r="C1" s="2412"/>
      <c r="D1" s="2411"/>
      <c r="E1" s="2411"/>
      <c r="F1" s="2413" t="s">
        <v>2119</v>
      </c>
      <c r="G1" s="2063" t="s">
        <v>2120</v>
      </c>
      <c r="H1" s="2414" t="str">
        <f>IF(G1="现房","——","估价对象范围")</f>
        <v>估价对象范围</v>
      </c>
      <c r="I1" s="2415"/>
    </row>
    <row r="2" spans="1:12" ht="21.75" customHeight="1" thickBot="1">
      <c r="A2" s="3168" t="str">
        <f>项目基本情况!S2</f>
        <v>北京市诺德中心三期出让国有建设用地使用权及在建建筑物房地产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18" t="s">
        <v>2122</v>
      </c>
      <c r="B4" s="2419" t="s">
        <v>2123</v>
      </c>
      <c r="C4" s="2420" t="s">
        <v>3279</v>
      </c>
      <c r="D4" s="2420" t="s">
        <v>3262</v>
      </c>
      <c r="E4" s="3152" t="s">
        <v>2124</v>
      </c>
      <c r="F4" s="3165"/>
      <c r="G4" s="3165"/>
      <c r="H4" s="3165"/>
      <c r="I4" s="3153"/>
      <c r="K4" s="2421" t="str">
        <f>IF(ISNUMBER(FIND("比较法",结果表车!C4)),"比较法",IF(ISNUMBER(FIND("成本法",结果表车!C4)),"成本法",IF(ISNUMBER(FIND("假设开发法",结果表车!C4)),"假设开发法",IF(ISNUMBER(FIND("收益法",结果表车!C4)),"收益法","基准地价系数修正法"))))</f>
        <v>比较法</v>
      </c>
      <c r="L4" s="242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43" t="s">
        <v>2125</v>
      </c>
      <c r="B5" s="3069">
        <v>25</v>
      </c>
      <c r="C5" s="3173"/>
      <c r="D5" s="3161"/>
      <c r="E5" s="140" t="s">
        <v>2126</v>
      </c>
      <c r="F5" s="2422"/>
      <c r="G5" s="2422"/>
      <c r="H5" s="2422"/>
      <c r="I5" s="1828"/>
    </row>
    <row r="6" spans="1:12" ht="12.75">
      <c r="A6" s="3143"/>
      <c r="B6" s="3069"/>
      <c r="C6" s="3175"/>
      <c r="D6" s="3161"/>
      <c r="E6" s="140" t="s">
        <v>2127</v>
      </c>
      <c r="F6" s="2422"/>
      <c r="G6" s="2422"/>
      <c r="H6" s="2422"/>
      <c r="I6" s="1828"/>
    </row>
    <row r="7" spans="1:12" ht="12.75">
      <c r="A7" s="3143"/>
      <c r="B7" s="3069"/>
      <c r="C7" s="3174"/>
      <c r="D7" s="3161"/>
      <c r="E7" s="140" t="s">
        <v>2128</v>
      </c>
      <c r="F7" s="2422"/>
      <c r="G7" s="2422"/>
      <c r="H7" s="2422"/>
      <c r="I7" s="1828"/>
    </row>
    <row r="8" spans="1:12" ht="12.75">
      <c r="A8" s="3143" t="s">
        <v>2129</v>
      </c>
      <c r="B8" s="3069">
        <v>15</v>
      </c>
      <c r="C8" s="3173"/>
      <c r="D8" s="3161"/>
      <c r="E8" s="140" t="s">
        <v>2130</v>
      </c>
      <c r="F8" s="2422"/>
      <c r="G8" s="2422"/>
      <c r="H8" s="2422"/>
      <c r="I8" s="1828"/>
    </row>
    <row r="9" spans="1:12" ht="12.75">
      <c r="A9" s="3143"/>
      <c r="B9" s="3069"/>
      <c r="C9" s="3174"/>
      <c r="D9" s="3161"/>
      <c r="E9" s="140" t="s">
        <v>2131</v>
      </c>
      <c r="F9" s="2422"/>
      <c r="G9" s="2422"/>
      <c r="H9" s="2422"/>
      <c r="I9" s="1828"/>
    </row>
    <row r="10" spans="1:12" ht="12.75">
      <c r="A10" s="3143" t="s">
        <v>2132</v>
      </c>
      <c r="B10" s="3069">
        <v>15</v>
      </c>
      <c r="C10" s="3173"/>
      <c r="D10" s="3161"/>
      <c r="E10" s="140" t="s">
        <v>2133</v>
      </c>
      <c r="F10" s="2422"/>
      <c r="G10" s="2422"/>
      <c r="H10" s="2422"/>
      <c r="I10" s="1828"/>
    </row>
    <row r="11" spans="1:12" ht="12.75">
      <c r="A11" s="3143"/>
      <c r="B11" s="3069"/>
      <c r="C11" s="3174"/>
      <c r="D11" s="3161"/>
      <c r="E11" s="140" t="s">
        <v>2134</v>
      </c>
      <c r="F11" s="2422"/>
      <c r="G11" s="2422"/>
      <c r="H11" s="2422"/>
      <c r="I11" s="1828"/>
    </row>
    <row r="12" spans="1:12" ht="12.75">
      <c r="A12" s="3143" t="s">
        <v>2135</v>
      </c>
      <c r="B12" s="3069">
        <v>15</v>
      </c>
      <c r="C12" s="3173"/>
      <c r="D12" s="3161"/>
      <c r="E12" s="140" t="s">
        <v>2136</v>
      </c>
      <c r="F12" s="2422"/>
      <c r="G12" s="2422"/>
      <c r="H12" s="2422"/>
      <c r="I12" s="1828"/>
    </row>
    <row r="13" spans="1:12" ht="12.75">
      <c r="A13" s="3143"/>
      <c r="B13" s="3069"/>
      <c r="C13" s="3174"/>
      <c r="D13" s="3161"/>
      <c r="E13" s="140" t="s">
        <v>2137</v>
      </c>
      <c r="F13" s="2422"/>
      <c r="G13" s="2422"/>
      <c r="H13" s="2422"/>
      <c r="I13" s="1828"/>
    </row>
    <row r="14" spans="1:12" ht="12.75">
      <c r="A14" s="3143" t="s">
        <v>2138</v>
      </c>
      <c r="B14" s="3069">
        <v>30</v>
      </c>
      <c r="C14" s="3173">
        <v>5</v>
      </c>
      <c r="D14" s="3161">
        <v>5</v>
      </c>
      <c r="E14" s="140" t="s">
        <v>2139</v>
      </c>
      <c r="F14" s="2422"/>
      <c r="G14" s="2422"/>
      <c r="H14" s="2422"/>
      <c r="I14" s="1828"/>
    </row>
    <row r="15" spans="1:12" ht="12.75">
      <c r="A15" s="3143"/>
      <c r="B15" s="3069"/>
      <c r="C15" s="3175"/>
      <c r="D15" s="3161"/>
      <c r="E15" s="140" t="s">
        <v>2140</v>
      </c>
      <c r="F15" s="2422"/>
      <c r="G15" s="2422"/>
      <c r="H15" s="2422"/>
      <c r="I15" s="1828"/>
    </row>
    <row r="16" spans="1:12" ht="12.75">
      <c r="A16" s="3143"/>
      <c r="B16" s="3069"/>
      <c r="C16" s="3174"/>
      <c r="D16" s="3161"/>
      <c r="E16" s="140" t="s">
        <v>2141</v>
      </c>
      <c r="F16" s="2422"/>
      <c r="G16" s="2422"/>
      <c r="H16" s="2422"/>
      <c r="I16" s="1828"/>
    </row>
    <row r="17" spans="1:35" ht="15">
      <c r="A17" s="2423" t="s">
        <v>2142</v>
      </c>
      <c r="B17" s="64"/>
      <c r="C17" s="141">
        <f>SUM(C5:C16)</f>
        <v>5</v>
      </c>
      <c r="D17" s="141">
        <f>SUM(D5:D16)</f>
        <v>5</v>
      </c>
      <c r="E17" s="138"/>
      <c r="F17" s="138"/>
      <c r="G17" s="138"/>
      <c r="H17" s="138"/>
      <c r="I17" s="138"/>
      <c r="K17" s="2421"/>
      <c r="L17" s="2424" t="s">
        <v>2143</v>
      </c>
      <c r="M17" s="2424" t="s">
        <v>2144</v>
      </c>
    </row>
    <row r="18" spans="1:35" ht="15.75" thickBot="1">
      <c r="A18" s="2425" t="s">
        <v>2145</v>
      </c>
      <c r="B18" s="2426"/>
      <c r="C18" s="142">
        <f>ROUND(C17/SUM(C17:D17),2)</f>
        <v>0.5</v>
      </c>
      <c r="D18" s="142">
        <f>1-C18</f>
        <v>0.5</v>
      </c>
      <c r="E18" s="138"/>
      <c r="F18" s="138"/>
      <c r="G18" s="138"/>
      <c r="H18" s="138"/>
      <c r="I18" s="138"/>
      <c r="K18" s="2421" t="s">
        <v>2146</v>
      </c>
      <c r="L18" s="2421">
        <f>IF(C1="",'数据-汇总表'!E3,SUMIF(项目类型,C1,'数据-汇总表'!E17:E26)+SUMIF(项目类型,C1,'数据-汇总表'!I17:I26))</f>
        <v>22318.329999999998</v>
      </c>
      <c r="M18" s="2421">
        <f>IF(C1="",'数据-汇总表'!E3,SUMIF(项目类型,C1,'数据-汇总表'!E17:E26))</f>
        <v>22318.329999999998</v>
      </c>
    </row>
    <row r="19" spans="1:35" ht="15">
      <c r="A19" s="2427" t="s">
        <v>2147</v>
      </c>
      <c r="B19" s="2428" t="s">
        <v>2148</v>
      </c>
      <c r="C19" s="143">
        <f ca="1">SUMIF(INDIRECT("'"&amp;C4&amp;"'"&amp;"!A:A"),结果表车!B19,INDIRECT("'"&amp;C4&amp;"'"&amp;"!B:B"))</f>
        <v>2452</v>
      </c>
      <c r="D19" s="144">
        <f ca="1">SUMIF(INDIRECT("'"&amp;D4&amp;"'"&amp;"!A:A"),结果表车!B19,INDIRECT("'"&amp;D4&amp;"'"&amp;"!B:B"))</f>
        <v>2327</v>
      </c>
      <c r="E19" s="2427" t="s">
        <v>2149</v>
      </c>
      <c r="F19" s="2428" t="s">
        <v>2148</v>
      </c>
      <c r="G19" s="145">
        <f ca="1">ROUND(C19*$C$18+D19*$D$18,0)</f>
        <v>2390</v>
      </c>
      <c r="H19" s="2429" t="s">
        <v>2150</v>
      </c>
      <c r="I19" s="138"/>
      <c r="K19" s="2421" t="s">
        <v>2151</v>
      </c>
      <c r="L19" s="2421">
        <f>IF(C1="",'数据-汇总表'!D3,SUMIF(项目类型,C1,'数据-汇总表'!D17:D26)+SUMIF(项目类型,C1,'数据-汇总表'!H17:H27))</f>
        <v>0</v>
      </c>
      <c r="M19" s="2421">
        <f>IF(C1="",'数据-汇总表'!D3,SUMIF(项目类型,C1,'数据-汇总表'!D17:D26))</f>
        <v>0</v>
      </c>
    </row>
    <row r="20" spans="1:35" ht="15">
      <c r="A20" s="2430"/>
      <c r="B20" s="1245" t="s">
        <v>2152</v>
      </c>
      <c r="C20" s="146">
        <f ca="1">SUMIF(INDIRECT("'"&amp;C4&amp;"'"&amp;"!A:A"),结果表车!B20,INDIRECT("'"&amp;C4&amp;"'"&amp;"!B:B"))</f>
        <v>7700</v>
      </c>
      <c r="D20" s="147">
        <f ca="1">SUMIF(INDIRECT("'"&amp;D4&amp;"'"&amp;"!A:A"),结果表车!B20,INDIRECT("'"&amp;D4&amp;"'"&amp;"!B:B"))</f>
        <v>7308</v>
      </c>
      <c r="E20" s="2430"/>
      <c r="F20" s="1245" t="s">
        <v>2152</v>
      </c>
      <c r="G20" s="148">
        <f ca="1">ROUND(C20*$C$18+D20*$D$18,0)</f>
        <v>7504</v>
      </c>
      <c r="H20" s="978" t="s">
        <v>2153</v>
      </c>
      <c r="I20" s="138"/>
    </row>
    <row r="21" spans="1:35" ht="15" customHeight="1" thickBot="1">
      <c r="A21" s="998"/>
      <c r="B21" s="2431" t="s">
        <v>2154</v>
      </c>
      <c r="C21" s="788" t="e">
        <f ca="1">ROUND(C19*10000/L19,0)</f>
        <v>#DIV/0!</v>
      </c>
      <c r="D21" s="789" t="e">
        <f ca="1">ROUND(D19*10000/L19,0)</f>
        <v>#DIV/0!</v>
      </c>
      <c r="E21" s="998"/>
      <c r="F21" s="2431" t="s">
        <v>2154</v>
      </c>
      <c r="G21" s="149" t="e">
        <f ca="1">ROUND(G19*10000/L19,0)</f>
        <v>#DIV/0!</v>
      </c>
      <c r="H21" s="2432" t="s">
        <v>2153</v>
      </c>
      <c r="I21" s="138"/>
    </row>
    <row r="22" spans="1:35" ht="15" thickBot="1">
      <c r="A22" s="2273" t="s">
        <v>2155</v>
      </c>
      <c r="B22" s="2433"/>
      <c r="C22" s="2434"/>
      <c r="D22" s="790">
        <f ca="1">IF(C19&lt;D19,D19/C19-1,C19/D19-1)</f>
        <v>5.3717232488182276E-2</v>
      </c>
      <c r="E22" s="138"/>
      <c r="F22" s="138"/>
      <c r="G22" s="138"/>
      <c r="H22" s="138"/>
      <c r="I22" s="138"/>
    </row>
    <row r="23" spans="1:35" ht="13.5" thickBot="1">
      <c r="A23" s="2411"/>
      <c r="B23" s="2411"/>
      <c r="C23" s="2411"/>
      <c r="D23" s="2411"/>
      <c r="E23" s="138"/>
      <c r="F23" s="138"/>
      <c r="G23" s="138"/>
      <c r="H23" s="138"/>
      <c r="I23" s="138"/>
    </row>
    <row r="24" spans="1:35" ht="14.25">
      <c r="A24" s="3182" t="s">
        <v>2156</v>
      </c>
      <c r="B24" s="2428" t="s">
        <v>2148</v>
      </c>
      <c r="C24" s="145">
        <f>IF(B30=0,0,D30)</f>
        <v>0</v>
      </c>
      <c r="D24" s="2435"/>
      <c r="E24" s="138"/>
      <c r="F24" s="138"/>
      <c r="G24" s="138"/>
      <c r="H24" s="138"/>
      <c r="I24" s="138"/>
    </row>
    <row r="25" spans="1:35" ht="14.25">
      <c r="A25" s="3183"/>
      <c r="B25" s="1245" t="s">
        <v>2152</v>
      </c>
      <c r="C25" s="150">
        <f>IF(B30=0,0,C30)</f>
        <v>0</v>
      </c>
      <c r="D25" s="2436"/>
      <c r="E25" s="138"/>
      <c r="F25" s="138"/>
      <c r="G25" s="138"/>
      <c r="H25" s="138"/>
      <c r="I25" s="138"/>
    </row>
    <row r="26" spans="1:35" ht="13.5" customHeight="1">
      <c r="A26" s="2437" t="s">
        <v>2157</v>
      </c>
      <c r="B26" s="151" t="s">
        <v>2158</v>
      </c>
      <c r="C26" s="151" t="s">
        <v>2159</v>
      </c>
      <c r="D26" s="152" t="s">
        <v>2160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2161</v>
      </c>
      <c r="B30" s="151"/>
      <c r="C30" s="151"/>
      <c r="D30" s="151"/>
      <c r="E30" s="2920" t="s">
        <v>3034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2162</v>
      </c>
      <c r="B32" s="2441"/>
      <c r="C32" s="153">
        <f ca="1">IF(D32="总价",G19-C24,G20-C25)</f>
        <v>2390</v>
      </c>
      <c r="D32" s="2442" t="s">
        <v>2163</v>
      </c>
      <c r="E32" s="138"/>
      <c r="F32" s="138"/>
      <c r="G32" s="138"/>
      <c r="H32" s="138"/>
      <c r="I32" s="138"/>
    </row>
    <row r="33" spans="1:15" ht="15">
      <c r="A33" s="955" t="s">
        <v>2164</v>
      </c>
      <c r="B33" s="2443"/>
      <c r="C33" s="2444" t="s">
        <v>3236</v>
      </c>
      <c r="D33" s="2445" t="s">
        <v>3172</v>
      </c>
      <c r="E33" s="2446" t="s">
        <v>2165</v>
      </c>
      <c r="F33" s="2974" t="str">
        <f>IF(D32="楼面单价","取值（单价）","取值（总价）")</f>
        <v>取值（总价）</v>
      </c>
      <c r="G33" s="138"/>
      <c r="H33" s="138"/>
      <c r="I33" s="138"/>
    </row>
    <row r="34" spans="1:15" ht="15">
      <c r="A34" s="2448"/>
      <c r="B34" s="2449" t="s">
        <v>2166</v>
      </c>
      <c r="C34" s="157" t="e">
        <f ca="1">IF(C33="自定义",F34,C32-C35)</f>
        <v>#DIV/0!</v>
      </c>
      <c r="D34" s="1053" t="e">
        <f ca="1">IF(C33="自定义",ROUND(C34/C32,3),IF(C33="收益比率",SUMIF(INDIRECT("'"&amp;D33&amp;"'"&amp;"!b:b"),"土地收益比率",INDIRECT("'"&amp;D33&amp;"'"&amp;"!c:c")),SUMIF(INDIRECT("'"&amp;D33&amp;"'"&amp;"!b:b"),"土地成本比率",INDIRECT("'"&amp;D33&amp;"'"&amp;"!c:c"))))</f>
        <v>#DIV/0!</v>
      </c>
      <c r="E34" s="2450" t="s">
        <v>2167</v>
      </c>
      <c r="F34" s="1733"/>
      <c r="G34" s="138"/>
      <c r="H34" s="138"/>
      <c r="I34" s="138"/>
    </row>
    <row r="35" spans="1:15" ht="15.75" thickBot="1">
      <c r="A35" s="2451"/>
      <c r="B35" s="2452" t="s">
        <v>2168</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3" t="s">
        <v>2169</v>
      </c>
      <c r="F35" s="163"/>
      <c r="G35" s="138"/>
      <c r="H35" s="138"/>
      <c r="I35" s="138"/>
    </row>
    <row r="36" spans="1:15" ht="15.75" thickBot="1">
      <c r="A36" s="3162" t="s">
        <v>2170</v>
      </c>
      <c r="B36" s="2454" t="s">
        <v>2171</v>
      </c>
      <c r="C36" s="154"/>
      <c r="D36" s="2455"/>
      <c r="E36" s="2456"/>
      <c r="F36" s="2457"/>
      <c r="G36" s="138"/>
      <c r="H36" s="138"/>
      <c r="I36" s="138"/>
    </row>
    <row r="37" spans="1:15" ht="15.75" thickBot="1">
      <c r="A37" s="3163"/>
      <c r="B37" s="2259" t="s">
        <v>2172</v>
      </c>
      <c r="C37" s="156"/>
      <c r="D37" s="1390"/>
      <c r="E37" s="1390"/>
      <c r="F37" s="2457"/>
      <c r="G37" s="138"/>
      <c r="H37" s="138"/>
      <c r="I37" s="138"/>
    </row>
    <row r="38" spans="1:15" ht="15.75" thickBot="1">
      <c r="A38" s="3164"/>
      <c r="B38" s="2458" t="s">
        <v>2173</v>
      </c>
      <c r="C38" s="726"/>
      <c r="D38" s="2459" t="s">
        <v>2174</v>
      </c>
      <c r="E38" s="1390"/>
      <c r="F38" s="2457"/>
      <c r="G38" s="138"/>
      <c r="H38" s="138"/>
      <c r="I38" s="138"/>
    </row>
    <row r="39" spans="1:15" ht="15">
      <c r="A39" s="2430" t="s">
        <v>2175</v>
      </c>
      <c r="B39" s="2460" t="s">
        <v>2158</v>
      </c>
      <c r="C39" s="2461" t="s">
        <v>2159</v>
      </c>
      <c r="D39" s="2461" t="s">
        <v>2178</v>
      </c>
      <c r="E39" s="2462" t="s">
        <v>2160</v>
      </c>
      <c r="F39" s="2457"/>
      <c r="G39" s="138"/>
      <c r="H39" s="138"/>
      <c r="I39" s="138"/>
    </row>
    <row r="40" spans="1:15" ht="14.25">
      <c r="A40" s="2463" t="s">
        <v>2180</v>
      </c>
      <c r="B40" s="158"/>
      <c r="C40" s="159"/>
      <c r="D40" s="159"/>
      <c r="E40" s="160"/>
      <c r="F40" s="2457"/>
      <c r="G40" s="138"/>
      <c r="H40" s="138"/>
      <c r="I40" s="138"/>
    </row>
    <row r="41" spans="1:15" ht="14.25">
      <c r="A41" s="2463" t="s">
        <v>2181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179" t="s">
        <v>2184</v>
      </c>
      <c r="B45" s="3180"/>
      <c r="C45" s="3181"/>
      <c r="D45" s="164">
        <f ca="1">ROUND(H101*F45,0)</f>
        <v>2390</v>
      </c>
      <c r="E45" s="165" t="s">
        <v>2185</v>
      </c>
      <c r="F45" s="166">
        <v>1</v>
      </c>
      <c r="G45" s="167" t="s">
        <v>2186</v>
      </c>
      <c r="H45" s="138"/>
      <c r="I45" s="138"/>
      <c r="J45" s="3098" t="s">
        <v>2187</v>
      </c>
      <c r="K45" s="3098"/>
      <c r="L45" s="3098"/>
      <c r="M45" s="3098"/>
      <c r="N45" s="3098"/>
      <c r="O45" s="3098"/>
    </row>
    <row r="46" spans="1:15" ht="14.25" customHeight="1">
      <c r="A46" s="3176" t="s">
        <v>2188</v>
      </c>
      <c r="B46" s="3177"/>
      <c r="C46" s="3177"/>
      <c r="D46" s="3177"/>
      <c r="E46" s="3177"/>
      <c r="F46" s="3177"/>
      <c r="G46" s="3178"/>
      <c r="H46" s="2473"/>
      <c r="I46" s="168"/>
      <c r="J46" s="2986">
        <v>1</v>
      </c>
      <c r="K46" s="3098" t="s">
        <v>2189</v>
      </c>
      <c r="L46" s="3098"/>
      <c r="M46" s="3099"/>
      <c r="N46" s="3099"/>
      <c r="O46" s="3099"/>
    </row>
    <row r="47" spans="1:15" ht="12" customHeight="1">
      <c r="A47" s="169" t="s">
        <v>2190</v>
      </c>
      <c r="B47" s="170"/>
      <c r="C47" s="171"/>
      <c r="D47" s="172" t="s">
        <v>2191</v>
      </c>
      <c r="E47" s="24" t="s">
        <v>2192</v>
      </c>
      <c r="F47" s="173" t="s">
        <v>2193</v>
      </c>
      <c r="G47" s="174" t="s">
        <v>2194</v>
      </c>
      <c r="H47" s="2473"/>
      <c r="I47" s="168"/>
      <c r="J47" s="2986">
        <v>2</v>
      </c>
      <c r="K47" s="3098" t="s">
        <v>2195</v>
      </c>
      <c r="L47" s="3098"/>
      <c r="M47" s="3100">
        <f>'数据-取费表'!B2</f>
        <v>43539</v>
      </c>
      <c r="N47" s="3100"/>
      <c r="O47" s="3100"/>
    </row>
    <row r="48" spans="1:15" ht="25.5">
      <c r="A48" s="3166" t="s">
        <v>2196</v>
      </c>
      <c r="B48" s="3167"/>
      <c r="C48" s="3167"/>
      <c r="D48" s="140">
        <f>IF(H48="情况1",0,IF(H48="情况2",D52,IF(H48="情况3",D53,IF(H48="情况4",D54))))</f>
        <v>0</v>
      </c>
      <c r="E48" s="2978" t="str">
        <f>IF(H48="情况4","(销售额-原购置价)×税（费）率","销售额×税（费）率")</f>
        <v>销售额×税（费）率</v>
      </c>
      <c r="F48" s="175" t="str">
        <f>IF(H48="情况1","免征",'数据-取费表'!B41)</f>
        <v>免征</v>
      </c>
      <c r="G48" s="2474" t="s">
        <v>2197</v>
      </c>
      <c r="H48" s="2475" t="s">
        <v>2198</v>
      </c>
      <c r="I48" s="2473"/>
      <c r="J48" s="2986">
        <v>3</v>
      </c>
      <c r="K48" s="3098" t="s">
        <v>2199</v>
      </c>
      <c r="L48" s="3098"/>
      <c r="M48" s="3101">
        <f ca="1">H101</f>
        <v>2390</v>
      </c>
      <c r="N48" s="3101"/>
      <c r="O48" s="3101"/>
    </row>
    <row r="49" spans="1:35" ht="25.5" customHeight="1">
      <c r="A49" s="176" t="s">
        <v>2200</v>
      </c>
      <c r="B49" s="3146" t="s">
        <v>2201</v>
      </c>
      <c r="C49" s="3146"/>
      <c r="D49" s="177">
        <v>0</v>
      </c>
      <c r="E49" s="23" t="s">
        <v>2202</v>
      </c>
      <c r="F49" s="28" t="s">
        <v>34</v>
      </c>
      <c r="G49" s="3127"/>
      <c r="H49" s="138"/>
      <c r="I49" s="2476"/>
      <c r="J49" s="2986">
        <v>4</v>
      </c>
      <c r="K49" s="3098" t="str">
        <f>IF(项目基本情况!E8="房地产抵押价值","房地产抵押价值","抵押担保权已注销时的房地产抵押价值")</f>
        <v>房地产抵押价值</v>
      </c>
      <c r="L49" s="3098"/>
      <c r="M49" s="3101">
        <f ca="1">IF(项目基本情况!E8="房地产抵押价值",H107,H109)</f>
        <v>2390</v>
      </c>
      <c r="N49" s="3101"/>
      <c r="O49" s="3101"/>
    </row>
    <row r="50" spans="1:35" ht="25.5" customHeight="1">
      <c r="A50" s="178"/>
      <c r="B50" s="3146" t="s">
        <v>2203</v>
      </c>
      <c r="C50" s="3146"/>
      <c r="D50" s="179"/>
      <c r="E50" s="31"/>
      <c r="F50" s="180"/>
      <c r="G50" s="3128"/>
      <c r="H50" s="138"/>
      <c r="I50" s="2476"/>
      <c r="J50" s="3098" t="s">
        <v>2204</v>
      </c>
      <c r="K50" s="3098"/>
      <c r="L50" s="3098"/>
      <c r="M50" s="3098"/>
      <c r="N50" s="3098"/>
      <c r="O50" s="3098"/>
    </row>
    <row r="51" spans="1:35" ht="12" customHeight="1">
      <c r="A51" s="181"/>
      <c r="B51" s="3146" t="s">
        <v>2205</v>
      </c>
      <c r="C51" s="3146"/>
      <c r="D51" s="182"/>
      <c r="E51" s="30"/>
      <c r="F51" s="180"/>
      <c r="G51" s="3129"/>
      <c r="H51" s="138"/>
      <c r="I51" s="2476"/>
      <c r="J51" s="2985" t="s">
        <v>2206</v>
      </c>
      <c r="K51" s="3098" t="s">
        <v>2207</v>
      </c>
      <c r="L51" s="3098"/>
      <c r="M51" s="2985" t="s">
        <v>2208</v>
      </c>
      <c r="N51" s="2985" t="s">
        <v>2209</v>
      </c>
      <c r="O51" s="2985" t="s">
        <v>2210</v>
      </c>
    </row>
    <row r="52" spans="1:35" ht="24" customHeight="1">
      <c r="A52" s="183" t="s">
        <v>2211</v>
      </c>
      <c r="B52" s="3146" t="s">
        <v>2212</v>
      </c>
      <c r="C52" s="3146"/>
      <c r="D52" s="182">
        <f ca="1">ROUND(D45*'数据-取费表'!B41/(1+'数据-取费表'!C42),0)</f>
        <v>127</v>
      </c>
      <c r="E52" s="11" t="s">
        <v>2213</v>
      </c>
      <c r="F52" s="184">
        <f>'数据-取费表'!B41</f>
        <v>5.6000000000000001E-2</v>
      </c>
      <c r="G52" s="2478"/>
      <c r="H52" s="138"/>
      <c r="I52" s="2476"/>
      <c r="J52" s="2986">
        <v>1</v>
      </c>
      <c r="K52" s="3121" t="s">
        <v>2214</v>
      </c>
      <c r="L52" s="3121"/>
      <c r="M52" s="1748">
        <f>D48</f>
        <v>0</v>
      </c>
      <c r="N52" s="2986" t="str">
        <f>E48</f>
        <v>销售额×税（费）率</v>
      </c>
      <c r="O52" s="1749" t="str">
        <f>F48</f>
        <v>免征</v>
      </c>
    </row>
    <row r="53" spans="1:35" ht="12" customHeight="1">
      <c r="A53" s="183" t="s">
        <v>2215</v>
      </c>
      <c r="B53" s="3147" t="s">
        <v>2216</v>
      </c>
      <c r="C53" s="3148"/>
      <c r="D53" s="182">
        <f ca="1">ROUND(D45*'数据-取费表'!B41/(1+'数据-取费表'!C42),0)</f>
        <v>127</v>
      </c>
      <c r="E53" s="11" t="s">
        <v>2213</v>
      </c>
      <c r="F53" s="184">
        <f>'数据-取费表'!B41</f>
        <v>5.6000000000000001E-2</v>
      </c>
      <c r="G53" s="2478"/>
      <c r="H53" s="138"/>
      <c r="I53" s="2476"/>
      <c r="J53" s="2986">
        <v>2</v>
      </c>
      <c r="K53" s="3121" t="s">
        <v>2217</v>
      </c>
      <c r="L53" s="3121"/>
      <c r="M53" s="1748">
        <f t="shared" ref="M53:O54" ca="1" si="0">D55</f>
        <v>1</v>
      </c>
      <c r="N53" s="2986" t="str">
        <f t="shared" si="0"/>
        <v>销售额×税（费）率</v>
      </c>
      <c r="O53" s="1749">
        <f t="shared" si="0"/>
        <v>5.0000000000000001E-4</v>
      </c>
    </row>
    <row r="54" spans="1:35" ht="12" customHeight="1">
      <c r="A54" s="183" t="s">
        <v>2218</v>
      </c>
      <c r="B54" s="3147" t="s">
        <v>2219</v>
      </c>
      <c r="C54" s="3148"/>
      <c r="D54" s="182">
        <f ca="1">C68</f>
        <v>127</v>
      </c>
      <c r="E54" s="30" t="s">
        <v>2220</v>
      </c>
      <c r="F54" s="184">
        <f>'数据-取费表'!B41</f>
        <v>5.6000000000000001E-2</v>
      </c>
      <c r="G54" s="2478"/>
      <c r="H54" s="2479"/>
      <c r="I54" s="2476"/>
      <c r="J54" s="2986">
        <v>3</v>
      </c>
      <c r="K54" s="3121" t="s">
        <v>2221</v>
      </c>
      <c r="L54" s="3121"/>
      <c r="M54" s="1748">
        <f t="shared" ca="1" si="0"/>
        <v>1352</v>
      </c>
      <c r="N54" s="2986" t="str">
        <f t="shared" si="0"/>
        <v>增值额×税（费）率</v>
      </c>
      <c r="O54" s="1750" t="str">
        <f t="shared" si="0"/>
        <v>——</v>
      </c>
    </row>
    <row r="55" spans="1:35" ht="24" customHeight="1">
      <c r="A55" s="3185" t="s">
        <v>2222</v>
      </c>
      <c r="B55" s="3167"/>
      <c r="C55" s="3167"/>
      <c r="D55" s="185">
        <f ca="1">IF(H55="个人住宅",0,ROUND(D45*I55,0))</f>
        <v>1</v>
      </c>
      <c r="E55" s="11" t="s">
        <v>2223</v>
      </c>
      <c r="F55" s="184">
        <f>IF(H55="正常",I55,"免征")</f>
        <v>5.0000000000000001E-4</v>
      </c>
      <c r="G55" s="2478"/>
      <c r="H55" s="2475" t="s">
        <v>2224</v>
      </c>
      <c r="I55" s="186">
        <f>'数据-取费表'!B49</f>
        <v>5.0000000000000001E-4</v>
      </c>
      <c r="J55" s="2986" t="str">
        <f>IF(H59="非个人房产","",4)</f>
        <v/>
      </c>
      <c r="K55" s="3121" t="str">
        <f>IF(H59="非个人房产","——","个人所得税")</f>
        <v>——</v>
      </c>
      <c r="L55" s="3121"/>
      <c r="M55" s="1751" t="str">
        <f>D59</f>
        <v>——</v>
      </c>
      <c r="N55" s="2987" t="str">
        <f>E59</f>
        <v>——</v>
      </c>
      <c r="O55" s="1752" t="str">
        <f>F59</f>
        <v>——</v>
      </c>
    </row>
    <row r="56" spans="1:35" ht="24.75">
      <c r="A56" s="3185" t="s">
        <v>2225</v>
      </c>
      <c r="B56" s="3167"/>
      <c r="C56" s="3167"/>
      <c r="D56" s="185">
        <f ca="1">IF(H56="个人住宅",D57,D58)</f>
        <v>1352</v>
      </c>
      <c r="E56" s="11" t="s">
        <v>2226</v>
      </c>
      <c r="F56" s="184" t="str">
        <f>IF(H56="正常",F58,"免征")</f>
        <v>——</v>
      </c>
      <c r="G56" s="2480" t="s">
        <v>2227</v>
      </c>
      <c r="H56" s="2481" t="s">
        <v>2224</v>
      </c>
      <c r="I56" s="2482"/>
      <c r="J56" s="2986" t="str">
        <f>IF(项目基本情况!K6="上海银行",IF(J55="",4,J55+1),"")</f>
        <v/>
      </c>
      <c r="K56" s="3104" t="str">
        <f>IF(项目基本情况!K6="上海银行","其他处置费用","")</f>
        <v/>
      </c>
      <c r="L56" s="3105"/>
      <c r="M56" s="1748"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78"/>
      <c r="H57" s="2482"/>
      <c r="I57" s="2482"/>
      <c r="J57" s="3121">
        <f>IF(AND(J55="",J56=""),4,IF(项目基本情况!K6="上海银行",结果表车!J56+1,结果表车!J55+1))</f>
        <v>4</v>
      </c>
      <c r="K57" s="3121" t="s">
        <v>2229</v>
      </c>
      <c r="L57" s="2483" t="s">
        <v>2230</v>
      </c>
      <c r="M57" s="1753"/>
      <c r="N57" s="1754">
        <f ca="1">SUMIF(M52:M56,"&lt;9e307")</f>
        <v>1353</v>
      </c>
      <c r="O57" s="2484"/>
      <c r="P57" s="1747">
        <f ca="1">N57/M49</f>
        <v>0.56610878661087871</v>
      </c>
    </row>
    <row r="58" spans="1:35" ht="24.75">
      <c r="A58" s="183" t="s">
        <v>2211</v>
      </c>
      <c r="B58" s="3152" t="s">
        <v>2231</v>
      </c>
      <c r="C58" s="3165"/>
      <c r="D58" s="185">
        <f ca="1">IF(H58="转让取得",C81,C97)</f>
        <v>1352</v>
      </c>
      <c r="E58" s="11" t="s">
        <v>2226</v>
      </c>
      <c r="F58" s="24" t="s">
        <v>34</v>
      </c>
      <c r="G58" s="2478"/>
      <c r="H58" s="2481" t="s">
        <v>2232</v>
      </c>
      <c r="I58" s="2482"/>
      <c r="J58" s="3121"/>
      <c r="K58" s="3121"/>
      <c r="L58" s="2483" t="s">
        <v>2233</v>
      </c>
      <c r="M58" s="1755"/>
      <c r="N58" s="2485" t="str">
        <f ca="1">NUMBERSTRING(INT(N57*10000),2)&amp;"元整"</f>
        <v>壹仟叁佰伍拾叁万元整</v>
      </c>
      <c r="O58" s="2486"/>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87" t="s">
        <v>2227</v>
      </c>
      <c r="H59" s="2481" t="s">
        <v>2235</v>
      </c>
      <c r="I59" s="191">
        <v>0.01</v>
      </c>
      <c r="J59" s="3123">
        <f>J57+1</f>
        <v>5</v>
      </c>
      <c r="K59" s="3121" t="s">
        <v>2236</v>
      </c>
      <c r="L59" s="2986" t="s">
        <v>2230</v>
      </c>
      <c r="M59" s="1756"/>
      <c r="N59" s="1757">
        <f ca="1">M49-N57</f>
        <v>1037</v>
      </c>
      <c r="O59" s="2488"/>
    </row>
    <row r="60" spans="1:35" ht="12" customHeight="1">
      <c r="A60" s="2489"/>
      <c r="B60" s="2411"/>
      <c r="C60" s="2411"/>
      <c r="D60" s="2411"/>
      <c r="E60" s="2159"/>
      <c r="F60" s="2482"/>
      <c r="G60" s="2482"/>
      <c r="H60" s="2490"/>
      <c r="I60" s="138"/>
      <c r="J60" s="3124"/>
      <c r="K60" s="3121"/>
      <c r="L60" s="2483" t="s">
        <v>2233</v>
      </c>
      <c r="M60" s="1755"/>
      <c r="N60" s="2485" t="str">
        <f ca="1">NUMBERSTRING(INT(N59*10000),2)&amp;"元整"</f>
        <v>壹仟零叁拾柒万元整</v>
      </c>
      <c r="O60" s="2486"/>
    </row>
    <row r="61" spans="1:35" ht="13.5" thickBot="1">
      <c r="A61" s="3184" t="s">
        <v>2237</v>
      </c>
      <c r="B61" s="3184"/>
      <c r="C61" s="3184"/>
      <c r="D61" s="3184"/>
      <c r="E61" s="3184"/>
      <c r="F61" s="2482"/>
      <c r="G61" s="2482"/>
      <c r="H61" s="2490"/>
      <c r="I61" s="138"/>
      <c r="J61" s="2986">
        <f>J59+1</f>
        <v>6</v>
      </c>
      <c r="K61" s="3121" t="s">
        <v>2238</v>
      </c>
      <c r="L61" s="3121"/>
      <c r="M61" s="1758"/>
      <c r="N61" s="1759">
        <f ca="1">ROUND(N59*10000/'数据-汇总表'!E3,0)</f>
        <v>465</v>
      </c>
      <c r="O61" s="2491"/>
    </row>
    <row r="62" spans="1:35" ht="12.75">
      <c r="A62" s="3141" t="s">
        <v>2239</v>
      </c>
      <c r="B62" s="3142"/>
      <c r="C62" s="2981"/>
      <c r="D62" s="2981" t="s">
        <v>2240</v>
      </c>
      <c r="E62" s="192" t="s">
        <v>2241</v>
      </c>
      <c r="F62" s="2482"/>
      <c r="G62" s="2482"/>
      <c r="H62" s="2490"/>
      <c r="I62" s="138"/>
    </row>
    <row r="63" spans="1:35" ht="12.75">
      <c r="A63" s="203" t="s">
        <v>775</v>
      </c>
      <c r="B63" s="193" t="s">
        <v>2242</v>
      </c>
      <c r="C63" s="194">
        <f ca="1">ROUND((C64+C65)/(1+'数据-取费表'!C42),0)</f>
        <v>2276</v>
      </c>
      <c r="D63" s="195"/>
      <c r="E63" s="196"/>
      <c r="F63" s="2482"/>
      <c r="G63" s="2482"/>
      <c r="H63" s="2490"/>
      <c r="I63" s="138"/>
      <c r="J63" s="3106" t="s">
        <v>2243</v>
      </c>
      <c r="K63" s="2990" t="s">
        <v>2244</v>
      </c>
      <c r="L63" s="1746">
        <f ca="1">IF(M49&gt;10000,M49*0.5%,IF(AND(M49&gt;1000,M49&lt;=10000),M49*1%,IF(AND(M49&gt;100,M49&lt;=1000),M49*3%,IF(AND(M49&gt;10,M49&lt;=100),M49*5%,M49*8%))))</f>
        <v>23.900000000000002</v>
      </c>
      <c r="M63" s="24">
        <f ca="1">ROUND(L63,1)</f>
        <v>23.9</v>
      </c>
      <c r="Z63" s="2416"/>
      <c r="AI63" s="2417"/>
    </row>
    <row r="64" spans="1:35" ht="14.25" customHeight="1">
      <c r="A64" s="197" t="s">
        <v>770</v>
      </c>
      <c r="B64" s="198" t="s">
        <v>2245</v>
      </c>
      <c r="C64" s="199">
        <f ca="1">D45</f>
        <v>2390</v>
      </c>
      <c r="D64" s="200" t="s">
        <v>32</v>
      </c>
      <c r="E64" s="201"/>
      <c r="F64" s="2482"/>
      <c r="G64" s="2482"/>
      <c r="H64" s="2490"/>
      <c r="I64" s="138"/>
      <c r="J64" s="3106"/>
      <c r="K64" s="2990" t="s">
        <v>2246</v>
      </c>
      <c r="L64" s="1746">
        <f ca="1">IF(M49&gt;2000,M49*0.5%,IF(AND(M49&gt;1000,M49&lt;=2000),M49*0.6%,IF(AND(M49&gt;500,M49&lt;=1000),M49*0.7%,IF(AND(M49&gt;200,M49&lt;=500),M49*0.8%,IF(AND(M49&gt;100,M49&lt;=200),M49*0.9%,IF(AND(M49&gt;50,M49&lt;=100),M49*1%,IF(AND(M49&gt;20,M49&lt;=50),M49*1.5%,IF(AND(M49&gt;10,M49&lt;=20),M49*2%,IF(AND(M49&gt;1,M49&lt;=10),M49*2.5%)))))))))</f>
        <v>11.950000000000001</v>
      </c>
      <c r="M64" s="24">
        <f t="shared" ref="M64:M65" ca="1" si="1">ROUND(L64,1)</f>
        <v>12</v>
      </c>
      <c r="N64" s="138" t="s">
        <v>2247</v>
      </c>
      <c r="Z64" s="2416"/>
      <c r="AI64" s="2417"/>
    </row>
    <row r="65" spans="1:35" ht="14.25" customHeight="1">
      <c r="A65" s="197" t="s">
        <v>771</v>
      </c>
      <c r="B65" s="198" t="s">
        <v>2248</v>
      </c>
      <c r="C65" s="202"/>
      <c r="D65" s="200"/>
      <c r="E65" s="201"/>
      <c r="F65" s="2482"/>
      <c r="G65" s="2482"/>
      <c r="H65" s="2490"/>
      <c r="I65" s="138"/>
      <c r="J65" s="3106"/>
      <c r="K65" s="2990" t="s">
        <v>2249</v>
      </c>
      <c r="L65" s="1746">
        <f ca="1">IF(M49&gt;1000,M49*0.1%,IF(AND(M49&gt;500,M49&lt;=1000),M49*0.5%,IF(AND(M49&gt;50,M49&lt;=500),M49*1%,IF(AND(M49&gt;1,M49&lt;=50),M49*1.5%))))</f>
        <v>2.39</v>
      </c>
      <c r="M65" s="24">
        <f t="shared" ca="1" si="1"/>
        <v>2.4</v>
      </c>
      <c r="N65" s="138" t="s">
        <v>2247</v>
      </c>
      <c r="Z65" s="2416"/>
      <c r="AI65" s="2417"/>
    </row>
    <row r="66" spans="1:35" ht="14.25" customHeight="1">
      <c r="A66" s="203" t="s">
        <v>772</v>
      </c>
      <c r="B66" s="204" t="s">
        <v>2250</v>
      </c>
      <c r="C66" s="205"/>
      <c r="D66" s="206" t="s">
        <v>32</v>
      </c>
      <c r="E66" s="1770" t="s">
        <v>1371</v>
      </c>
      <c r="F66" s="2482"/>
      <c r="G66" s="2482"/>
      <c r="H66" s="2490"/>
      <c r="I66" s="138"/>
      <c r="J66" s="3106"/>
      <c r="K66" s="2990" t="s">
        <v>2251</v>
      </c>
      <c r="L66" s="1746">
        <f ca="1">M49*0.5%</f>
        <v>11.950000000000001</v>
      </c>
      <c r="M66" s="24">
        <f ca="1">IF(L66&gt;0.5,0.5,ROUND(L66,0))</f>
        <v>0.5</v>
      </c>
      <c r="N66" s="138" t="s">
        <v>2252</v>
      </c>
      <c r="Z66" s="2416"/>
      <c r="AI66" s="2417"/>
    </row>
    <row r="67" spans="1:35" ht="14.25" customHeight="1">
      <c r="A67" s="203" t="s">
        <v>773</v>
      </c>
      <c r="B67" s="204" t="s">
        <v>2253</v>
      </c>
      <c r="C67" s="207">
        <f ca="1">C63-C66</f>
        <v>2276</v>
      </c>
      <c r="D67" s="200" t="s">
        <v>32</v>
      </c>
      <c r="E67" s="201"/>
      <c r="F67" s="2482"/>
      <c r="G67" s="2482"/>
      <c r="H67" s="2490"/>
      <c r="I67" s="138"/>
      <c r="J67" s="3106"/>
      <c r="K67" s="2990" t="s">
        <v>2254</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2255</v>
      </c>
      <c r="C68" s="210">
        <f ca="1">IF(C67&lt;=0,0,ROUND(C67*D68,0))</f>
        <v>127</v>
      </c>
      <c r="D68" s="211">
        <f>'数据-取费表'!B41</f>
        <v>5.6000000000000001E-2</v>
      </c>
      <c r="E68" s="212"/>
      <c r="F68" s="2482"/>
      <c r="G68" s="2482"/>
      <c r="H68" s="2490"/>
      <c r="I68" s="138"/>
      <c r="J68" s="3106"/>
      <c r="K68" s="2990" t="s">
        <v>2256</v>
      </c>
      <c r="L68" s="1746">
        <f ca="1">IF(M49&gt;10000,M49*0.5%,IF(AND(M49&gt;5000,M49&lt;=10000),M49*1%,IF(AND(M49&gt;1000,M49&lt;=5000),M49*2%,IF(AND(M49&gt;200,M49&lt;=1000),M49*3%,M49*5%))))</f>
        <v>47.800000000000004</v>
      </c>
      <c r="M68" s="24">
        <f ca="1">ROUND(L68,1)</f>
        <v>47.8</v>
      </c>
      <c r="Z68" s="2416"/>
      <c r="AI68" s="2417"/>
    </row>
    <row r="69" spans="1:35" s="2439" customFormat="1" ht="16.5" customHeight="1">
      <c r="A69" s="2493"/>
      <c r="B69" s="2494"/>
      <c r="C69" s="2495"/>
      <c r="D69" s="2496"/>
      <c r="E69" s="2497"/>
      <c r="F69" s="2159"/>
      <c r="G69" s="2159"/>
      <c r="H69" s="2158"/>
      <c r="I69" s="2411"/>
      <c r="J69" s="3106"/>
      <c r="K69" s="2990" t="s">
        <v>2257</v>
      </c>
      <c r="L69" s="2498"/>
      <c r="M69" s="24">
        <f ca="1">ROUND(SUM(M63:M68),0)</f>
        <v>89</v>
      </c>
      <c r="N69" s="1747">
        <f ca="1">M69/M49</f>
        <v>3.7238493723849374E-2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0" t="s">
        <v>2258</v>
      </c>
      <c r="B70" s="3151"/>
      <c r="C70" s="3151"/>
      <c r="D70" s="3151"/>
      <c r="E70" s="3151"/>
      <c r="F70" s="3151"/>
      <c r="G70" s="3151"/>
      <c r="H70" s="315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1" t="s">
        <v>2239</v>
      </c>
      <c r="B71" s="3142"/>
      <c r="C71" s="2981"/>
      <c r="D71" s="2981" t="s">
        <v>2240</v>
      </c>
      <c r="E71" s="213" t="s">
        <v>2241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2259</v>
      </c>
      <c r="C72" s="207">
        <f ca="1">ROUND(D45/(1+'数据-取费表'!C42),0)</f>
        <v>2276</v>
      </c>
      <c r="D72" s="200" t="s">
        <v>32</v>
      </c>
      <c r="E72" s="2980"/>
      <c r="F72" s="2975"/>
      <c r="G72" s="297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2260</v>
      </c>
      <c r="C73" s="207">
        <f ca="1">C74+C78</f>
        <v>14</v>
      </c>
      <c r="D73" s="200" t="s">
        <v>32</v>
      </c>
      <c r="E73" s="2980"/>
      <c r="F73" s="2975"/>
      <c r="G73" s="297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2261</v>
      </c>
      <c r="C74" s="200">
        <f>ROUND(IF(G77="2016年5月1日后购买",C75/(1+'数据-取费表'!C42)+C76+C77,C75+C76+C77),0)</f>
        <v>0</v>
      </c>
      <c r="D74" s="200" t="s">
        <v>32</v>
      </c>
      <c r="E74" s="2980"/>
      <c r="F74" s="2975"/>
      <c r="G74" s="297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2262</v>
      </c>
      <c r="C75" s="218"/>
      <c r="D75" s="200" t="s">
        <v>32</v>
      </c>
      <c r="E75" s="219" t="s">
        <v>2263</v>
      </c>
      <c r="F75" s="2504" t="s">
        <v>2264</v>
      </c>
      <c r="G75" s="219" t="s">
        <v>2265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2266</v>
      </c>
      <c r="C76" s="200">
        <f>IF(F75="购房发票",ROUND(C75*H75*D76,0),0)</f>
        <v>0</v>
      </c>
      <c r="D76" s="222">
        <v>0.05</v>
      </c>
      <c r="E76" s="3147" t="s">
        <v>2267</v>
      </c>
      <c r="F76" s="3146"/>
      <c r="G76" s="3146"/>
      <c r="H76" s="314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2268</v>
      </c>
      <c r="C77" s="200">
        <f>ROUND(IF(G77="个人住宅",0,IF(G77="2016年5月1日前购买",C75*D77,C75*D77/(1+'数据-取费表'!C42))),0)</f>
        <v>0</v>
      </c>
      <c r="D77" s="223">
        <f>'数据-取费表'!B48+'数据-取费表'!B49</f>
        <v>3.0499999999999999E-2</v>
      </c>
      <c r="E77" s="2991" t="s">
        <v>2269</v>
      </c>
      <c r="F77" s="224"/>
      <c r="G77" s="2506" t="s">
        <v>2270</v>
      </c>
      <c r="H77" s="298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2271</v>
      </c>
      <c r="C78" s="225">
        <f ca="1">ROUND(D45*D78/(1+'数据-取费表'!C42),0)</f>
        <v>14</v>
      </c>
      <c r="D78" s="226">
        <f>'数据-取费表'!B43</f>
        <v>6.000000000000001E-3</v>
      </c>
      <c r="E78" s="3138" t="s">
        <v>2272</v>
      </c>
      <c r="F78" s="3139"/>
      <c r="G78" s="3139"/>
      <c r="H78" s="314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2273</v>
      </c>
      <c r="C79" s="207">
        <f ca="1">C72-C73</f>
        <v>2262</v>
      </c>
      <c r="D79" s="200" t="s">
        <v>32</v>
      </c>
      <c r="E79" s="2980"/>
      <c r="F79" s="2975"/>
      <c r="G79" s="297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2274</v>
      </c>
      <c r="C80" s="227">
        <f ca="1">IF(C79&lt;=0,0,C79/C73)</f>
        <v>161.57142857142858</v>
      </c>
      <c r="D80" s="200" t="s">
        <v>32</v>
      </c>
      <c r="E80" s="2991" t="str">
        <f ca="1">IF(C80&gt;=200%,"增值额超过扣除项目金额200%",IF(C80&gt;=100%,"增值额超过扣除项目金额100%，未超过200%",IF(C80&gt;=50%,"增值额超过扣除项目金额50%，未超过100%",IF(C80&lt;50%,"增值额未超过扣除项目金额50%"))))</f>
        <v>增值额超过扣除项目金额200%</v>
      </c>
      <c r="F80" s="2975"/>
      <c r="G80" s="297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2275</v>
      </c>
      <c r="C81" s="228">
        <f ca="1">ROUND(IF(C79&lt;=0,0,IF(C80&gt;=200%,C79*60%-C73*35%,IF(C80&gt;=100%,C79*50%-C73*15%,IF(C80&gt;=50%,C79*40%-C73*5%,IF(C80&lt;50%,C79*30%,0))))),0)</f>
        <v>1352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0" t="s">
        <v>2276</v>
      </c>
      <c r="B83" s="3151"/>
      <c r="C83" s="3151"/>
      <c r="D83" s="3151"/>
      <c r="E83" s="3151"/>
      <c r="F83" s="3151"/>
      <c r="G83" s="3151"/>
      <c r="H83" s="315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1" t="s">
        <v>2239</v>
      </c>
      <c r="B84" s="3142"/>
      <c r="C84" s="2981"/>
      <c r="D84" s="2981" t="s">
        <v>2240</v>
      </c>
      <c r="E84" s="213" t="s">
        <v>2241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2259</v>
      </c>
      <c r="C85" s="207">
        <f ca="1">ROUND(D45/(1+'数据-取费表'!C42),0)</f>
        <v>2276</v>
      </c>
      <c r="D85" s="200" t="s">
        <v>32</v>
      </c>
      <c r="E85" s="2980"/>
      <c r="F85" s="2975"/>
      <c r="G85" s="297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2260</v>
      </c>
      <c r="C86" s="207">
        <f ca="1">IF(H88="仅含出让金",C87+C90+C91+C92+C93+C94,C87+C91+C92+C93+C94)</f>
        <v>14</v>
      </c>
      <c r="D86" s="235"/>
      <c r="E86" s="2980"/>
      <c r="F86" s="2975"/>
      <c r="G86" s="297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2277</v>
      </c>
      <c r="C87" s="225">
        <f>C88+C89</f>
        <v>0</v>
      </c>
      <c r="D87" s="226"/>
      <c r="E87" s="2976"/>
      <c r="F87" s="2977"/>
      <c r="G87" s="2977"/>
      <c r="H87" s="297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2278</v>
      </c>
      <c r="C88" s="236"/>
      <c r="D88" s="226"/>
      <c r="E88" s="237" t="s">
        <v>2279</v>
      </c>
      <c r="F88" s="2977"/>
      <c r="G88" s="238"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2268</v>
      </c>
      <c r="C89" s="225">
        <f>ROUND(C88*D89,0)</f>
        <v>0</v>
      </c>
      <c r="D89" s="226">
        <f>'数据-取费表'!B48+'数据-取费表'!B49</f>
        <v>3.0499999999999999E-2</v>
      </c>
      <c r="E89" s="237" t="s">
        <v>2281</v>
      </c>
      <c r="F89" s="2977"/>
      <c r="G89" s="2977"/>
      <c r="H89" s="297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2282</v>
      </c>
      <c r="C90" s="236"/>
      <c r="D90" s="226"/>
      <c r="E90" s="237" t="str">
        <f>IF(H88="-","土地取得成本中已包含该笔费用"," ")</f>
        <v xml:space="preserve"> </v>
      </c>
      <c r="F90" s="2977"/>
      <c r="G90" s="2977"/>
      <c r="H90" s="297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2283</v>
      </c>
      <c r="B91" s="198" t="s">
        <v>2284</v>
      </c>
      <c r="C91" s="225">
        <f>IF(H91="——",成本法!C33,I91)</f>
        <v>0</v>
      </c>
      <c r="D91" s="226"/>
      <c r="E91" s="3138" t="s">
        <v>2285</v>
      </c>
      <c r="F91" s="3139"/>
      <c r="G91" s="3139"/>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2287</v>
      </c>
      <c r="B92" s="198" t="s">
        <v>2288</v>
      </c>
      <c r="C92" s="225">
        <f>ROUND((C87+C90+C91)*D92,0)</f>
        <v>0</v>
      </c>
      <c r="D92" s="226">
        <v>0.1</v>
      </c>
      <c r="E92" s="3138" t="s">
        <v>2289</v>
      </c>
      <c r="F92" s="3139"/>
      <c r="G92" s="3139"/>
      <c r="H92" s="314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2290</v>
      </c>
      <c r="B93" s="198" t="s">
        <v>2271</v>
      </c>
      <c r="C93" s="225">
        <f ca="1">ROUND(D45*D93/(1+'数据-取费表'!C42),0)</f>
        <v>14</v>
      </c>
      <c r="D93" s="226">
        <f>'数据-取费表'!B43</f>
        <v>6.000000000000001E-3</v>
      </c>
      <c r="E93" s="3138" t="s">
        <v>2272</v>
      </c>
      <c r="F93" s="3139"/>
      <c r="G93" s="3139"/>
      <c r="H93" s="314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2291</v>
      </c>
      <c r="B94" s="198" t="s">
        <v>2292</v>
      </c>
      <c r="C94" s="236">
        <f>ROUND((C87+C90+C91)*D94,0)</f>
        <v>0</v>
      </c>
      <c r="D94" s="226">
        <v>0.2</v>
      </c>
      <c r="E94" s="3186" t="s">
        <v>2293</v>
      </c>
      <c r="F94" s="3187"/>
      <c r="G94" s="3187"/>
      <c r="H94" s="318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2273</v>
      </c>
      <c r="C95" s="207">
        <f ca="1">ROUND(C85-C86,0)</f>
        <v>2262</v>
      </c>
      <c r="D95" s="200" t="s">
        <v>32</v>
      </c>
      <c r="E95" s="2980"/>
      <c r="F95" s="2975"/>
      <c r="G95" s="297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2274</v>
      </c>
      <c r="C96" s="227">
        <f ca="1">IF(C95&lt;=0,0,C95/C86)</f>
        <v>161.57142857142858</v>
      </c>
      <c r="D96" s="200" t="s">
        <v>32</v>
      </c>
      <c r="E96" s="2991" t="str">
        <f ca="1">IF(C96&gt;=200%,"增值额超过扣除项目金额200%",IF(C96&gt;=100%,"增值额超过扣除项目金额100%，未超过200%",IF(C96&gt;=50%,"增值额超过扣除项目金额50%，未超过100%",IF(C96&lt;50%,"增值额未超过扣除项目金额50%"))))</f>
        <v>增值额超过扣除项目金额200%</v>
      </c>
      <c r="F96" s="2975"/>
      <c r="G96" s="297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2275</v>
      </c>
      <c r="C97" s="228">
        <f ca="1">ROUND(IF(C95&lt;=0,0,IF(C96&gt;=200%,C95*60%-C86*35%,IF(C96&gt;=100%,C95*50%-C86*15%,IF(C96&gt;=50%,C95*40%-C86*5%,IF(C96&lt;50%,C95*30%,0))))),0)</f>
        <v>1352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2294</v>
      </c>
      <c r="B99" s="2411"/>
      <c r="C99" s="2411"/>
      <c r="D99" s="2411"/>
      <c r="E99" s="2159"/>
      <c r="F99" s="2159"/>
      <c r="G99" s="2159"/>
      <c r="H99" s="2158"/>
      <c r="I99" s="138"/>
    </row>
    <row r="100" spans="1:35" ht="18.75" customHeight="1">
      <c r="A100" s="3090" t="s">
        <v>2295</v>
      </c>
      <c r="B100" s="3091"/>
      <c r="C100" s="3091"/>
      <c r="D100" s="3122"/>
      <c r="E100" s="3091" t="s">
        <v>2296</v>
      </c>
      <c r="F100" s="3091"/>
      <c r="G100" s="3091"/>
      <c r="H100" s="3122"/>
      <c r="I100" s="138"/>
    </row>
    <row r="101" spans="1:35" ht="18.75" customHeight="1">
      <c r="A101" s="3130" t="s">
        <v>2297</v>
      </c>
      <c r="B101" s="3131"/>
      <c r="C101" s="735" t="str">
        <f>C4</f>
        <v>比较法-车位</v>
      </c>
      <c r="D101" s="736" t="str">
        <f>D4</f>
        <v>收益法车</v>
      </c>
      <c r="E101" s="3102" t="s">
        <v>2298</v>
      </c>
      <c r="F101" s="3103"/>
      <c r="G101" s="2513" t="s">
        <v>2299</v>
      </c>
      <c r="H101" s="1043">
        <f ca="1">H118</f>
        <v>2390</v>
      </c>
      <c r="I101" s="138"/>
    </row>
    <row r="102" spans="1:35" ht="18.75" customHeight="1">
      <c r="A102" s="3132" t="s">
        <v>2300</v>
      </c>
      <c r="B102" s="2513" t="s">
        <v>2299</v>
      </c>
      <c r="C102" s="735">
        <f ca="1">C19</f>
        <v>2452</v>
      </c>
      <c r="D102" s="736">
        <f ca="1">D19</f>
        <v>2327</v>
      </c>
      <c r="E102" s="3102"/>
      <c r="F102" s="3103"/>
      <c r="G102" s="2513" t="s">
        <v>2301</v>
      </c>
      <c r="H102" s="371">
        <f ca="1">I118</f>
        <v>1071</v>
      </c>
      <c r="I102" s="138"/>
    </row>
    <row r="103" spans="1:35" ht="42.75" customHeight="1">
      <c r="A103" s="3132"/>
      <c r="B103" s="2513" t="s">
        <v>2301</v>
      </c>
      <c r="C103" s="737">
        <f ca="1">C20</f>
        <v>7700</v>
      </c>
      <c r="D103" s="738">
        <f ca="1">D20</f>
        <v>7308</v>
      </c>
      <c r="E103" s="3096" t="s">
        <v>2302</v>
      </c>
      <c r="F103" s="3097"/>
      <c r="G103" s="2514" t="s">
        <v>2303</v>
      </c>
      <c r="H103" s="1043">
        <f>IF(D36="正常操作",H104+H105+H106,H105+H106)</f>
        <v>0</v>
      </c>
      <c r="I103" s="138"/>
    </row>
    <row r="104" spans="1:35" ht="18.75" customHeight="1">
      <c r="A104" s="3132" t="s">
        <v>2304</v>
      </c>
      <c r="B104" s="2515" t="s">
        <v>2299</v>
      </c>
      <c r="C104" s="739">
        <f ca="1">H118</f>
        <v>2390</v>
      </c>
      <c r="D104" s="740"/>
      <c r="E104" s="2259" t="s">
        <v>2305</v>
      </c>
      <c r="F104" s="2251"/>
      <c r="G104" s="2514" t="s">
        <v>2303</v>
      </c>
      <c r="H104" s="1044">
        <f>IF(D36="同一抵押权人同一抵押物续贷",C36&amp;"（未扣减，详见特别提示）",C36)</f>
        <v>0</v>
      </c>
      <c r="I104" s="138"/>
    </row>
    <row r="105" spans="1:35" ht="18.75" customHeight="1" thickBot="1">
      <c r="A105" s="3144"/>
      <c r="B105" s="2516" t="s">
        <v>2301</v>
      </c>
      <c r="C105" s="741">
        <f ca="1">I118</f>
        <v>1071</v>
      </c>
      <c r="D105" s="742"/>
      <c r="E105" s="2259" t="s">
        <v>2306</v>
      </c>
      <c r="F105" s="2251"/>
      <c r="G105" s="2514" t="s">
        <v>2303</v>
      </c>
      <c r="H105" s="1044">
        <f>C37</f>
        <v>0</v>
      </c>
      <c r="I105" s="138"/>
    </row>
    <row r="106" spans="1:35" ht="18.75" customHeight="1">
      <c r="A106" s="2411" t="s">
        <v>2307</v>
      </c>
      <c r="B106" s="2411"/>
      <c r="C106" s="2411"/>
      <c r="D106" s="2411"/>
      <c r="E106" s="2517" t="s">
        <v>2308</v>
      </c>
      <c r="F106" s="2251"/>
      <c r="G106" s="2514" t="s">
        <v>2303</v>
      </c>
      <c r="H106" s="1044">
        <f>C38</f>
        <v>0</v>
      </c>
      <c r="I106" s="138"/>
    </row>
    <row r="107" spans="1:35" ht="18.75" customHeight="1">
      <c r="A107" s="138"/>
      <c r="B107" s="138"/>
      <c r="C107" s="138"/>
      <c r="D107" s="138"/>
      <c r="E107" s="3133" t="str">
        <f>IF(项目基本情况!E8="已注销","——","3.房地产抵押价值")</f>
        <v>3.房地产抵押价值</v>
      </c>
      <c r="F107" s="3103"/>
      <c r="G107" s="2513" t="s">
        <v>2299</v>
      </c>
      <c r="H107" s="1043">
        <f ca="1">IF(E107="——","——",H101-H103)</f>
        <v>2390</v>
      </c>
      <c r="I107" s="138"/>
    </row>
    <row r="108" spans="1:35" ht="18.75" customHeight="1">
      <c r="A108" s="138"/>
      <c r="B108" s="138"/>
      <c r="C108" s="138"/>
      <c r="D108" s="138"/>
      <c r="E108" s="3133"/>
      <c r="F108" s="3103"/>
      <c r="G108" s="2513" t="s">
        <v>2301</v>
      </c>
      <c r="H108" s="371">
        <f ca="1">ROUND(H107*10000/'数据-汇总表'!E3,0)</f>
        <v>1071</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13" t="s">
        <v>2299</v>
      </c>
      <c r="H109" s="348" t="str">
        <f>IF(E109="——","——",H101-H105-H106)</f>
        <v>——</v>
      </c>
      <c r="I109" s="138"/>
    </row>
    <row r="110" spans="1:35" ht="18.75" customHeight="1">
      <c r="A110" s="138"/>
      <c r="B110" s="138"/>
      <c r="C110" s="138"/>
      <c r="D110" s="138"/>
      <c r="E110" s="3133"/>
      <c r="F110" s="3103"/>
      <c r="G110" s="2513"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3" t="s">
        <v>2299</v>
      </c>
      <c r="H111" s="1043" t="str">
        <f>IF(E111="——","——",N59)</f>
        <v>——</v>
      </c>
      <c r="I111" s="138"/>
    </row>
    <row r="112" spans="1:35" ht="18.75" customHeight="1" thickBot="1">
      <c r="A112" s="138"/>
      <c r="B112" s="138"/>
      <c r="C112" s="138"/>
      <c r="D112" s="138"/>
      <c r="E112" s="3136"/>
      <c r="F112" s="3137"/>
      <c r="G112" s="2518" t="s">
        <v>2301</v>
      </c>
      <c r="H112" s="789" t="str">
        <f>IF(E111="——","——",N61)</f>
        <v>——</v>
      </c>
      <c r="I112" s="138"/>
    </row>
    <row r="113" spans="1:11" ht="18.75" customHeight="1">
      <c r="A113" s="138"/>
      <c r="B113" s="138"/>
      <c r="C113" s="138"/>
      <c r="D113" s="138"/>
      <c r="E113" s="3145" t="s">
        <v>2307</v>
      </c>
      <c r="F113" s="3145"/>
      <c r="G113" s="3145"/>
      <c r="H113" s="3145"/>
      <c r="I113" s="138"/>
    </row>
    <row r="114" spans="1:11" ht="3.75" customHeight="1">
      <c r="A114" s="2411"/>
      <c r="B114" s="2411"/>
      <c r="C114" s="2411"/>
      <c r="D114" s="2411"/>
      <c r="E114" s="2489"/>
      <c r="F114" s="2489"/>
      <c r="G114" s="2489"/>
      <c r="H114" s="2489"/>
      <c r="I114" s="2411"/>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2973" t="s">
        <v>2316</v>
      </c>
      <c r="E117" s="2973" t="s">
        <v>2317</v>
      </c>
      <c r="F117" s="2973" t="s">
        <v>2316</v>
      </c>
      <c r="G117" s="2973" t="s">
        <v>2318</v>
      </c>
      <c r="H117" s="2973" t="s">
        <v>2316</v>
      </c>
      <c r="I117" s="2973" t="s">
        <v>2318</v>
      </c>
    </row>
    <row r="118" spans="1:11" ht="24.75" customHeight="1">
      <c r="A118" s="2519" t="str">
        <f>项目基本情况!S2</f>
        <v>北京市诺德中心三期出让国有建设用地使用权及在建建筑物房地产</v>
      </c>
      <c r="B118" s="2973">
        <f>M18</f>
        <v>22318.329999999998</v>
      </c>
      <c r="C118" s="2973">
        <f>M19</f>
        <v>0</v>
      </c>
      <c r="D118" s="2973" t="e">
        <f ca="1">ROUND(IF(D32="总价",C34,E118*B118/10000),0)</f>
        <v>#DIV/0!</v>
      </c>
      <c r="E118" s="2973" t="e">
        <f ca="1">ROUND(IF(C33="自定义",IF(D32="楼面单价",C34,D118*10000/B118),I118-G118),0)</f>
        <v>#DIV/0!</v>
      </c>
      <c r="F118" s="2973" t="e">
        <f ca="1">ROUND(IF(D32="总价",C35,G118*B118/10000),0)</f>
        <v>#DIV/0!</v>
      </c>
      <c r="G118" s="2973" t="e">
        <f ca="1">ROUND(IF(D32="楼面单价",C35,F118*10000/B118),0)</f>
        <v>#DIV/0!</v>
      </c>
      <c r="H118" s="2973">
        <f ca="1">ROUND(IF(D32="总价",C32,I118*B118/10000),0)</f>
        <v>2390</v>
      </c>
      <c r="I118" s="2973">
        <f ca="1">ROUND(IF(D32="楼面单价",C32,H118*10000/B118),0)</f>
        <v>1071</v>
      </c>
    </row>
    <row r="119" spans="1:11" ht="18.75" customHeight="1">
      <c r="A119" s="3069" t="s">
        <v>2319</v>
      </c>
      <c r="B119" s="3069"/>
      <c r="C119" s="3069"/>
      <c r="D119" s="3114" t="e">
        <f ca="1">NUMBERSTRING(INT(D118*10000),2)&amp;"元整"</f>
        <v>#DIV/0!</v>
      </c>
      <c r="E119" s="3115"/>
      <c r="F119" s="3114" t="e">
        <f ca="1">NUMBERSTRING(INT(F118*10000),2)&amp;"元整"</f>
        <v>#DIV/0!</v>
      </c>
      <c r="G119" s="3115"/>
      <c r="H119" s="3114" t="str">
        <f ca="1">NUMBERSTRING(INT(H118*10000),2)&amp;"元整"</f>
        <v>贰仟叁佰玖拾万元整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6"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2390</v>
      </c>
      <c r="E122" s="3110"/>
      <c r="F122" s="3110"/>
      <c r="G122" s="3110"/>
      <c r="H122" s="3110"/>
      <c r="I122" s="3111"/>
    </row>
    <row r="123" spans="1:11" ht="18.75" customHeight="1">
      <c r="A123" s="3069" t="s">
        <v>2319</v>
      </c>
      <c r="B123" s="3069"/>
      <c r="C123" s="3069"/>
      <c r="D123" s="3114" t="str">
        <f ca="1">NUMBERSTRING(INT(D122*10000),2)&amp;"元整"</f>
        <v>贰仟叁佰玖拾万元整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0" t="s">
        <v>2321</v>
      </c>
      <c r="B129" s="2521"/>
      <c r="C129" s="2522" t="s">
        <v>2322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2323</v>
      </c>
      <c r="G135" s="2537"/>
      <c r="H135" s="2537"/>
      <c r="I135" s="2538" t="s">
        <v>2324</v>
      </c>
    </row>
    <row r="136" spans="1:35" ht="21.75" customHeight="1">
      <c r="A136" s="794"/>
      <c r="B136" s="2539"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2326</v>
      </c>
    </row>
    <row r="139" spans="1:35" ht="21.75" customHeight="1">
      <c r="A139" s="794"/>
      <c r="B139" s="2539" t="s">
        <v>2327</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2326</v>
      </c>
    </row>
    <row r="142" spans="1:35" ht="21.75" customHeight="1">
      <c r="A142" s="794"/>
      <c r="B142" s="2539"/>
      <c r="C142" s="2540"/>
      <c r="D142" s="2541"/>
      <c r="E142" s="2541"/>
      <c r="F142" s="2333"/>
      <c r="G142" s="794"/>
      <c r="H142" s="794"/>
      <c r="I142" s="794"/>
    </row>
    <row r="143" spans="1:35" s="139"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61" priority="10" stopIfTrue="1" operator="equal">
      <formula>25</formula>
    </cfRule>
  </conditionalFormatting>
  <conditionalFormatting sqref="C8:C9">
    <cfRule type="cellIs" dxfId="60" priority="9" stopIfTrue="1" operator="equal">
      <formula>15</formula>
    </cfRule>
  </conditionalFormatting>
  <conditionalFormatting sqref="C14:C16">
    <cfRule type="cellIs" dxfId="59" priority="8" stopIfTrue="1" operator="equal">
      <formula>30</formula>
    </cfRule>
  </conditionalFormatting>
  <conditionalFormatting sqref="D5:D7">
    <cfRule type="cellIs" dxfId="58" priority="7" stopIfTrue="1" operator="equal">
      <formula>25</formula>
    </cfRule>
  </conditionalFormatting>
  <conditionalFormatting sqref="D8:D9">
    <cfRule type="cellIs" dxfId="57" priority="6" stopIfTrue="1" operator="equal">
      <formula>15</formula>
    </cfRule>
  </conditionalFormatting>
  <conditionalFormatting sqref="C10:D13">
    <cfRule type="cellIs" dxfId="56" priority="5" stopIfTrue="1" operator="equal">
      <formula>15</formula>
    </cfRule>
  </conditionalFormatting>
  <conditionalFormatting sqref="D14:D16">
    <cfRule type="cellIs" dxfId="55" priority="4" stopIfTrue="1" operator="equal">
      <formula>30</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E36">
    <cfRule type="expression" dxfId="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I37" sqref="I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t="s">
        <v>3252</v>
      </c>
      <c r="C1" s="1617" t="s">
        <v>2529</v>
      </c>
      <c r="D1" s="1618" t="s">
        <v>48</v>
      </c>
      <c r="E1" s="1619"/>
      <c r="F1" s="2579" t="s">
        <v>3280</v>
      </c>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6">
        <f>IF(C2="——",IF(B37="元/平方米",ROUND(C39*D3/10000,0),ROUND(F3*C39/10000,0)),IF(B37="元/平方米",ROUND(C39*D3/10000,0),ROUND(F3*C39/10000,0))-D2)</f>
        <v>2452</v>
      </c>
      <c r="C2" s="2581" t="s">
        <v>70</v>
      </c>
      <c r="D2" s="1122">
        <f ca="1">SUMIF(INDIRECT("'"&amp;F2&amp;"'"&amp;"!A:A"),"承租人权益价值",INDIRECT("'"&amp;F2&amp;"'"&amp;"!c:c"))</f>
        <v>0</v>
      </c>
      <c r="E2" s="2582" t="s">
        <v>2330</v>
      </c>
      <c r="F2" s="2583" t="s">
        <v>3172</v>
      </c>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2331</v>
      </c>
      <c r="B3" s="608">
        <f>IF(AND(C2="——",B37="元/平方米"),C39,ROUND(B2*10000/D3,0))</f>
        <v>7700</v>
      </c>
      <c r="C3" s="400" t="s">
        <v>2643</v>
      </c>
      <c r="D3" s="399">
        <f>SUMIF('数据-汇总表'!$C19:$C33,D1,'数据-汇总表'!$E19:$E33)</f>
        <v>3184.2</v>
      </c>
      <c r="E3" s="400" t="s">
        <v>2707</v>
      </c>
      <c r="F3" s="399">
        <f>SUMIF('数据-取费表'!A5:A15,D1,'数据-取费表'!AH5:AH15)</f>
        <v>77</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190" t="s">
        <v>2647</v>
      </c>
      <c r="AC4" s="3189" t="s">
        <v>2648</v>
      </c>
    </row>
    <row r="5" spans="1:29" ht="15">
      <c r="A5" s="404"/>
      <c r="B5" s="405"/>
      <c r="C5" s="3200" t="s">
        <v>2541</v>
      </c>
      <c r="D5" s="3201"/>
      <c r="E5" s="3198" t="s">
        <v>2542</v>
      </c>
      <c r="F5" s="3199"/>
      <c r="G5" s="3200" t="s">
        <v>2543</v>
      </c>
      <c r="H5" s="3201"/>
      <c r="I5" s="3200" t="s">
        <v>2544</v>
      </c>
      <c r="J5" s="3201"/>
      <c r="K5" s="609"/>
      <c r="L5" s="1128"/>
      <c r="M5" s="1129"/>
      <c r="N5" s="1129"/>
      <c r="O5" s="1129"/>
      <c r="P5" s="3213"/>
      <c r="Q5" s="3214"/>
      <c r="R5" s="3196"/>
      <c r="S5" s="3197"/>
      <c r="T5" s="3196"/>
      <c r="U5" s="3197"/>
      <c r="V5" s="3219"/>
      <c r="W5" s="3219"/>
      <c r="X5" s="1810"/>
      <c r="Y5" s="3196"/>
      <c r="Z5" s="3197"/>
      <c r="AA5" s="3190"/>
      <c r="AB5" s="3190"/>
      <c r="AC5" s="3190"/>
    </row>
    <row r="6" spans="1:29" ht="15.75" thickBot="1">
      <c r="A6" s="406"/>
      <c r="B6" s="407"/>
      <c r="C6" s="3202" t="s">
        <v>2545</v>
      </c>
      <c r="D6" s="3203"/>
      <c r="E6" s="3204" t="s">
        <v>2545</v>
      </c>
      <c r="F6" s="3205"/>
      <c r="G6" s="3202" t="s">
        <v>2545</v>
      </c>
      <c r="H6" s="3203"/>
      <c r="I6" s="3202" t="s">
        <v>2545</v>
      </c>
      <c r="J6" s="3203"/>
      <c r="K6" s="609" t="s">
        <v>2546</v>
      </c>
      <c r="L6" s="1128"/>
      <c r="M6" s="1129"/>
      <c r="N6" s="1129"/>
      <c r="O6" s="1129"/>
      <c r="P6" s="3215"/>
      <c r="Q6" s="3216"/>
      <c r="R6" s="3196"/>
      <c r="S6" s="3197"/>
      <c r="T6" s="3217"/>
      <c r="U6" s="3218"/>
      <c r="V6" s="3219"/>
      <c r="W6" s="3219"/>
      <c r="X6" s="1810"/>
      <c r="Y6" s="3217"/>
      <c r="Z6" s="3218"/>
      <c r="AA6" s="3191"/>
      <c r="AB6" s="3191"/>
      <c r="AC6" s="3191"/>
    </row>
    <row r="7" spans="1:29" s="117" customFormat="1" ht="15.75" thickBot="1">
      <c r="A7" s="408" t="s">
        <v>2547</v>
      </c>
      <c r="B7" s="409"/>
      <c r="C7" s="410">
        <f>'数据-取费表'!B2</f>
        <v>43539</v>
      </c>
      <c r="D7" s="411">
        <v>100</v>
      </c>
      <c r="E7" s="412">
        <v>43525</v>
      </c>
      <c r="F7" s="413">
        <f>SUMIF(48:48,YEAR(E7)&amp;"-"&amp;MONTH(E7),49:49)</f>
        <v>100</v>
      </c>
      <c r="G7" s="412">
        <v>43525</v>
      </c>
      <c r="H7" s="411">
        <f>SUMIF(48:48,YEAR(G7)&amp;"-"&amp;MONTH(G7),49:49)</f>
        <v>100</v>
      </c>
      <c r="I7" s="412">
        <v>43525</v>
      </c>
      <c r="J7" s="411">
        <f>SUMIF(48:48,YEAR(I7)&amp;"-"&amp;MONTH(I7),49:49)</f>
        <v>100</v>
      </c>
      <c r="K7" s="610"/>
      <c r="L7" s="1130"/>
      <c r="M7" s="1131"/>
      <c r="N7" s="1131"/>
      <c r="O7" s="1131"/>
      <c r="P7" s="3192" t="s">
        <v>2548</v>
      </c>
      <c r="Q7" s="3220"/>
      <c r="R7" s="769" t="s">
        <v>17</v>
      </c>
      <c r="S7" s="770">
        <f t="shared" ref="S7:S14" si="0">F7</f>
        <v>100</v>
      </c>
      <c r="T7" s="769" t="s">
        <v>17</v>
      </c>
      <c r="U7" s="770">
        <f t="shared" ref="U7:U14" si="1">H7</f>
        <v>100</v>
      </c>
      <c r="V7" s="769" t="s">
        <v>17</v>
      </c>
      <c r="W7" s="770">
        <f t="shared" ref="W7:W14" si="2">J7</f>
        <v>100</v>
      </c>
      <c r="X7" s="771"/>
      <c r="Y7" s="3192" t="s">
        <v>2548</v>
      </c>
      <c r="Z7" s="3193"/>
      <c r="AA7" s="772">
        <f>D7/F7</f>
        <v>1</v>
      </c>
      <c r="AB7" s="772">
        <f>D7/H7</f>
        <v>1</v>
      </c>
      <c r="AC7" s="772">
        <f>D7/J7</f>
        <v>1</v>
      </c>
    </row>
    <row r="8" spans="1:29" s="117" customFormat="1" ht="15.75" thickBot="1">
      <c r="A8" s="408" t="s">
        <v>2549</v>
      </c>
      <c r="B8" s="409"/>
      <c r="C8" s="414" t="s">
        <v>2651</v>
      </c>
      <c r="D8" s="411">
        <v>100</v>
      </c>
      <c r="E8" s="414" t="s">
        <v>2586</v>
      </c>
      <c r="F8" s="413">
        <f>SUMIF(51:51,E8,52:52)-SUMIF(51:51,C8,52:52)+100</f>
        <v>100</v>
      </c>
      <c r="G8" s="414" t="s">
        <v>2586</v>
      </c>
      <c r="H8" s="411">
        <f>SUMIF(51:51,G8,52:52)-SUMIF(51:51,C8,52:52)+100</f>
        <v>100</v>
      </c>
      <c r="I8" s="414" t="s">
        <v>2586</v>
      </c>
      <c r="J8" s="411">
        <f>SUMIF(51:51,I8,52:52)-SUMIF(51:51,C8,52:52)+100</f>
        <v>100</v>
      </c>
      <c r="K8" s="610"/>
      <c r="L8" s="1130"/>
      <c r="M8" s="1131"/>
      <c r="N8" s="1131"/>
      <c r="O8" s="1131"/>
      <c r="P8" s="3192" t="s">
        <v>2551</v>
      </c>
      <c r="Q8" s="3193"/>
      <c r="R8" s="769" t="s">
        <v>17</v>
      </c>
      <c r="S8" s="770">
        <f t="shared" si="0"/>
        <v>100</v>
      </c>
      <c r="T8" s="769" t="s">
        <v>17</v>
      </c>
      <c r="U8" s="770">
        <f t="shared" si="1"/>
        <v>100</v>
      </c>
      <c r="V8" s="769" t="s">
        <v>17</v>
      </c>
      <c r="W8" s="770">
        <f t="shared" si="2"/>
        <v>100</v>
      </c>
      <c r="X8" s="771"/>
      <c r="Y8" s="3192" t="s">
        <v>2551</v>
      </c>
      <c r="Z8" s="3193"/>
      <c r="AA8" s="772">
        <f t="shared" ref="AA8:AA36" si="3">D8/F8</f>
        <v>1</v>
      </c>
      <c r="AB8" s="772">
        <f t="shared" ref="AB8:AB36" si="4">D8/H8</f>
        <v>1</v>
      </c>
      <c r="AC8" s="772">
        <f t="shared" ref="AC8:AC36" si="5">D8/J8</f>
        <v>1</v>
      </c>
    </row>
    <row r="9" spans="1:29" s="117" customFormat="1">
      <c r="A9" s="68" t="s">
        <v>2552</v>
      </c>
      <c r="B9" s="639" t="s">
        <v>2553</v>
      </c>
      <c r="C9" s="416"/>
      <c r="D9" s="135">
        <v>100</v>
      </c>
      <c r="E9" s="419"/>
      <c r="F9" s="135">
        <f>SUMIF(53:53,E9,54:54)-SUMIF(53:53,C9,54:54)+100</f>
        <v>100</v>
      </c>
      <c r="G9" s="417"/>
      <c r="H9" s="135">
        <f>SUMIF(53:53,G9,54:54)-SUMIF(53:53,C9,54:54)+100</f>
        <v>100</v>
      </c>
      <c r="I9" s="417"/>
      <c r="J9" s="135">
        <f>SUMIF(53:53,I9,54:54)-SUMIF(53:53,C9,54:54)+100</f>
        <v>100</v>
      </c>
      <c r="K9" s="610"/>
      <c r="L9" s="1130"/>
      <c r="M9" s="1131"/>
      <c r="N9" s="1131"/>
      <c r="O9" s="1131"/>
      <c r="P9" s="3206" t="s">
        <v>2554</v>
      </c>
      <c r="Q9" s="1792" t="str">
        <f t="shared" ref="Q9:Q14" si="6">B9</f>
        <v>用途</v>
      </c>
      <c r="R9" s="769" t="s">
        <v>17</v>
      </c>
      <c r="S9" s="770">
        <f t="shared" si="0"/>
        <v>100</v>
      </c>
      <c r="T9" s="769" t="s">
        <v>17</v>
      </c>
      <c r="U9" s="770">
        <f t="shared" si="1"/>
        <v>100</v>
      </c>
      <c r="V9" s="769" t="s">
        <v>17</v>
      </c>
      <c r="W9" s="770">
        <f t="shared" si="2"/>
        <v>100</v>
      </c>
      <c r="X9" s="771"/>
      <c r="Y9" s="3069" t="s">
        <v>2555</v>
      </c>
      <c r="Z9" s="55" t="str">
        <f t="shared" ref="Z9:Z14" si="7">Q9</f>
        <v>用途</v>
      </c>
      <c r="AA9" s="772">
        <f t="shared" si="3"/>
        <v>1</v>
      </c>
      <c r="AB9" s="772">
        <f t="shared" si="4"/>
        <v>1</v>
      </c>
      <c r="AC9" s="772">
        <f t="shared" si="5"/>
        <v>1</v>
      </c>
    </row>
    <row r="10" spans="1:29" s="426" customFormat="1" ht="27">
      <c r="A10" s="640"/>
      <c r="B10" s="641" t="s">
        <v>2556</v>
      </c>
      <c r="C10" s="422"/>
      <c r="D10" s="136">
        <v>100</v>
      </c>
      <c r="E10" s="422"/>
      <c r="F10" s="136">
        <f>SUMIF(55:55,E10,56:56)-SUMIF(55:55,C10,56:56)+100</f>
        <v>100</v>
      </c>
      <c r="G10" s="423"/>
      <c r="H10" s="136">
        <f>SUMIF(55:55,G10,56:56)-SUMIF(55:55,C10,56:56)+100</f>
        <v>100</v>
      </c>
      <c r="I10" s="422"/>
      <c r="J10" s="136">
        <f>SUMIF(55:55,I10,56:56)-SUMIF(55:55,C10,56:56)+100</f>
        <v>100</v>
      </c>
      <c r="K10" s="611"/>
      <c r="L10" s="1133"/>
      <c r="M10" s="1134"/>
      <c r="N10" s="1134"/>
      <c r="O10" s="1134"/>
      <c r="P10" s="3206"/>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6"/>
      <c r="M11" s="1129"/>
      <c r="N11" s="1129"/>
      <c r="O11" s="1129"/>
      <c r="P11" s="3206"/>
      <c r="Q11" s="1792">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0"/>
      <c r="M12" s="1131"/>
      <c r="N12" s="1131"/>
      <c r="O12" s="1131"/>
      <c r="P12" s="3206"/>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8"/>
      <c r="M13" s="1129"/>
      <c r="N13" s="1129"/>
      <c r="O13" s="1129"/>
      <c r="P13" s="3206"/>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85.5">
      <c r="A14" s="401" t="s">
        <v>2558</v>
      </c>
      <c r="B14" s="628" t="s">
        <v>2708</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1" t="s">
        <v>2559</v>
      </c>
      <c r="Q14" s="1807" t="str">
        <f t="shared" si="6"/>
        <v>交通便捷度</v>
      </c>
      <c r="R14" s="773" t="s">
        <v>17</v>
      </c>
      <c r="S14" s="774">
        <f t="shared" si="0"/>
        <v>100</v>
      </c>
      <c r="T14" s="773" t="s">
        <v>17</v>
      </c>
      <c r="U14" s="774">
        <f t="shared" si="1"/>
        <v>100</v>
      </c>
      <c r="V14" s="773" t="s">
        <v>17</v>
      </c>
      <c r="W14" s="774">
        <f t="shared" si="2"/>
        <v>100</v>
      </c>
      <c r="X14" s="1810"/>
      <c r="Y14" s="3221" t="s">
        <v>2559</v>
      </c>
      <c r="Z14" s="1811" t="str">
        <f t="shared" si="7"/>
        <v>交通便捷度</v>
      </c>
      <c r="AA14" s="1808">
        <f t="shared" si="3"/>
        <v>1</v>
      </c>
      <c r="AB14" s="1808">
        <f t="shared" si="4"/>
        <v>1</v>
      </c>
      <c r="AC14" s="1808">
        <f t="shared" si="5"/>
        <v>1</v>
      </c>
    </row>
    <row r="15" spans="1:29" ht="15">
      <c r="A15" s="404"/>
      <c r="B15" s="646"/>
      <c r="C15" s="446"/>
      <c r="D15" s="447"/>
      <c r="E15" s="446"/>
      <c r="F15" s="448"/>
      <c r="G15" s="446"/>
      <c r="H15" s="449"/>
      <c r="I15" s="446"/>
      <c r="J15" s="447"/>
      <c r="K15" s="614"/>
      <c r="L15" s="1138"/>
      <c r="M15" s="1129"/>
      <c r="N15" s="1129"/>
      <c r="O15" s="1129"/>
      <c r="P15" s="3222"/>
      <c r="Q15" s="1807"/>
      <c r="R15" s="773"/>
      <c r="S15" s="774"/>
      <c r="T15" s="773"/>
      <c r="U15" s="774"/>
      <c r="V15" s="773"/>
      <c r="W15" s="774"/>
      <c r="X15" s="1810"/>
      <c r="Y15" s="3222"/>
      <c r="Z15" s="1811"/>
      <c r="AA15" s="1808">
        <v>1</v>
      </c>
      <c r="AB15" s="1808">
        <v>1</v>
      </c>
      <c r="AC15" s="1808">
        <v>1</v>
      </c>
    </row>
    <row r="16" spans="1:29" ht="42.75">
      <c r="A16" s="404"/>
      <c r="B16" s="630" t="s">
        <v>2687</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2"/>
      <c r="Q16" s="1807" t="str">
        <f>B16</f>
        <v>公共配套设施</v>
      </c>
      <c r="R16" s="773" t="s">
        <v>17</v>
      </c>
      <c r="S16" s="774">
        <f>F16</f>
        <v>100</v>
      </c>
      <c r="T16" s="773" t="s">
        <v>17</v>
      </c>
      <c r="U16" s="774">
        <f>H16</f>
        <v>100</v>
      </c>
      <c r="V16" s="773" t="s">
        <v>17</v>
      </c>
      <c r="W16" s="774">
        <f>J16</f>
        <v>100</v>
      </c>
      <c r="X16" s="1810"/>
      <c r="Y16" s="3222"/>
      <c r="Z16" s="1811" t="str">
        <f>Q16</f>
        <v>公共配套设施</v>
      </c>
      <c r="AA16" s="1808">
        <f t="shared" si="3"/>
        <v>1</v>
      </c>
      <c r="AB16" s="1808">
        <f t="shared" si="4"/>
        <v>1</v>
      </c>
      <c r="AC16" s="1808">
        <f t="shared" si="5"/>
        <v>1</v>
      </c>
    </row>
    <row r="17" spans="1:29" ht="15">
      <c r="A17" s="404"/>
      <c r="B17" s="631"/>
      <c r="C17" s="2603"/>
      <c r="D17" s="447"/>
      <c r="E17" s="446"/>
      <c r="F17" s="448"/>
      <c r="G17" s="446"/>
      <c r="H17" s="447"/>
      <c r="I17" s="446"/>
      <c r="J17" s="447"/>
      <c r="K17" s="614"/>
      <c r="L17" s="1138"/>
      <c r="M17" s="1129"/>
      <c r="N17" s="1129"/>
      <c r="O17" s="1129"/>
      <c r="P17" s="3222"/>
      <c r="Q17" s="1807"/>
      <c r="R17" s="773"/>
      <c r="S17" s="774"/>
      <c r="T17" s="773"/>
      <c r="U17" s="774"/>
      <c r="V17" s="773"/>
      <c r="W17" s="774"/>
      <c r="X17" s="1810"/>
      <c r="Y17" s="3222"/>
      <c r="Z17" s="1811"/>
      <c r="AA17" s="1808">
        <v>1</v>
      </c>
      <c r="AB17" s="1808">
        <v>1</v>
      </c>
      <c r="AC17" s="1808">
        <v>1</v>
      </c>
    </row>
    <row r="18" spans="1:29" ht="28.5">
      <c r="A18" s="404"/>
      <c r="B18" s="632" t="s">
        <v>2688</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2"/>
      <c r="Q18" s="1807" t="str">
        <f>B18</f>
        <v>基础设施水平</v>
      </c>
      <c r="R18" s="773" t="s">
        <v>17</v>
      </c>
      <c r="S18" s="774">
        <f>F18</f>
        <v>100</v>
      </c>
      <c r="T18" s="773" t="s">
        <v>17</v>
      </c>
      <c r="U18" s="774">
        <f>H18</f>
        <v>100</v>
      </c>
      <c r="V18" s="773" t="s">
        <v>17</v>
      </c>
      <c r="W18" s="774">
        <f>J18</f>
        <v>100</v>
      </c>
      <c r="X18" s="1810"/>
      <c r="Y18" s="3222"/>
      <c r="Z18" s="1811" t="str">
        <f>Q18</f>
        <v>基础设施水平</v>
      </c>
      <c r="AA18" s="1808">
        <f t="shared" ref="AA18" si="8">D18/F18</f>
        <v>1</v>
      </c>
      <c r="AB18" s="1808">
        <f t="shared" ref="AB18" si="9">D18/H18</f>
        <v>1</v>
      </c>
      <c r="AC18" s="1808">
        <f t="shared" ref="AC18" si="10">D18/J18</f>
        <v>1</v>
      </c>
    </row>
    <row r="19" spans="1:29" ht="15">
      <c r="A19" s="404"/>
      <c r="B19" s="632"/>
      <c r="C19" s="2603"/>
      <c r="D19" s="449"/>
      <c r="E19" s="2603"/>
      <c r="F19" s="452"/>
      <c r="G19" s="2603"/>
      <c r="H19" s="447"/>
      <c r="I19" s="446"/>
      <c r="J19" s="447"/>
      <c r="K19" s="1381"/>
      <c r="L19" s="1138"/>
      <c r="M19" s="1129"/>
      <c r="N19" s="1129"/>
      <c r="O19" s="1129"/>
      <c r="P19" s="3222"/>
      <c r="Q19" s="1807"/>
      <c r="R19" s="773"/>
      <c r="S19" s="774"/>
      <c r="T19" s="773"/>
      <c r="U19" s="774"/>
      <c r="V19" s="773"/>
      <c r="W19" s="774"/>
      <c r="X19" s="1810"/>
      <c r="Y19" s="3222"/>
      <c r="Z19" s="1811"/>
      <c r="AA19" s="1808">
        <v>1</v>
      </c>
      <c r="AB19" s="1808">
        <v>1</v>
      </c>
      <c r="AC19" s="1808">
        <v>1</v>
      </c>
    </row>
    <row r="20" spans="1:29" ht="57">
      <c r="A20" s="404"/>
      <c r="B20" s="630" t="s">
        <v>2709</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2"/>
      <c r="Q20" s="1807" t="str">
        <f>B20</f>
        <v>自然及人文环境</v>
      </c>
      <c r="R20" s="773" t="s">
        <v>17</v>
      </c>
      <c r="S20" s="774">
        <f>F20</f>
        <v>100</v>
      </c>
      <c r="T20" s="773" t="s">
        <v>17</v>
      </c>
      <c r="U20" s="774">
        <f>H20</f>
        <v>100</v>
      </c>
      <c r="V20" s="773" t="s">
        <v>17</v>
      </c>
      <c r="W20" s="774">
        <f>J20</f>
        <v>100</v>
      </c>
      <c r="X20" s="1810"/>
      <c r="Y20" s="3222"/>
      <c r="Z20" s="1811" t="str">
        <f>Q20</f>
        <v>自然及人文环境</v>
      </c>
      <c r="AA20" s="1808">
        <f t="shared" si="3"/>
        <v>1</v>
      </c>
      <c r="AB20" s="1808">
        <f t="shared" si="4"/>
        <v>1</v>
      </c>
      <c r="AC20" s="1808">
        <f t="shared" si="5"/>
        <v>1</v>
      </c>
    </row>
    <row r="21" spans="1:29" ht="15">
      <c r="A21" s="404"/>
      <c r="B21" s="631"/>
      <c r="C21" s="446"/>
      <c r="D21" s="447"/>
      <c r="E21" s="446"/>
      <c r="F21" s="448"/>
      <c r="G21" s="446"/>
      <c r="H21" s="447"/>
      <c r="I21" s="446"/>
      <c r="J21" s="447"/>
      <c r="K21" s="614"/>
      <c r="L21" s="1138"/>
      <c r="M21" s="1129"/>
      <c r="N21" s="1129"/>
      <c r="O21" s="1129"/>
      <c r="P21" s="3222"/>
      <c r="Q21" s="1807"/>
      <c r="R21" s="773"/>
      <c r="S21" s="774"/>
      <c r="T21" s="773"/>
      <c r="U21" s="774"/>
      <c r="V21" s="773"/>
      <c r="W21" s="774"/>
      <c r="X21" s="1810"/>
      <c r="Y21" s="3222"/>
      <c r="Z21" s="1811"/>
      <c r="AA21" s="1808">
        <v>1</v>
      </c>
      <c r="AB21" s="1808">
        <v>1</v>
      </c>
      <c r="AC21" s="1808">
        <v>1</v>
      </c>
    </row>
    <row r="22" spans="1:29" ht="15">
      <c r="A22" s="404"/>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2"/>
      <c r="Q22" s="1807" t="str">
        <f>B22</f>
        <v>楼层</v>
      </c>
      <c r="R22" s="773" t="s">
        <v>17</v>
      </c>
      <c r="S22" s="774">
        <f>F22</f>
        <v>100</v>
      </c>
      <c r="T22" s="773" t="s">
        <v>17</v>
      </c>
      <c r="U22" s="774">
        <f>H22</f>
        <v>100</v>
      </c>
      <c r="V22" s="773" t="s">
        <v>17</v>
      </c>
      <c r="W22" s="774">
        <f>J22</f>
        <v>100</v>
      </c>
      <c r="X22" s="1810"/>
      <c r="Y22" s="3222"/>
      <c r="Z22" s="1811" t="str">
        <f>Q22</f>
        <v>楼层</v>
      </c>
      <c r="AA22" s="1808">
        <f t="shared" si="3"/>
        <v>1</v>
      </c>
      <c r="AB22" s="1808">
        <f t="shared" si="4"/>
        <v>1</v>
      </c>
      <c r="AC22" s="1808">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2"/>
      <c r="Q23" s="1807">
        <f>B23</f>
        <v>111</v>
      </c>
      <c r="R23" s="773" t="s">
        <v>17</v>
      </c>
      <c r="S23" s="774">
        <f>F23</f>
        <v>100</v>
      </c>
      <c r="T23" s="773" t="s">
        <v>17</v>
      </c>
      <c r="U23" s="774">
        <f>H23</f>
        <v>100</v>
      </c>
      <c r="V23" s="773" t="s">
        <v>17</v>
      </c>
      <c r="W23" s="774">
        <f>J23</f>
        <v>100</v>
      </c>
      <c r="X23" s="1810"/>
      <c r="Y23" s="3222"/>
      <c r="Z23" s="1811">
        <f>Q23</f>
        <v>111</v>
      </c>
      <c r="AA23" s="1808">
        <f t="shared" si="3"/>
        <v>1</v>
      </c>
      <c r="AB23" s="1808">
        <f t="shared" si="4"/>
        <v>1</v>
      </c>
      <c r="AC23" s="1808">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2"/>
      <c r="Q24" s="1807">
        <f t="shared" ref="Q24:Q36" si="11">B24</f>
        <v>111</v>
      </c>
      <c r="R24" s="773" t="s">
        <v>17</v>
      </c>
      <c r="S24" s="774">
        <f>F24</f>
        <v>100</v>
      </c>
      <c r="T24" s="773" t="s">
        <v>17</v>
      </c>
      <c r="U24" s="774">
        <f>H24</f>
        <v>100</v>
      </c>
      <c r="V24" s="773" t="s">
        <v>17</v>
      </c>
      <c r="W24" s="774">
        <f>J24</f>
        <v>100</v>
      </c>
      <c r="X24" s="1810"/>
      <c r="Y24" s="3222"/>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2"/>
      <c r="Q25" s="1792">
        <f t="shared" si="11"/>
        <v>111</v>
      </c>
      <c r="R25" s="769" t="s">
        <v>17</v>
      </c>
      <c r="S25" s="770">
        <f>F25</f>
        <v>100</v>
      </c>
      <c r="T25" s="769" t="s">
        <v>17</v>
      </c>
      <c r="U25" s="770">
        <f>H25</f>
        <v>100</v>
      </c>
      <c r="V25" s="769" t="s">
        <v>17</v>
      </c>
      <c r="W25" s="770">
        <f>J25</f>
        <v>100</v>
      </c>
      <c r="X25" s="771"/>
      <c r="Y25" s="3222"/>
      <c r="Z25" s="55">
        <f>Q25</f>
        <v>111</v>
      </c>
      <c r="AA25" s="1808">
        <f>D25/F25</f>
        <v>1</v>
      </c>
      <c r="AB25" s="1808">
        <f>D25/H25</f>
        <v>1</v>
      </c>
      <c r="AC25" s="1808">
        <f>D25/J25</f>
        <v>1</v>
      </c>
    </row>
    <row r="26" spans="1:29" ht="15">
      <c r="A26" s="651" t="s">
        <v>2562</v>
      </c>
      <c r="B26" s="70" t="s">
        <v>2711</v>
      </c>
      <c r="C26" s="2689" t="str">
        <f>B1</f>
        <v>车库</v>
      </c>
      <c r="D26" s="447">
        <v>100</v>
      </c>
      <c r="E26" s="446" t="s">
        <v>3252</v>
      </c>
      <c r="F26" s="448">
        <f>SUMIF(79:79,E26,80:80)-SUMIF(79:79,C26,80:80)+100</f>
        <v>100</v>
      </c>
      <c r="G26" s="446" t="s">
        <v>3252</v>
      </c>
      <c r="H26" s="447">
        <f>SUMIF(79:79,G26,80:80)-SUMIF(79:79,C26,80:80)+100</f>
        <v>100</v>
      </c>
      <c r="I26" s="446" t="s">
        <v>3252</v>
      </c>
      <c r="J26" s="447">
        <f>SUMIF(79:79,I26,80:80)-SUMIF(79:79,C26,80:80)+100</f>
        <v>100</v>
      </c>
      <c r="K26" s="611"/>
      <c r="L26" s="1138"/>
      <c r="M26" s="1129"/>
      <c r="N26" s="1129"/>
      <c r="O26" s="1129"/>
      <c r="P26" s="3223" t="s">
        <v>2564</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24" t="s">
        <v>2564</v>
      </c>
      <c r="Z26" s="1811" t="str">
        <f t="shared" ref="Z26:Z36" si="15">Q26</f>
        <v>配套类型</v>
      </c>
      <c r="AA26" s="1808">
        <f t="shared" si="3"/>
        <v>1</v>
      </c>
      <c r="AB26" s="1808">
        <f t="shared" si="4"/>
        <v>1</v>
      </c>
      <c r="AC26" s="1808">
        <f t="shared" si="5"/>
        <v>1</v>
      </c>
    </row>
    <row r="27" spans="1:29" s="470" customFormat="1" ht="15">
      <c r="A27" s="652"/>
      <c r="B27" s="653" t="s">
        <v>2712</v>
      </c>
      <c r="C27" s="654"/>
      <c r="D27" s="136">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08">
        <f t="shared" si="3"/>
        <v>1</v>
      </c>
      <c r="AB27" s="1808">
        <f t="shared" si="4"/>
        <v>1</v>
      </c>
      <c r="AC27" s="1808">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4"/>
      <c r="Q28" s="1807" t="str">
        <f t="shared" si="11"/>
        <v>公共部分装修</v>
      </c>
      <c r="R28" s="773" t="s">
        <v>17</v>
      </c>
      <c r="S28" s="774">
        <f t="shared" si="12"/>
        <v>100</v>
      </c>
      <c r="T28" s="773" t="s">
        <v>17</v>
      </c>
      <c r="U28" s="774">
        <f t="shared" si="13"/>
        <v>100</v>
      </c>
      <c r="V28" s="773" t="s">
        <v>17</v>
      </c>
      <c r="W28" s="774">
        <f t="shared" si="14"/>
        <v>100</v>
      </c>
      <c r="X28" s="1810"/>
      <c r="Y28" s="3224"/>
      <c r="Z28" s="1811" t="str">
        <f t="shared" si="15"/>
        <v>公共部分装修</v>
      </c>
      <c r="AA28" s="1808">
        <f t="shared" si="3"/>
        <v>1</v>
      </c>
      <c r="AB28" s="1808">
        <f t="shared" si="4"/>
        <v>1</v>
      </c>
      <c r="AC28" s="1808">
        <f t="shared" si="5"/>
        <v>1</v>
      </c>
    </row>
    <row r="29" spans="1:29" ht="15">
      <c r="A29" s="655"/>
      <c r="B29" s="653" t="s">
        <v>2714</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8"/>
      <c r="M29" s="1129"/>
      <c r="N29" s="1129"/>
      <c r="O29" s="1129"/>
      <c r="P29" s="3224"/>
      <c r="Q29" s="1807" t="str">
        <f t="shared" si="11"/>
        <v>成新率</v>
      </c>
      <c r="R29" s="773" t="s">
        <v>17</v>
      </c>
      <c r="S29" s="774">
        <f t="shared" si="12"/>
        <v>100</v>
      </c>
      <c r="T29" s="773" t="s">
        <v>17</v>
      </c>
      <c r="U29" s="774">
        <f t="shared" si="13"/>
        <v>100</v>
      </c>
      <c r="V29" s="773" t="s">
        <v>17</v>
      </c>
      <c r="W29" s="774">
        <f t="shared" si="14"/>
        <v>100</v>
      </c>
      <c r="X29" s="1810"/>
      <c r="Y29" s="3224"/>
      <c r="Z29" s="1811" t="str">
        <f t="shared" si="15"/>
        <v>成新率</v>
      </c>
      <c r="AA29" s="1808">
        <f t="shared" si="3"/>
        <v>1</v>
      </c>
      <c r="AB29" s="1808">
        <f t="shared" si="4"/>
        <v>1</v>
      </c>
      <c r="AC29" s="1808">
        <f t="shared" si="5"/>
        <v>1</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4"/>
      <c r="Q30" s="1807" t="str">
        <f t="shared" si="11"/>
        <v>物业等级</v>
      </c>
      <c r="R30" s="773" t="s">
        <v>17</v>
      </c>
      <c r="S30" s="774">
        <f t="shared" si="12"/>
        <v>100</v>
      </c>
      <c r="T30" s="773" t="s">
        <v>17</v>
      </c>
      <c r="U30" s="774">
        <f t="shared" si="13"/>
        <v>100</v>
      </c>
      <c r="V30" s="773" t="s">
        <v>17</v>
      </c>
      <c r="W30" s="774">
        <f t="shared" si="14"/>
        <v>100</v>
      </c>
      <c r="X30" s="1810"/>
      <c r="Y30" s="3224"/>
      <c r="Z30" s="1811" t="str">
        <f t="shared" si="15"/>
        <v>物业等级</v>
      </c>
      <c r="AA30" s="1808">
        <f t="shared" si="3"/>
        <v>1</v>
      </c>
      <c r="AB30" s="1808">
        <f t="shared" si="4"/>
        <v>1</v>
      </c>
      <c r="AC30" s="1808">
        <f t="shared" si="5"/>
        <v>1</v>
      </c>
    </row>
    <row r="31" spans="1:29" s="117" customFormat="1" ht="15">
      <c r="A31" s="657"/>
      <c r="B31" s="653" t="s">
        <v>2716</v>
      </c>
      <c r="C31" s="468"/>
      <c r="D31" s="136">
        <v>100</v>
      </c>
      <c r="E31" s="468"/>
      <c r="F31" s="460">
        <f>LOOKUP(E31,91:91,92:92)-LOOKUP(C31,91:91,92:92)+100</f>
        <v>100</v>
      </c>
      <c r="G31" s="468"/>
      <c r="H31" s="434">
        <f>LOOKUP(G31,91:91,92:92)-LOOKUP(C31,91:91,92:92)+100</f>
        <v>100</v>
      </c>
      <c r="I31" s="468"/>
      <c r="J31" s="434">
        <f>LOOKUP(I31,91:91,92:92)-LOOKUP(C31,91:91,92:92)+100</f>
        <v>100</v>
      </c>
      <c r="K31" s="611"/>
      <c r="L31" s="1130"/>
      <c r="M31" s="1131"/>
      <c r="N31" s="1131"/>
      <c r="O31" s="1131"/>
      <c r="P31" s="3224"/>
      <c r="Q31" s="1792" t="str">
        <f t="shared" si="11"/>
        <v>停车位面积</v>
      </c>
      <c r="R31" s="769" t="s">
        <v>17</v>
      </c>
      <c r="S31" s="770">
        <f t="shared" si="12"/>
        <v>100</v>
      </c>
      <c r="T31" s="769" t="s">
        <v>17</v>
      </c>
      <c r="U31" s="770">
        <f t="shared" si="13"/>
        <v>100</v>
      </c>
      <c r="V31" s="769" t="s">
        <v>17</v>
      </c>
      <c r="W31" s="770">
        <f t="shared" si="14"/>
        <v>100</v>
      </c>
      <c r="X31" s="771"/>
      <c r="Y31" s="3224"/>
      <c r="Z31" s="55" t="str">
        <f t="shared" si="15"/>
        <v>停车位面积</v>
      </c>
      <c r="AA31" s="772">
        <f t="shared" si="3"/>
        <v>1</v>
      </c>
      <c r="AB31" s="772">
        <f t="shared" si="4"/>
        <v>1</v>
      </c>
      <c r="AC31" s="772">
        <f t="shared" si="5"/>
        <v>1</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4" t="s">
        <v>2564</v>
      </c>
      <c r="Q32" s="1807" t="str">
        <f t="shared" si="11"/>
        <v>车位类型</v>
      </c>
      <c r="R32" s="773" t="s">
        <v>17</v>
      </c>
      <c r="S32" s="774">
        <f t="shared" si="12"/>
        <v>100</v>
      </c>
      <c r="T32" s="773" t="s">
        <v>17</v>
      </c>
      <c r="U32" s="774">
        <f t="shared" si="13"/>
        <v>100</v>
      </c>
      <c r="V32" s="773" t="s">
        <v>17</v>
      </c>
      <c r="W32" s="774">
        <f t="shared" si="14"/>
        <v>100</v>
      </c>
      <c r="X32" s="1810"/>
      <c r="Y32" s="3224" t="s">
        <v>2564</v>
      </c>
      <c r="Z32" s="1811" t="str">
        <f t="shared" si="15"/>
        <v>车位类型</v>
      </c>
      <c r="AA32" s="1808">
        <f t="shared" si="3"/>
        <v>1</v>
      </c>
      <c r="AB32" s="1808">
        <f t="shared" si="4"/>
        <v>1</v>
      </c>
      <c r="AC32" s="1808">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4"/>
      <c r="Q33" s="1807" t="str">
        <f t="shared" si="11"/>
        <v>是否直接入户</v>
      </c>
      <c r="R33" s="773" t="s">
        <v>17</v>
      </c>
      <c r="S33" s="774">
        <f t="shared" si="12"/>
        <v>100</v>
      </c>
      <c r="T33" s="773" t="s">
        <v>17</v>
      </c>
      <c r="U33" s="774">
        <f t="shared" si="13"/>
        <v>100</v>
      </c>
      <c r="V33" s="773" t="s">
        <v>17</v>
      </c>
      <c r="W33" s="774">
        <f t="shared" si="14"/>
        <v>100</v>
      </c>
      <c r="X33" s="1810"/>
      <c r="Y33" s="3224"/>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4"/>
      <c r="Q34" s="1807">
        <f t="shared" si="11"/>
        <v>111</v>
      </c>
      <c r="R34" s="773" t="s">
        <v>17</v>
      </c>
      <c r="S34" s="774">
        <f t="shared" si="12"/>
        <v>100</v>
      </c>
      <c r="T34" s="773" t="s">
        <v>17</v>
      </c>
      <c r="U34" s="774">
        <f t="shared" si="13"/>
        <v>100</v>
      </c>
      <c r="V34" s="773" t="s">
        <v>17</v>
      </c>
      <c r="W34" s="774">
        <f t="shared" si="14"/>
        <v>100</v>
      </c>
      <c r="X34" s="1810"/>
      <c r="Y34" s="3224"/>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4"/>
      <c r="Q36" s="1807">
        <f t="shared" si="11"/>
        <v>111</v>
      </c>
      <c r="R36" s="773" t="s">
        <v>17</v>
      </c>
      <c r="S36" s="774">
        <f t="shared" si="12"/>
        <v>100</v>
      </c>
      <c r="T36" s="773" t="s">
        <v>17</v>
      </c>
      <c r="U36" s="774">
        <f t="shared" si="13"/>
        <v>100</v>
      </c>
      <c r="V36" s="773" t="s">
        <v>17</v>
      </c>
      <c r="W36" s="774">
        <f t="shared" si="14"/>
        <v>100</v>
      </c>
      <c r="X36" s="1810"/>
      <c r="Y36" s="3224"/>
      <c r="Z36" s="1811">
        <f t="shared" si="15"/>
        <v>111</v>
      </c>
      <c r="AA36" s="1808">
        <f t="shared" si="3"/>
        <v>1</v>
      </c>
      <c r="AB36" s="1808">
        <f t="shared" si="4"/>
        <v>1</v>
      </c>
      <c r="AC36" s="1808">
        <f t="shared" si="5"/>
        <v>1</v>
      </c>
    </row>
    <row r="37" spans="1:29" ht="15">
      <c r="A37" s="478" t="s">
        <v>2719</v>
      </c>
      <c r="B37" s="2690" t="s">
        <v>3281</v>
      </c>
      <c r="C37" s="1405" t="s">
        <v>1</v>
      </c>
      <c r="D37" s="1406"/>
      <c r="E37" s="1407">
        <v>7700</v>
      </c>
      <c r="F37" s="1408"/>
      <c r="G37" s="1409">
        <f>E37</f>
        <v>7700</v>
      </c>
      <c r="H37" s="1410"/>
      <c r="I37" s="1407">
        <f>G37</f>
        <v>7700</v>
      </c>
      <c r="J37" s="1410"/>
      <c r="K37" s="618"/>
      <c r="L37" s="1141"/>
      <c r="M37" s="1142"/>
      <c r="N37" s="1129"/>
      <c r="O37" s="1142"/>
      <c r="P37" s="3206" t="str">
        <f>A37</f>
        <v>成交单价</v>
      </c>
      <c r="Q37" s="3206"/>
      <c r="R37" s="3263">
        <f>E37</f>
        <v>7700</v>
      </c>
      <c r="S37" s="3263"/>
      <c r="T37" s="3263">
        <f>G37</f>
        <v>7700</v>
      </c>
      <c r="U37" s="3263"/>
      <c r="V37" s="3263">
        <f>I37</f>
        <v>7700</v>
      </c>
      <c r="W37" s="3263"/>
      <c r="X37" s="758"/>
      <c r="Y37" s="780"/>
      <c r="Z37" s="758"/>
      <c r="AA37" s="758"/>
      <c r="AB37" s="758"/>
      <c r="AC37" s="758"/>
    </row>
    <row r="38" spans="1:29" ht="15.75" thickBot="1">
      <c r="A38" s="485" t="s">
        <v>2720</v>
      </c>
      <c r="B38" s="486" t="str">
        <f>B37</f>
        <v>元/平方米</v>
      </c>
      <c r="C38" s="1411">
        <f>R39</f>
        <v>7700</v>
      </c>
      <c r="D38" s="1412"/>
      <c r="E38" s="1413">
        <f>R38</f>
        <v>7700</v>
      </c>
      <c r="F38" s="1413"/>
      <c r="G38" s="1411">
        <f>T38</f>
        <v>7700</v>
      </c>
      <c r="H38" s="1412"/>
      <c r="I38" s="1413">
        <f>V38</f>
        <v>7700</v>
      </c>
      <c r="J38" s="1412"/>
      <c r="K38" s="619"/>
      <c r="L38" s="1141"/>
      <c r="M38" s="1142"/>
      <c r="N38" s="1142"/>
      <c r="O38" s="1142"/>
      <c r="P38" s="3206" t="str">
        <f>A38</f>
        <v>比较价值（元/平方米）</v>
      </c>
      <c r="Q38" s="3206"/>
      <c r="R38" s="3263">
        <f>IF(F1="售价",ROUND(PRODUCT(R37,AA7:AA36),0),ROUND(PRODUCT(R37,AA7:AA36),1))</f>
        <v>7700</v>
      </c>
      <c r="S38" s="3263"/>
      <c r="T38" s="3263">
        <f>IF(F1="售价",ROUND(PRODUCT(T37,AB7:AB36),0),ROUND(PRODUCT(T37,AB7:AB36),1))</f>
        <v>7700</v>
      </c>
      <c r="U38" s="3263"/>
      <c r="V38" s="3263">
        <f>IF(F1="售价",ROUND(PRODUCT(V37,AC7:AC36),0),ROUND(PRODUCT(V37,AC7:AC36),1))</f>
        <v>7700</v>
      </c>
      <c r="W38" s="3263"/>
      <c r="X38" s="758"/>
      <c r="Y38" s="758"/>
      <c r="Z38" s="758"/>
      <c r="AA38" s="758"/>
      <c r="AB38" s="758"/>
      <c r="AC38" s="758"/>
    </row>
    <row r="39" spans="1:29" ht="15.75" thickBot="1">
      <c r="A39" s="491" t="s">
        <v>2721</v>
      </c>
      <c r="B39" s="492"/>
      <c r="C39" s="1415">
        <f>R39</f>
        <v>7700</v>
      </c>
      <c r="D39" s="1415"/>
      <c r="E39" s="1415"/>
      <c r="F39" s="1415"/>
      <c r="G39" s="1415"/>
      <c r="H39" s="1415"/>
      <c r="I39" s="1415"/>
      <c r="J39" s="1415"/>
      <c r="K39" s="620"/>
      <c r="L39" s="1141"/>
      <c r="M39" s="1142"/>
      <c r="N39" s="1142"/>
      <c r="O39" s="1142"/>
      <c r="P39" s="3226" t="str">
        <f>A39</f>
        <v>估价对象XX用房的比较价值（楼面单价，元/平方米）</v>
      </c>
      <c r="Q39" s="3227"/>
      <c r="R39" s="3262">
        <f>IF(F1="售价",ROUND(AVERAGE(R38:V38),0),ROUND(AVERAGE(R38:V38),1))</f>
        <v>7700</v>
      </c>
      <c r="S39" s="3262"/>
      <c r="T39" s="3262"/>
      <c r="U39" s="3262"/>
      <c r="V39" s="3262"/>
      <c r="W39" s="3262"/>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2722</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2723</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2724</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2726</v>
      </c>
      <c r="B48" s="505"/>
      <c r="C48" s="1571" t="str">
        <f>YEAR(C7)&amp;"-"&amp;MONTH(C7)</f>
        <v>2019-3</v>
      </c>
      <c r="D48" s="1572">
        <f>EDATE(C48,-1)</f>
        <v>43497</v>
      </c>
      <c r="E48" s="1572">
        <f t="shared" ref="E48:O48" si="16">EDATE(D48,-1)</f>
        <v>43466</v>
      </c>
      <c r="F48" s="1572">
        <f t="shared" si="16"/>
        <v>43435</v>
      </c>
      <c r="G48" s="1572">
        <f t="shared" si="16"/>
        <v>43405</v>
      </c>
      <c r="H48" s="1572">
        <f t="shared" si="16"/>
        <v>43374</v>
      </c>
      <c r="I48" s="1572">
        <f t="shared" si="16"/>
        <v>43344</v>
      </c>
      <c r="J48" s="1572">
        <f t="shared" si="16"/>
        <v>43313</v>
      </c>
      <c r="K48" s="1572">
        <f t="shared" si="16"/>
        <v>43282</v>
      </c>
      <c r="L48" s="1572">
        <f t="shared" si="16"/>
        <v>43252</v>
      </c>
      <c r="M48" s="1572">
        <f t="shared" si="16"/>
        <v>43221</v>
      </c>
      <c r="N48" s="1572">
        <f t="shared" si="16"/>
        <v>43191</v>
      </c>
      <c r="O48" s="1572">
        <f t="shared" si="16"/>
        <v>43160</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2727</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2562</v>
      </c>
      <c r="B79" s="527" t="s">
        <v>2728</v>
      </c>
      <c r="C79" s="528" t="str">
        <f>C26</f>
        <v>车库</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2729</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2731</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2732</v>
      </c>
      <c r="C90" s="577" t="str">
        <f>C91&amp;"(含)"&amp;"-"&amp;D91</f>
        <v>0(含)-40</v>
      </c>
      <c r="D90" s="577" t="str">
        <f t="shared" ref="D90:L90" si="21">D91&amp;"(含)"&amp;"-"&amp;E91</f>
        <v>40(含)-50</v>
      </c>
      <c r="E90" s="577" t="str">
        <f t="shared" si="21"/>
        <v>50(含)-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v>0</v>
      </c>
      <c r="D91" s="594">
        <v>40</v>
      </c>
      <c r="E91" s="594">
        <v>50</v>
      </c>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v>100</v>
      </c>
      <c r="E92" s="535">
        <v>100</v>
      </c>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2733</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2734</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c r="C1" s="1617" t="s">
        <v>2529</v>
      </c>
      <c r="D1" s="1618"/>
      <c r="E1" s="1627"/>
      <c r="F1" s="2579"/>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6" t="e">
        <f ca="1">IF(C2="——",ROUND(C37*D3/10000,0),ROUND(C37*D3/10000,0)-D2)</f>
        <v>#DIV/0!</v>
      </c>
      <c r="C2" s="2581"/>
      <c r="D2" s="1122" t="e">
        <f ca="1">SUMIF(INDIRECT("'"&amp;F2&amp;"'"&amp;"!A:A"),"承租人权益价值",INDIRECT("'"&amp;F2&amp;"'"&amp;"!c:c"))</f>
        <v>#REF!</v>
      </c>
      <c r="E2" s="2582" t="s">
        <v>2330</v>
      </c>
      <c r="F2" s="2583"/>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2331</v>
      </c>
      <c r="B3" s="608" t="e">
        <f ca="1">IF(C2="——",C37,ROUND(B2*10000/D3,0))</f>
        <v>#DIV/0!</v>
      </c>
      <c r="C3" s="400" t="s">
        <v>2643</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190" t="s">
        <v>2647</v>
      </c>
      <c r="AC4" s="3189" t="s">
        <v>2648</v>
      </c>
    </row>
    <row r="5" spans="1:29" ht="15">
      <c r="A5" s="404"/>
      <c r="B5" s="405"/>
      <c r="C5" s="3200" t="s">
        <v>2541</v>
      </c>
      <c r="D5" s="3201"/>
      <c r="E5" s="3198" t="s">
        <v>2542</v>
      </c>
      <c r="F5" s="3199"/>
      <c r="G5" s="3200" t="s">
        <v>2543</v>
      </c>
      <c r="H5" s="3201"/>
      <c r="I5" s="3200" t="s">
        <v>2544</v>
      </c>
      <c r="J5" s="3201"/>
      <c r="K5" s="609"/>
      <c r="L5" s="1128"/>
      <c r="M5" s="1129"/>
      <c r="N5" s="1129"/>
      <c r="O5" s="1129"/>
      <c r="P5" s="3213"/>
      <c r="Q5" s="3214"/>
      <c r="R5" s="3196"/>
      <c r="S5" s="3197"/>
      <c r="T5" s="3196"/>
      <c r="U5" s="3197"/>
      <c r="V5" s="3219"/>
      <c r="W5" s="3219"/>
      <c r="X5" s="1810"/>
      <c r="Y5" s="3196"/>
      <c r="Z5" s="3197"/>
      <c r="AA5" s="3190"/>
      <c r="AB5" s="3190"/>
      <c r="AC5" s="3190"/>
    </row>
    <row r="6" spans="1:29" ht="15.75" thickBot="1">
      <c r="A6" s="406"/>
      <c r="B6" s="407"/>
      <c r="C6" s="3202" t="s">
        <v>2545</v>
      </c>
      <c r="D6" s="3203"/>
      <c r="E6" s="3204" t="s">
        <v>2545</v>
      </c>
      <c r="F6" s="3205"/>
      <c r="G6" s="3202" t="s">
        <v>2545</v>
      </c>
      <c r="H6" s="3203"/>
      <c r="I6" s="3202" t="s">
        <v>2545</v>
      </c>
      <c r="J6" s="3203"/>
      <c r="K6" s="609" t="s">
        <v>2546</v>
      </c>
      <c r="L6" s="1128"/>
      <c r="M6" s="1129"/>
      <c r="N6" s="1129"/>
      <c r="O6" s="1129"/>
      <c r="P6" s="3215"/>
      <c r="Q6" s="3216"/>
      <c r="R6" s="3196"/>
      <c r="S6" s="3197"/>
      <c r="T6" s="3217"/>
      <c r="U6" s="3218"/>
      <c r="V6" s="3219"/>
      <c r="W6" s="3219"/>
      <c r="X6" s="1810"/>
      <c r="Y6" s="3217"/>
      <c r="Z6" s="3218"/>
      <c r="AA6" s="3191"/>
      <c r="AB6" s="3191"/>
      <c r="AC6" s="3191"/>
    </row>
    <row r="7" spans="1:29" s="117" customFormat="1" ht="15.75" thickBot="1">
      <c r="A7" s="408" t="s">
        <v>2547</v>
      </c>
      <c r="B7" s="409"/>
      <c r="C7" s="410">
        <f>'数据-取费表'!B2</f>
        <v>43539</v>
      </c>
      <c r="D7" s="411">
        <v>100</v>
      </c>
      <c r="E7" s="412"/>
      <c r="F7" s="413">
        <f>SUMIF(46:46,YEAR(E7)&amp;"-"&amp;MONTH(E7),47:47)</f>
        <v>0</v>
      </c>
      <c r="G7" s="2691"/>
      <c r="H7" s="411">
        <f>SUMIF(46:46,YEAR(G7)&amp;"-"&amp;MONTH(G7),47:47)</f>
        <v>0</v>
      </c>
      <c r="I7" s="412"/>
      <c r="J7" s="411">
        <f>SUMIF(46:46,YEAR(I7)&amp;"-"&amp;MONTH(I7),47:47)</f>
        <v>0</v>
      </c>
      <c r="K7" s="610"/>
      <c r="L7" s="1130"/>
      <c r="M7" s="1131"/>
      <c r="N7" s="1131"/>
      <c r="O7" s="1131"/>
      <c r="P7" s="3192" t="s">
        <v>2548</v>
      </c>
      <c r="Q7" s="3220"/>
      <c r="R7" s="769" t="s">
        <v>17</v>
      </c>
      <c r="S7" s="770">
        <f t="shared" ref="S7:S14" si="0">F7</f>
        <v>0</v>
      </c>
      <c r="T7" s="769" t="s">
        <v>17</v>
      </c>
      <c r="U7" s="770">
        <f t="shared" ref="U7:U14" si="1">H7</f>
        <v>0</v>
      </c>
      <c r="V7" s="769" t="s">
        <v>17</v>
      </c>
      <c r="W7" s="770">
        <f t="shared" ref="W7:W14" si="2">J7</f>
        <v>0</v>
      </c>
      <c r="X7" s="771"/>
      <c r="Y7" s="3192" t="s">
        <v>2548</v>
      </c>
      <c r="Z7" s="3193"/>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0"/>
      <c r="L8" s="1130"/>
      <c r="M8" s="1131"/>
      <c r="N8" s="1131"/>
      <c r="O8" s="1131"/>
      <c r="P8" s="3192" t="s">
        <v>2551</v>
      </c>
      <c r="Q8" s="3193"/>
      <c r="R8" s="769" t="s">
        <v>17</v>
      </c>
      <c r="S8" s="770">
        <f t="shared" si="0"/>
        <v>0</v>
      </c>
      <c r="T8" s="769" t="s">
        <v>17</v>
      </c>
      <c r="U8" s="770">
        <f t="shared" si="1"/>
        <v>0</v>
      </c>
      <c r="V8" s="769" t="s">
        <v>17</v>
      </c>
      <c r="W8" s="770">
        <f t="shared" si="2"/>
        <v>0</v>
      </c>
      <c r="X8" s="771"/>
      <c r="Y8" s="3192" t="s">
        <v>2551</v>
      </c>
      <c r="Z8" s="3193"/>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0"/>
      <c r="L9" s="1130"/>
      <c r="M9" s="1131"/>
      <c r="N9" s="1131"/>
      <c r="O9" s="1132"/>
      <c r="P9" s="3206" t="s">
        <v>2554</v>
      </c>
      <c r="Q9" s="1792" t="str">
        <f t="shared" ref="Q9:Q14" si="6">B9</f>
        <v>用途</v>
      </c>
      <c r="R9" s="769" t="s">
        <v>17</v>
      </c>
      <c r="S9" s="770">
        <f t="shared" si="0"/>
        <v>100</v>
      </c>
      <c r="T9" s="769" t="s">
        <v>17</v>
      </c>
      <c r="U9" s="770">
        <f t="shared" si="1"/>
        <v>100</v>
      </c>
      <c r="V9" s="769" t="s">
        <v>17</v>
      </c>
      <c r="W9" s="770">
        <f t="shared" si="2"/>
        <v>100</v>
      </c>
      <c r="X9" s="771"/>
      <c r="Y9" s="3069" t="s">
        <v>2555</v>
      </c>
      <c r="Z9" s="55" t="str">
        <f t="shared" ref="Z9:Z14" si="7">Q9</f>
        <v>用途</v>
      </c>
      <c r="AA9" s="772">
        <f t="shared" si="3"/>
        <v>1</v>
      </c>
      <c r="AB9" s="772">
        <f t="shared" si="4"/>
        <v>1</v>
      </c>
      <c r="AC9" s="772">
        <f t="shared" si="5"/>
        <v>1</v>
      </c>
    </row>
    <row r="10" spans="1:29" s="426" customFormat="1" ht="27">
      <c r="A10" s="420"/>
      <c r="B10" s="421" t="s">
        <v>2556</v>
      </c>
      <c r="C10" s="422"/>
      <c r="D10" s="136">
        <v>100</v>
      </c>
      <c r="E10" s="422"/>
      <c r="F10" s="424">
        <f>SUMIF(53:53,E10,54:54)-SUMIF(53:53,C10,54:54)+100</f>
        <v>100</v>
      </c>
      <c r="G10" s="422"/>
      <c r="H10" s="136">
        <f>SUMIF(53:53,G10,54:54)-SUMIF(53:53,C10,54:54)+100</f>
        <v>100</v>
      </c>
      <c r="I10" s="422"/>
      <c r="J10" s="136">
        <f>SUMIF(53:53,I10,54:54)-SUMIF(53:53,C10,54:54)+100</f>
        <v>100</v>
      </c>
      <c r="K10" s="611"/>
      <c r="L10" s="1133"/>
      <c r="M10" s="1134"/>
      <c r="N10" s="1134"/>
      <c r="O10" s="1135"/>
      <c r="P10" s="3206"/>
      <c r="Q10" s="1792"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6"/>
      <c r="M11" s="1129"/>
      <c r="N11" s="1129"/>
      <c r="O11" s="1137"/>
      <c r="P11" s="3206"/>
      <c r="Q11" s="1792">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0"/>
      <c r="M12" s="1131"/>
      <c r="N12" s="1131"/>
      <c r="O12" s="1132"/>
      <c r="P12" s="3206"/>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38"/>
      <c r="M13" s="1129"/>
      <c r="N13" s="1129"/>
      <c r="O13" s="1137"/>
      <c r="P13" s="3206"/>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85.5">
      <c r="A14" s="439" t="s">
        <v>2558</v>
      </c>
      <c r="B14" s="69" t="s">
        <v>2708</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1" t="s">
        <v>2559</v>
      </c>
      <c r="Q14" s="1807" t="str">
        <f t="shared" si="6"/>
        <v>交通便捷度</v>
      </c>
      <c r="R14" s="773" t="s">
        <v>17</v>
      </c>
      <c r="S14" s="774">
        <f t="shared" si="0"/>
        <v>100</v>
      </c>
      <c r="T14" s="773" t="s">
        <v>17</v>
      </c>
      <c r="U14" s="774">
        <f t="shared" si="1"/>
        <v>100</v>
      </c>
      <c r="V14" s="773" t="s">
        <v>17</v>
      </c>
      <c r="W14" s="774">
        <f t="shared" si="2"/>
        <v>100</v>
      </c>
      <c r="X14" s="1810"/>
      <c r="Y14" s="3221" t="s">
        <v>2559</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22"/>
      <c r="Q15" s="1807"/>
      <c r="R15" s="773"/>
      <c r="S15" s="774"/>
      <c r="T15" s="773"/>
      <c r="U15" s="774"/>
      <c r="V15" s="773"/>
      <c r="W15" s="774"/>
      <c r="X15" s="1810"/>
      <c r="Y15" s="3222"/>
      <c r="Z15" s="1811"/>
      <c r="AA15" s="1808">
        <v>1</v>
      </c>
      <c r="AB15" s="1808">
        <v>1</v>
      </c>
      <c r="AC15" s="1808">
        <v>1</v>
      </c>
    </row>
    <row r="16" spans="1:29" ht="42.75">
      <c r="A16" s="427"/>
      <c r="B16" s="450" t="s">
        <v>2687</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2"/>
      <c r="Q16" s="1807" t="str">
        <f>B16</f>
        <v>公共配套设施</v>
      </c>
      <c r="R16" s="773" t="s">
        <v>17</v>
      </c>
      <c r="S16" s="774">
        <f>F16</f>
        <v>100</v>
      </c>
      <c r="T16" s="773" t="s">
        <v>17</v>
      </c>
      <c r="U16" s="774">
        <f>H16</f>
        <v>100</v>
      </c>
      <c r="V16" s="773" t="s">
        <v>17</v>
      </c>
      <c r="W16" s="774">
        <f>J16</f>
        <v>100</v>
      </c>
      <c r="X16" s="1810"/>
      <c r="Y16" s="3222"/>
      <c r="Z16" s="1811" t="str">
        <f>Q16</f>
        <v>公共配套设施</v>
      </c>
      <c r="AA16" s="1808">
        <f t="shared" si="3"/>
        <v>1</v>
      </c>
      <c r="AB16" s="1808">
        <f t="shared" si="4"/>
        <v>1</v>
      </c>
      <c r="AC16" s="1808">
        <f t="shared" si="5"/>
        <v>1</v>
      </c>
    </row>
    <row r="17" spans="1:29" ht="15">
      <c r="A17" s="427"/>
      <c r="B17" s="455"/>
      <c r="C17" s="2603"/>
      <c r="D17" s="447"/>
      <c r="E17" s="446"/>
      <c r="F17" s="448"/>
      <c r="G17" s="446"/>
      <c r="H17" s="447"/>
      <c r="I17" s="446"/>
      <c r="J17" s="447"/>
      <c r="K17" s="614"/>
      <c r="L17" s="1138"/>
      <c r="M17" s="1129"/>
      <c r="N17" s="1129"/>
      <c r="O17" s="1137"/>
      <c r="P17" s="3222"/>
      <c r="Q17" s="1807"/>
      <c r="R17" s="773"/>
      <c r="S17" s="774"/>
      <c r="T17" s="773"/>
      <c r="U17" s="774"/>
      <c r="V17" s="773"/>
      <c r="W17" s="774"/>
      <c r="X17" s="1810"/>
      <c r="Y17" s="3222"/>
      <c r="Z17" s="1811"/>
      <c r="AA17" s="1808">
        <v>1</v>
      </c>
      <c r="AB17" s="1808">
        <v>1</v>
      </c>
      <c r="AC17" s="1808">
        <v>1</v>
      </c>
    </row>
    <row r="18" spans="1:29" ht="28.5">
      <c r="A18" s="427"/>
      <c r="B18" s="1382" t="s">
        <v>2688</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2"/>
      <c r="Q18" s="1807" t="str">
        <f>B18</f>
        <v>基础设施水平</v>
      </c>
      <c r="R18" s="773" t="s">
        <v>17</v>
      </c>
      <c r="S18" s="774">
        <f>F18</f>
        <v>100</v>
      </c>
      <c r="T18" s="773" t="s">
        <v>17</v>
      </c>
      <c r="U18" s="774">
        <f>H18</f>
        <v>100</v>
      </c>
      <c r="V18" s="773" t="s">
        <v>17</v>
      </c>
      <c r="W18" s="774">
        <f>J18</f>
        <v>100</v>
      </c>
      <c r="X18" s="1810"/>
      <c r="Y18" s="3222"/>
      <c r="Z18" s="1811" t="str">
        <f>Q18</f>
        <v>基础设施水平</v>
      </c>
      <c r="AA18" s="1808">
        <f t="shared" ref="AA18" si="8">D18/F18</f>
        <v>1</v>
      </c>
      <c r="AB18" s="1808">
        <f t="shared" ref="AB18" si="9">D18/H18</f>
        <v>1</v>
      </c>
      <c r="AC18" s="1808">
        <f t="shared" ref="AC18" si="10">D18/J18</f>
        <v>1</v>
      </c>
    </row>
    <row r="19" spans="1:29" ht="15">
      <c r="A19" s="427"/>
      <c r="B19" s="1382"/>
      <c r="C19" s="2603"/>
      <c r="D19" s="449"/>
      <c r="E19" s="2603"/>
      <c r="F19" s="452"/>
      <c r="G19" s="2603"/>
      <c r="H19" s="447"/>
      <c r="I19" s="446"/>
      <c r="J19" s="447"/>
      <c r="K19" s="1381"/>
      <c r="L19" s="1138"/>
      <c r="M19" s="1129"/>
      <c r="N19" s="1129"/>
      <c r="O19" s="1137"/>
      <c r="P19" s="3222"/>
      <c r="Q19" s="1807"/>
      <c r="R19" s="773"/>
      <c r="S19" s="774"/>
      <c r="T19" s="773"/>
      <c r="U19" s="774"/>
      <c r="V19" s="773"/>
      <c r="W19" s="774"/>
      <c r="X19" s="1810"/>
      <c r="Y19" s="3222"/>
      <c r="Z19" s="1811"/>
      <c r="AA19" s="1808">
        <v>1</v>
      </c>
      <c r="AB19" s="1808">
        <v>1</v>
      </c>
      <c r="AC19" s="1808">
        <v>1</v>
      </c>
    </row>
    <row r="20" spans="1:29" ht="57">
      <c r="A20" s="427"/>
      <c r="B20" s="450" t="s">
        <v>2709</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2"/>
      <c r="Q20" s="1807" t="str">
        <f>B20</f>
        <v>自然及人文环境</v>
      </c>
      <c r="R20" s="773" t="s">
        <v>17</v>
      </c>
      <c r="S20" s="774">
        <f>F20</f>
        <v>100</v>
      </c>
      <c r="T20" s="773" t="s">
        <v>17</v>
      </c>
      <c r="U20" s="774">
        <f>H20</f>
        <v>100</v>
      </c>
      <c r="V20" s="773" t="s">
        <v>17</v>
      </c>
      <c r="W20" s="774">
        <f>J20</f>
        <v>100</v>
      </c>
      <c r="X20" s="1810"/>
      <c r="Y20" s="3222"/>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22"/>
      <c r="Q21" s="1807"/>
      <c r="R21" s="773"/>
      <c r="S21" s="774"/>
      <c r="T21" s="773"/>
      <c r="U21" s="774"/>
      <c r="V21" s="773"/>
      <c r="W21" s="774"/>
      <c r="X21" s="1810"/>
      <c r="Y21" s="3222"/>
      <c r="Z21" s="1811"/>
      <c r="AA21" s="1808">
        <v>1</v>
      </c>
      <c r="AB21" s="1808">
        <v>1</v>
      </c>
      <c r="AC21" s="1808">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2"/>
      <c r="Q22" s="1807" t="str">
        <f>B22</f>
        <v>楼层</v>
      </c>
      <c r="R22" s="773" t="s">
        <v>17</v>
      </c>
      <c r="S22" s="774">
        <f>F22</f>
        <v>100</v>
      </c>
      <c r="T22" s="773" t="s">
        <v>17</v>
      </c>
      <c r="U22" s="774">
        <f>H22</f>
        <v>100</v>
      </c>
      <c r="V22" s="773" t="s">
        <v>17</v>
      </c>
      <c r="W22" s="774">
        <f>J22</f>
        <v>100</v>
      </c>
      <c r="X22" s="1810"/>
      <c r="Y22" s="3222"/>
      <c r="Z22" s="1811" t="str">
        <f>Q22</f>
        <v>楼层</v>
      </c>
      <c r="AA22" s="1808">
        <f t="shared" si="3"/>
        <v>1</v>
      </c>
      <c r="AB22" s="1808">
        <f t="shared" si="4"/>
        <v>1</v>
      </c>
      <c r="AC22" s="1808">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2"/>
      <c r="Q23" s="1807">
        <f>B23</f>
        <v>111</v>
      </c>
      <c r="R23" s="773" t="s">
        <v>17</v>
      </c>
      <c r="S23" s="774">
        <f>F23</f>
        <v>100</v>
      </c>
      <c r="T23" s="773" t="s">
        <v>17</v>
      </c>
      <c r="U23" s="774">
        <f>H23</f>
        <v>100</v>
      </c>
      <c r="V23" s="773" t="s">
        <v>17</v>
      </c>
      <c r="W23" s="774">
        <f>J23</f>
        <v>100</v>
      </c>
      <c r="X23" s="1810"/>
      <c r="Y23" s="3222"/>
      <c r="Z23" s="1811">
        <f>Q23</f>
        <v>111</v>
      </c>
      <c r="AA23" s="1808">
        <f t="shared" si="3"/>
        <v>1</v>
      </c>
      <c r="AB23" s="1808">
        <f t="shared" si="4"/>
        <v>1</v>
      </c>
      <c r="AC23" s="1808">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2"/>
      <c r="Q24" s="1807">
        <f t="shared" ref="Q24:Q34" si="11">B24</f>
        <v>111</v>
      </c>
      <c r="R24" s="773" t="s">
        <v>17</v>
      </c>
      <c r="S24" s="774">
        <f>F24</f>
        <v>100</v>
      </c>
      <c r="T24" s="773" t="s">
        <v>17</v>
      </c>
      <c r="U24" s="774">
        <f>H24</f>
        <v>100</v>
      </c>
      <c r="V24" s="773" t="s">
        <v>17</v>
      </c>
      <c r="W24" s="774">
        <f>J24</f>
        <v>100</v>
      </c>
      <c r="X24" s="1810"/>
      <c r="Y24" s="3222"/>
      <c r="Z24" s="1811">
        <f>Q24</f>
        <v>111</v>
      </c>
      <c r="AA24" s="1808">
        <f t="shared" si="3"/>
        <v>1</v>
      </c>
      <c r="AB24" s="1808">
        <f t="shared" si="4"/>
        <v>1</v>
      </c>
      <c r="AC24" s="1808">
        <f t="shared" si="5"/>
        <v>1</v>
      </c>
    </row>
    <row r="25" spans="1:29" s="117" customFormat="1" ht="15.75" thickBot="1">
      <c r="A25" s="430"/>
      <c r="B25" s="2595">
        <v>111</v>
      </c>
      <c r="C25" s="2693"/>
      <c r="D25" s="664">
        <v>100</v>
      </c>
      <c r="E25" s="2693"/>
      <c r="F25" s="665">
        <f>SUMIF(75:75,E25,76:76)-SUMIF(75:75,C25,76:76)+100</f>
        <v>100</v>
      </c>
      <c r="G25" s="2693"/>
      <c r="H25" s="664">
        <f>SUMIF(75:75,G25,76:76)-SUMIF(75:75,C25,76:76)+100</f>
        <v>100</v>
      </c>
      <c r="I25" s="2693"/>
      <c r="J25" s="664">
        <f>SUMIF(75:75,I25,76:76)-SUMIF(75:75,C25,76:76)+100</f>
        <v>100</v>
      </c>
      <c r="K25" s="612"/>
      <c r="L25" s="1130"/>
      <c r="M25" s="1131"/>
      <c r="N25" s="1131"/>
      <c r="O25" s="1132"/>
      <c r="P25" s="3222"/>
      <c r="Q25" s="1792">
        <f t="shared" si="11"/>
        <v>111</v>
      </c>
      <c r="R25" s="769" t="s">
        <v>17</v>
      </c>
      <c r="S25" s="770">
        <f>F25</f>
        <v>100</v>
      </c>
      <c r="T25" s="769" t="s">
        <v>17</v>
      </c>
      <c r="U25" s="770">
        <f>H25</f>
        <v>100</v>
      </c>
      <c r="V25" s="769" t="s">
        <v>17</v>
      </c>
      <c r="W25" s="770">
        <f>J25</f>
        <v>100</v>
      </c>
      <c r="X25" s="771"/>
      <c r="Y25" s="3222"/>
      <c r="Z25" s="55">
        <f>Q25</f>
        <v>111</v>
      </c>
      <c r="AA25" s="1808">
        <f>D25/F25</f>
        <v>1</v>
      </c>
      <c r="AB25" s="1808">
        <f>D25/H25</f>
        <v>1</v>
      </c>
      <c r="AC25" s="1808">
        <f>D25/J25</f>
        <v>1</v>
      </c>
    </row>
    <row r="26" spans="1:29" ht="15">
      <c r="A26" s="465" t="s">
        <v>2562</v>
      </c>
      <c r="B26" s="71" t="s">
        <v>2713</v>
      </c>
      <c r="C26" s="2674"/>
      <c r="D26" s="466">
        <v>100</v>
      </c>
      <c r="E26" s="2674"/>
      <c r="F26" s="666">
        <f>SUMIF(77:77,E26,78:78)-SUMIF(77:77,C26,78:78)+100</f>
        <v>100</v>
      </c>
      <c r="G26" s="2674"/>
      <c r="H26" s="466">
        <f>SUMIF(77:77,G26,78:78)-SUMIF(77:77,C26,78:78)+100</f>
        <v>100</v>
      </c>
      <c r="I26" s="2674"/>
      <c r="J26" s="466">
        <f>SUMIF(77:77,I26,78:78)-SUMIF(77:77,C26,78:78)+100</f>
        <v>100</v>
      </c>
      <c r="K26" s="611"/>
      <c r="L26" s="1138"/>
      <c r="M26" s="1129"/>
      <c r="N26" s="1129"/>
      <c r="O26" s="1137"/>
      <c r="P26" s="3223" t="s">
        <v>2564</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24" t="s">
        <v>2564</v>
      </c>
      <c r="Z26" s="1811" t="str">
        <f t="shared" ref="Z26:Z34" si="15">Q26</f>
        <v>公共部分装修</v>
      </c>
      <c r="AA26" s="1808">
        <f t="shared" si="3"/>
        <v>1</v>
      </c>
      <c r="AB26" s="1808">
        <f t="shared" si="4"/>
        <v>1</v>
      </c>
      <c r="AC26" s="1808">
        <f t="shared" si="5"/>
        <v>1</v>
      </c>
    </row>
    <row r="27" spans="1:29" s="470" customFormat="1" ht="15">
      <c r="A27" s="467"/>
      <c r="B27" s="421" t="s">
        <v>2714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4"/>
      <c r="Q27" s="775" t="str">
        <f t="shared" si="11"/>
        <v>成新率</v>
      </c>
      <c r="R27" s="776" t="s">
        <v>17</v>
      </c>
      <c r="S27" s="777" t="e">
        <f t="shared" si="12"/>
        <v>#N/A</v>
      </c>
      <c r="T27" s="776" t="s">
        <v>17</v>
      </c>
      <c r="U27" s="777" t="e">
        <f t="shared" si="13"/>
        <v>#N/A</v>
      </c>
      <c r="V27" s="776" t="s">
        <v>17</v>
      </c>
      <c r="W27" s="777" t="e">
        <f t="shared" si="14"/>
        <v>#N/A</v>
      </c>
      <c r="X27" s="778"/>
      <c r="Y27" s="3224"/>
      <c r="Z27" s="779" t="str">
        <f t="shared" si="15"/>
        <v>成新率</v>
      </c>
      <c r="AA27" s="1808" t="e">
        <f t="shared" si="3"/>
        <v>#N/A</v>
      </c>
      <c r="AB27" s="1808" t="e">
        <f t="shared" si="4"/>
        <v>#N/A</v>
      </c>
      <c r="AC27" s="1808"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4"/>
      <c r="Q28" s="1807" t="str">
        <f t="shared" si="11"/>
        <v>物业等级</v>
      </c>
      <c r="R28" s="773" t="s">
        <v>17</v>
      </c>
      <c r="S28" s="774">
        <f t="shared" si="12"/>
        <v>100</v>
      </c>
      <c r="T28" s="773" t="s">
        <v>17</v>
      </c>
      <c r="U28" s="774">
        <f t="shared" si="13"/>
        <v>100</v>
      </c>
      <c r="V28" s="773" t="s">
        <v>17</v>
      </c>
      <c r="W28" s="774">
        <f t="shared" si="14"/>
        <v>100</v>
      </c>
      <c r="X28" s="1810"/>
      <c r="Y28" s="3224"/>
      <c r="Z28" s="1811" t="str">
        <f t="shared" si="15"/>
        <v>物业等级</v>
      </c>
      <c r="AA28" s="1808">
        <f t="shared" si="3"/>
        <v>1</v>
      </c>
      <c r="AB28" s="1808">
        <f t="shared" si="4"/>
        <v>1</v>
      </c>
      <c r="AC28" s="1808">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4"/>
      <c r="Q29" s="1807" t="str">
        <f t="shared" si="11"/>
        <v>有无电梯</v>
      </c>
      <c r="R29" s="773" t="s">
        <v>17</v>
      </c>
      <c r="S29" s="774">
        <f t="shared" si="12"/>
        <v>100</v>
      </c>
      <c r="T29" s="773" t="s">
        <v>17</v>
      </c>
      <c r="U29" s="774">
        <f t="shared" si="13"/>
        <v>100</v>
      </c>
      <c r="V29" s="773" t="s">
        <v>17</v>
      </c>
      <c r="W29" s="774">
        <f t="shared" si="14"/>
        <v>100</v>
      </c>
      <c r="X29" s="1810"/>
      <c r="Y29" s="3224"/>
      <c r="Z29" s="1811" t="str">
        <f t="shared" si="15"/>
        <v>有无电梯</v>
      </c>
      <c r="AA29" s="1808">
        <f t="shared" si="3"/>
        <v>1</v>
      </c>
      <c r="AB29" s="1808">
        <f t="shared" si="4"/>
        <v>1</v>
      </c>
      <c r="AC29" s="1808">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4"/>
      <c r="Q30" s="1807" t="str">
        <f t="shared" si="11"/>
        <v>建筑面积</v>
      </c>
      <c r="R30" s="773" t="s">
        <v>17</v>
      </c>
      <c r="S30" s="774" t="e">
        <f t="shared" si="12"/>
        <v>#N/A</v>
      </c>
      <c r="T30" s="773" t="s">
        <v>17</v>
      </c>
      <c r="U30" s="774" t="e">
        <f t="shared" si="13"/>
        <v>#N/A</v>
      </c>
      <c r="V30" s="773" t="s">
        <v>17</v>
      </c>
      <c r="W30" s="774" t="e">
        <f t="shared" si="14"/>
        <v>#N/A</v>
      </c>
      <c r="X30" s="1810"/>
      <c r="Y30" s="3224"/>
      <c r="Z30" s="1811" t="str">
        <f t="shared" si="15"/>
        <v>建筑面积</v>
      </c>
      <c r="AA30" s="1808" t="e">
        <f t="shared" si="3"/>
        <v>#N/A</v>
      </c>
      <c r="AB30" s="1808" t="e">
        <f t="shared" si="4"/>
        <v>#N/A</v>
      </c>
      <c r="AC30" s="1808" t="e">
        <f t="shared" si="5"/>
        <v>#N/A</v>
      </c>
    </row>
    <row r="31" spans="1:29" s="117" customFormat="1" ht="15">
      <c r="A31" s="472"/>
      <c r="B31" s="421" t="s">
        <v>2737</v>
      </c>
      <c r="C31" s="656"/>
      <c r="D31" s="136">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4"/>
      <c r="Q31" s="1792" t="str">
        <f t="shared" si="11"/>
        <v>是否封闭</v>
      </c>
      <c r="R31" s="769" t="s">
        <v>17</v>
      </c>
      <c r="S31" s="770">
        <f t="shared" si="12"/>
        <v>100</v>
      </c>
      <c r="T31" s="769" t="s">
        <v>17</v>
      </c>
      <c r="U31" s="770">
        <f t="shared" si="13"/>
        <v>100</v>
      </c>
      <c r="V31" s="769" t="s">
        <v>17</v>
      </c>
      <c r="W31" s="770">
        <f t="shared" si="14"/>
        <v>100</v>
      </c>
      <c r="X31" s="771"/>
      <c r="Y31" s="3224"/>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4" t="s">
        <v>2564</v>
      </c>
      <c r="Q32" s="1807">
        <f t="shared" si="11"/>
        <v>111</v>
      </c>
      <c r="R32" s="773" t="s">
        <v>17</v>
      </c>
      <c r="S32" s="774">
        <f t="shared" si="12"/>
        <v>100</v>
      </c>
      <c r="T32" s="773" t="s">
        <v>17</v>
      </c>
      <c r="U32" s="774">
        <f t="shared" si="13"/>
        <v>100</v>
      </c>
      <c r="V32" s="773" t="s">
        <v>17</v>
      </c>
      <c r="W32" s="774">
        <f t="shared" si="14"/>
        <v>100</v>
      </c>
      <c r="X32" s="1810"/>
      <c r="Y32" s="3224" t="s">
        <v>2564</v>
      </c>
      <c r="Z32" s="1811">
        <f t="shared" si="15"/>
        <v>111</v>
      </c>
      <c r="AA32" s="1808">
        <f t="shared" si="3"/>
        <v>1</v>
      </c>
      <c r="AB32" s="1808">
        <f t="shared" si="4"/>
        <v>1</v>
      </c>
      <c r="AC32" s="1808">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4"/>
      <c r="Q33" s="1807">
        <f t="shared" si="11"/>
        <v>111</v>
      </c>
      <c r="R33" s="773" t="s">
        <v>17</v>
      </c>
      <c r="S33" s="774">
        <f t="shared" si="12"/>
        <v>100</v>
      </c>
      <c r="T33" s="773" t="s">
        <v>17</v>
      </c>
      <c r="U33" s="774">
        <f t="shared" si="13"/>
        <v>100</v>
      </c>
      <c r="V33" s="773" t="s">
        <v>17</v>
      </c>
      <c r="W33" s="774">
        <f t="shared" si="14"/>
        <v>100</v>
      </c>
      <c r="X33" s="1810"/>
      <c r="Y33" s="3224"/>
      <c r="Z33" s="1811">
        <f t="shared" si="15"/>
        <v>111</v>
      </c>
      <c r="AA33" s="1808">
        <f t="shared" si="3"/>
        <v>1</v>
      </c>
      <c r="AB33" s="1808">
        <f t="shared" si="4"/>
        <v>1</v>
      </c>
      <c r="AC33" s="1808">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38"/>
      <c r="M34" s="1129"/>
      <c r="N34" s="1129"/>
      <c r="O34" s="1137"/>
      <c r="P34" s="3224"/>
      <c r="Q34" s="1807">
        <f t="shared" si="11"/>
        <v>111</v>
      </c>
      <c r="R34" s="773" t="s">
        <v>17</v>
      </c>
      <c r="S34" s="774">
        <f t="shared" si="12"/>
        <v>100</v>
      </c>
      <c r="T34" s="773" t="s">
        <v>17</v>
      </c>
      <c r="U34" s="774">
        <f t="shared" si="13"/>
        <v>100</v>
      </c>
      <c r="V34" s="773" t="s">
        <v>17</v>
      </c>
      <c r="W34" s="774">
        <f t="shared" si="14"/>
        <v>100</v>
      </c>
      <c r="X34" s="1810"/>
      <c r="Y34" s="3224"/>
      <c r="Z34" s="1811">
        <f t="shared" si="15"/>
        <v>111</v>
      </c>
      <c r="AA34" s="1808">
        <f t="shared" si="3"/>
        <v>1</v>
      </c>
      <c r="AB34" s="1808">
        <f t="shared" si="4"/>
        <v>1</v>
      </c>
      <c r="AC34" s="1808">
        <f t="shared" si="5"/>
        <v>1</v>
      </c>
    </row>
    <row r="35" spans="1:29" ht="15">
      <c r="A35" s="478" t="s">
        <v>2576</v>
      </c>
      <c r="B35" s="479"/>
      <c r="C35" s="1405" t="s">
        <v>1</v>
      </c>
      <c r="D35" s="1406"/>
      <c r="E35" s="1407"/>
      <c r="F35" s="1408"/>
      <c r="G35" s="1409"/>
      <c r="H35" s="1410"/>
      <c r="I35" s="1407"/>
      <c r="J35" s="1410"/>
      <c r="K35" s="782"/>
      <c r="L35" s="1141"/>
      <c r="M35" s="1142"/>
      <c r="N35" s="1129"/>
      <c r="O35" s="1142"/>
      <c r="P35" s="3206" t="str">
        <f>A35</f>
        <v>成交单价（元/平方米）</v>
      </c>
      <c r="Q35" s="3206"/>
      <c r="R35" s="3263">
        <f>E35</f>
        <v>0</v>
      </c>
      <c r="S35" s="3263"/>
      <c r="T35" s="3263">
        <f>G35</f>
        <v>0</v>
      </c>
      <c r="U35" s="3263"/>
      <c r="V35" s="3263">
        <f>I35</f>
        <v>0</v>
      </c>
      <c r="W35" s="3263"/>
      <c r="X35" s="758"/>
      <c r="Y35" s="780"/>
      <c r="Z35" s="758"/>
      <c r="AA35" s="758"/>
      <c r="AB35" s="758"/>
      <c r="AC35" s="758"/>
    </row>
    <row r="36" spans="1:29" ht="15.75" thickBot="1">
      <c r="A36" s="485" t="s">
        <v>2668</v>
      </c>
      <c r="B36" s="486"/>
      <c r="C36" s="1411" t="e">
        <f>R37</f>
        <v>#DIV/0!</v>
      </c>
      <c r="D36" s="1412"/>
      <c r="E36" s="1413" t="e">
        <f>R36</f>
        <v>#DIV/0!</v>
      </c>
      <c r="F36" s="1413"/>
      <c r="G36" s="1411" t="e">
        <f>T36</f>
        <v>#DIV/0!</v>
      </c>
      <c r="H36" s="1412"/>
      <c r="I36" s="1413" t="e">
        <f>V36</f>
        <v>#DIV/0!</v>
      </c>
      <c r="J36" s="1412"/>
      <c r="K36" s="783"/>
      <c r="L36" s="1141"/>
      <c r="M36" s="1142"/>
      <c r="N36" s="1129"/>
      <c r="O36" s="1142"/>
      <c r="P36" s="3206" t="str">
        <f>A36</f>
        <v>比较价值（元/平方米）</v>
      </c>
      <c r="Q36" s="3206"/>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8"/>
      <c r="Y36" s="758"/>
      <c r="Z36" s="758"/>
      <c r="AA36" s="758"/>
      <c r="AB36" s="758"/>
      <c r="AC36" s="758"/>
    </row>
    <row r="37" spans="1:29" ht="15.75" thickBot="1">
      <c r="A37" s="491" t="s">
        <v>2669</v>
      </c>
      <c r="B37" s="492"/>
      <c r="C37" s="1415" t="e">
        <f>R37</f>
        <v>#DIV/0!</v>
      </c>
      <c r="D37" s="1415"/>
      <c r="E37" s="1415"/>
      <c r="F37" s="1415"/>
      <c r="G37" s="1415"/>
      <c r="H37" s="1415"/>
      <c r="I37" s="1415"/>
      <c r="J37" s="1415"/>
      <c r="K37" s="784"/>
      <c r="L37" s="1141"/>
      <c r="M37" s="1142"/>
      <c r="N37" s="1142"/>
      <c r="O37" s="1142"/>
      <c r="P37" s="3226" t="str">
        <f>A37</f>
        <v>估价对象XX用房的比较价值（楼面单价，元/平方米）</v>
      </c>
      <c r="Q37" s="3227"/>
      <c r="R37" s="3262" t="e">
        <f>IF(F1="售价",ROUND(AVERAGE(R36:V36),0),ROUND(AVERAGE(R36:V36),1))</f>
        <v>#DIV/0!</v>
      </c>
      <c r="S37" s="3262"/>
      <c r="T37" s="3262"/>
      <c r="U37" s="3262"/>
      <c r="V37" s="3262"/>
      <c r="W37" s="3262"/>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1" t="str">
        <f>YEAR(C7)&amp;"-"&amp;MONTH(C7)</f>
        <v>2019-3</v>
      </c>
      <c r="D46" s="1572">
        <f>EDATE(C46,-1)</f>
        <v>43497</v>
      </c>
      <c r="E46" s="1572">
        <f t="shared" ref="E46:O46" si="16">EDATE(D46,-1)</f>
        <v>43466</v>
      </c>
      <c r="F46" s="1572">
        <f t="shared" si="16"/>
        <v>43435</v>
      </c>
      <c r="G46" s="1572">
        <f t="shared" si="16"/>
        <v>43405</v>
      </c>
      <c r="H46" s="1572">
        <f t="shared" si="16"/>
        <v>43374</v>
      </c>
      <c r="I46" s="1572">
        <f t="shared" si="16"/>
        <v>43344</v>
      </c>
      <c r="J46" s="1572">
        <f t="shared" si="16"/>
        <v>43313</v>
      </c>
      <c r="K46" s="1572">
        <f t="shared" si="16"/>
        <v>43282</v>
      </c>
      <c r="L46" s="1572">
        <f t="shared" si="16"/>
        <v>43252</v>
      </c>
      <c r="M46" s="1572">
        <f t="shared" si="16"/>
        <v>43221</v>
      </c>
      <c r="N46" s="1572">
        <f t="shared" si="16"/>
        <v>43191</v>
      </c>
      <c r="O46" s="1572">
        <f t="shared" si="16"/>
        <v>43160</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2738</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2727</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2731</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2739</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2741</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2329</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2331</v>
      </c>
      <c r="B3" s="608" t="e">
        <f>ROUND(IF(D3="",B2*10000/'数据-汇总表'!E3,B2*10000/D3),0)</f>
        <v>#DIV/0!</v>
      </c>
      <c r="C3" s="247" t="s">
        <v>2744</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2644</v>
      </c>
      <c r="B4" s="402"/>
      <c r="C4" s="3207" t="s">
        <v>2645</v>
      </c>
      <c r="D4" s="3208"/>
      <c r="E4" s="3209" t="s">
        <v>2646</v>
      </c>
      <c r="F4" s="3210"/>
      <c r="G4" s="3207" t="s">
        <v>2647</v>
      </c>
      <c r="H4" s="3208"/>
      <c r="I4" s="3207" t="s">
        <v>2648</v>
      </c>
      <c r="J4" s="3208"/>
      <c r="K4" s="609" t="s">
        <v>2649</v>
      </c>
      <c r="L4" s="1128"/>
      <c r="M4" s="1129"/>
      <c r="N4" s="1129"/>
      <c r="O4" s="1129"/>
      <c r="P4" s="3211" t="s">
        <v>2650</v>
      </c>
      <c r="Q4" s="3212"/>
      <c r="R4" s="3194" t="s">
        <v>2646</v>
      </c>
      <c r="S4" s="3195"/>
      <c r="T4" s="3194" t="s">
        <v>2647</v>
      </c>
      <c r="U4" s="3195"/>
      <c r="V4" s="3219" t="s">
        <v>2648</v>
      </c>
      <c r="W4" s="3219"/>
      <c r="X4" s="1810"/>
      <c r="Y4" s="3194" t="s">
        <v>2650</v>
      </c>
      <c r="Z4" s="3195"/>
      <c r="AA4" s="3189" t="s">
        <v>2646</v>
      </c>
      <c r="AB4" s="3190" t="s">
        <v>2647</v>
      </c>
      <c r="AC4" s="3189" t="s">
        <v>2648</v>
      </c>
    </row>
    <row r="5" spans="1:29" ht="15">
      <c r="A5" s="404"/>
      <c r="B5" s="405"/>
      <c r="C5" s="3200" t="s">
        <v>2541</v>
      </c>
      <c r="D5" s="3201"/>
      <c r="E5" s="3198" t="s">
        <v>2542</v>
      </c>
      <c r="F5" s="3199"/>
      <c r="G5" s="3200" t="s">
        <v>2543</v>
      </c>
      <c r="H5" s="3201"/>
      <c r="I5" s="3200" t="s">
        <v>2544</v>
      </c>
      <c r="J5" s="3201"/>
      <c r="K5" s="609"/>
      <c r="L5" s="1128"/>
      <c r="M5" s="1129"/>
      <c r="N5" s="1129"/>
      <c r="O5" s="1129"/>
      <c r="P5" s="3213"/>
      <c r="Q5" s="3214"/>
      <c r="R5" s="3196"/>
      <c r="S5" s="3197"/>
      <c r="T5" s="3196"/>
      <c r="U5" s="3197"/>
      <c r="V5" s="3219"/>
      <c r="W5" s="3219"/>
      <c r="X5" s="1810"/>
      <c r="Y5" s="3196"/>
      <c r="Z5" s="3197"/>
      <c r="AA5" s="3190"/>
      <c r="AB5" s="3190"/>
      <c r="AC5" s="3190"/>
    </row>
    <row r="6" spans="1:29" ht="15.75" thickBot="1">
      <c r="A6" s="406"/>
      <c r="B6" s="407"/>
      <c r="C6" s="3289" t="s">
        <v>2795</v>
      </c>
      <c r="D6" s="3290"/>
      <c r="E6" s="3291" t="s">
        <v>2795</v>
      </c>
      <c r="F6" s="3292"/>
      <c r="G6" s="3289" t="s">
        <v>2795</v>
      </c>
      <c r="H6" s="3290"/>
      <c r="I6" s="3289" t="s">
        <v>2795</v>
      </c>
      <c r="J6" s="3290"/>
      <c r="K6" s="609" t="s">
        <v>2546</v>
      </c>
      <c r="L6" s="1128"/>
      <c r="M6" s="1129"/>
      <c r="N6" s="1129"/>
      <c r="O6" s="1129"/>
      <c r="P6" s="3215"/>
      <c r="Q6" s="3216"/>
      <c r="R6" s="3196"/>
      <c r="S6" s="3197"/>
      <c r="T6" s="3217"/>
      <c r="U6" s="3218"/>
      <c r="V6" s="3219"/>
      <c r="W6" s="3219"/>
      <c r="X6" s="1810"/>
      <c r="Y6" s="3217"/>
      <c r="Z6" s="3218"/>
      <c r="AA6" s="3191"/>
      <c r="AB6" s="3191"/>
      <c r="AC6" s="3191"/>
    </row>
    <row r="7" spans="1:29" s="117" customFormat="1" ht="15.75" thickBot="1">
      <c r="A7" s="408" t="s">
        <v>2547</v>
      </c>
      <c r="B7" s="409"/>
      <c r="C7" s="410">
        <f>'数据-取费表'!B2</f>
        <v>43539</v>
      </c>
      <c r="D7" s="411">
        <v>100</v>
      </c>
      <c r="E7" s="412"/>
      <c r="F7" s="413">
        <f>SUMIF(65:65,YEAR(E7)&amp;"-"&amp;INT((MONTH(E7)+2)/3),66:66)</f>
        <v>0</v>
      </c>
      <c r="G7" s="2691"/>
      <c r="H7" s="411">
        <f>SUMIF(65:65,YEAR(G7)&amp;"-"&amp;INT((MONTH(G7)+2)/3),66:66)</f>
        <v>0</v>
      </c>
      <c r="I7" s="2691"/>
      <c r="J7" s="411">
        <f>SUMIF(65:65,YEAR(I7)&amp;"-"&amp;INT((MONTH(I7)+2)/3),66:66)</f>
        <v>0</v>
      </c>
      <c r="K7" s="610"/>
      <c r="L7" s="1130"/>
      <c r="M7" s="1131"/>
      <c r="N7" s="1131"/>
      <c r="O7" s="1131"/>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0"/>
      <c r="L8" s="1130"/>
      <c r="M8" s="1131"/>
      <c r="N8" s="1131"/>
      <c r="O8" s="1131"/>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0"/>
      <c r="L9" s="1130"/>
      <c r="M9" s="1131"/>
      <c r="N9" s="1131"/>
      <c r="O9" s="1132"/>
      <c r="P9" s="3206" t="s">
        <v>2554</v>
      </c>
      <c r="Q9" s="1792"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7">
      <c r="A10" s="420"/>
      <c r="B10" s="421" t="s">
        <v>2556</v>
      </c>
      <c r="C10" s="431"/>
      <c r="D10" s="136">
        <v>100</v>
      </c>
      <c r="E10" s="431"/>
      <c r="F10" s="136">
        <f>ROUND(100/'数据-取费表'!G16,0)</f>
        <v>105</v>
      </c>
      <c r="G10" s="431"/>
      <c r="H10" s="136">
        <f>ROUND(100/'数据-取费表'!G16,0)</f>
        <v>105</v>
      </c>
      <c r="I10" s="431"/>
      <c r="J10" s="136">
        <f>ROUND(100/'数据-取费表'!G16,0)</f>
        <v>105</v>
      </c>
      <c r="K10" s="671"/>
      <c r="L10" s="1133"/>
      <c r="M10" s="1134"/>
      <c r="N10" s="1134"/>
      <c r="O10" s="1135"/>
      <c r="P10" s="3206"/>
      <c r="Q10" s="1792" t="str">
        <f t="shared" si="6"/>
        <v>土地使用年限（年）</v>
      </c>
      <c r="R10" s="769" t="s">
        <v>17</v>
      </c>
      <c r="S10" s="770">
        <f t="shared" si="0"/>
        <v>105</v>
      </c>
      <c r="T10" s="769" t="s">
        <v>17</v>
      </c>
      <c r="U10" s="770">
        <f t="shared" si="1"/>
        <v>105</v>
      </c>
      <c r="V10" s="769" t="s">
        <v>17</v>
      </c>
      <c r="W10" s="770">
        <f t="shared" si="2"/>
        <v>105</v>
      </c>
      <c r="X10" s="771"/>
      <c r="Y10" s="3069"/>
      <c r="Z10" s="55" t="str">
        <f t="shared" si="7"/>
        <v>土地使用年限（年）</v>
      </c>
      <c r="AA10" s="772">
        <f t="shared" si="3"/>
        <v>0.95238095238095233</v>
      </c>
      <c r="AB10" s="772">
        <f t="shared" si="4"/>
        <v>0.95238095238095233</v>
      </c>
      <c r="AC10" s="772">
        <f t="shared" si="5"/>
        <v>0.95238095238095233</v>
      </c>
    </row>
    <row r="11" spans="1:29" ht="15">
      <c r="A11" s="427"/>
      <c r="B11" s="421" t="s">
        <v>2557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6"/>
      <c r="M11" s="1129"/>
      <c r="N11" s="1129"/>
      <c r="O11" s="1137"/>
      <c r="P11" s="3206"/>
      <c r="Q11" s="1792"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0"/>
      <c r="M12" s="1131"/>
      <c r="N12" s="1131"/>
      <c r="O12" s="1132"/>
      <c r="P12" s="3206"/>
      <c r="Q12" s="1792">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8"/>
      <c r="M13" s="1129"/>
      <c r="N13" s="1129"/>
      <c r="O13" s="1137"/>
      <c r="P13" s="3206"/>
      <c r="Q13" s="1792">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6"/>
      <c r="Q14" s="1792">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57">
      <c r="A15" s="439" t="s">
        <v>2558</v>
      </c>
      <c r="B15" s="628"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1" t="s">
        <v>2559</v>
      </c>
      <c r="Q15" s="1807" t="str">
        <f t="shared" si="6"/>
        <v>产业集聚程度</v>
      </c>
      <c r="R15" s="773" t="s">
        <v>17</v>
      </c>
      <c r="S15" s="774">
        <f t="shared" si="0"/>
        <v>100</v>
      </c>
      <c r="T15" s="773" t="s">
        <v>17</v>
      </c>
      <c r="U15" s="774">
        <f t="shared" si="1"/>
        <v>100</v>
      </c>
      <c r="V15" s="773" t="s">
        <v>17</v>
      </c>
      <c r="W15" s="774">
        <f t="shared" si="2"/>
        <v>100</v>
      </c>
      <c r="X15" s="1810"/>
      <c r="Y15" s="3221" t="s">
        <v>2559</v>
      </c>
      <c r="Z15" s="1811" t="str">
        <f t="shared" si="7"/>
        <v>产业集聚程度</v>
      </c>
      <c r="AA15" s="1808">
        <f t="shared" si="3"/>
        <v>1</v>
      </c>
      <c r="AB15" s="1808">
        <f t="shared" si="4"/>
        <v>1</v>
      </c>
      <c r="AC15" s="1808">
        <f t="shared" si="5"/>
        <v>1</v>
      </c>
    </row>
    <row r="16" spans="1:29" ht="15">
      <c r="A16" s="427"/>
      <c r="B16" s="629"/>
      <c r="C16" s="446"/>
      <c r="D16" s="447"/>
      <c r="E16" s="2606"/>
      <c r="F16" s="447"/>
      <c r="G16" s="2606"/>
      <c r="H16" s="449"/>
      <c r="I16" s="2606"/>
      <c r="J16" s="447"/>
      <c r="K16" s="671"/>
      <c r="L16" s="1138"/>
      <c r="M16" s="1129"/>
      <c r="N16" s="1129"/>
      <c r="O16" s="1137"/>
      <c r="P16" s="3222"/>
      <c r="Q16" s="1807"/>
      <c r="R16" s="773"/>
      <c r="S16" s="774"/>
      <c r="T16" s="773"/>
      <c r="U16" s="774"/>
      <c r="V16" s="773"/>
      <c r="W16" s="774"/>
      <c r="X16" s="1810"/>
      <c r="Y16" s="3222"/>
      <c r="Z16" s="1811"/>
      <c r="AA16" s="1808">
        <v>1</v>
      </c>
      <c r="AB16" s="1808">
        <v>1</v>
      </c>
      <c r="AC16" s="1808">
        <v>1</v>
      </c>
    </row>
    <row r="17" spans="1:29" ht="85.5">
      <c r="A17" s="427"/>
      <c r="B17" s="630" t="s">
        <v>2708</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2"/>
      <c r="Q17" s="1807" t="str">
        <f>B17</f>
        <v>交通便捷度</v>
      </c>
      <c r="R17" s="773" t="s">
        <v>17</v>
      </c>
      <c r="S17" s="774">
        <f>F17</f>
        <v>100</v>
      </c>
      <c r="T17" s="773" t="s">
        <v>17</v>
      </c>
      <c r="U17" s="774">
        <f>H17</f>
        <v>100</v>
      </c>
      <c r="V17" s="773" t="s">
        <v>17</v>
      </c>
      <c r="W17" s="774">
        <f>J17</f>
        <v>100</v>
      </c>
      <c r="X17" s="1810"/>
      <c r="Y17" s="3222"/>
      <c r="Z17" s="1811" t="str">
        <f>Q17</f>
        <v>交通便捷度</v>
      </c>
      <c r="AA17" s="1808">
        <f t="shared" si="3"/>
        <v>1</v>
      </c>
      <c r="AB17" s="1808">
        <f t="shared" si="4"/>
        <v>1</v>
      </c>
      <c r="AC17" s="1808">
        <f t="shared" si="5"/>
        <v>1</v>
      </c>
    </row>
    <row r="18" spans="1:29" ht="15">
      <c r="A18" s="427"/>
      <c r="B18" s="631"/>
      <c r="C18" s="446"/>
      <c r="D18" s="447"/>
      <c r="E18" s="2600"/>
      <c r="F18" s="447"/>
      <c r="G18" s="2600"/>
      <c r="H18" s="447"/>
      <c r="I18" s="2599"/>
      <c r="J18" s="447"/>
      <c r="K18" s="671"/>
      <c r="L18" s="1138"/>
      <c r="M18" s="1129"/>
      <c r="N18" s="1129"/>
      <c r="O18" s="1137"/>
      <c r="P18" s="3222"/>
      <c r="Q18" s="1807"/>
      <c r="R18" s="773"/>
      <c r="S18" s="774"/>
      <c r="T18" s="773"/>
      <c r="U18" s="774"/>
      <c r="V18" s="773"/>
      <c r="W18" s="774"/>
      <c r="X18" s="1810"/>
      <c r="Y18" s="3222"/>
      <c r="Z18" s="1811"/>
      <c r="AA18" s="1808">
        <v>1</v>
      </c>
      <c r="AB18" s="1808">
        <v>1</v>
      </c>
      <c r="AC18" s="1808">
        <v>1</v>
      </c>
    </row>
    <row r="19" spans="1:29" ht="15">
      <c r="A19" s="427"/>
      <c r="B19" s="630"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2"/>
      <c r="Q19" s="1807" t="str">
        <f t="shared" ref="Q19:Q33" si="8">B19</f>
        <v>区域土地利用方向</v>
      </c>
      <c r="R19" s="773" t="s">
        <v>17</v>
      </c>
      <c r="S19" s="774">
        <f>F19</f>
        <v>100</v>
      </c>
      <c r="T19" s="773" t="s">
        <v>17</v>
      </c>
      <c r="U19" s="774">
        <f>H19</f>
        <v>100</v>
      </c>
      <c r="V19" s="773" t="s">
        <v>17</v>
      </c>
      <c r="W19" s="774">
        <f>J19</f>
        <v>100</v>
      </c>
      <c r="X19" s="1810"/>
      <c r="Y19" s="3222"/>
      <c r="Z19" s="1811" t="str">
        <f>Q19</f>
        <v>区域土地利用方向</v>
      </c>
      <c r="AA19" s="1808">
        <f t="shared" si="3"/>
        <v>1</v>
      </c>
      <c r="AB19" s="1808">
        <f t="shared" si="4"/>
        <v>1</v>
      </c>
      <c r="AC19" s="1808">
        <f t="shared" si="5"/>
        <v>1</v>
      </c>
    </row>
    <row r="20" spans="1:29" ht="15">
      <c r="A20" s="404"/>
      <c r="B20" s="631"/>
      <c r="C20" s="446"/>
      <c r="D20" s="447"/>
      <c r="E20" s="2600"/>
      <c r="F20" s="447"/>
      <c r="G20" s="2600"/>
      <c r="H20" s="447"/>
      <c r="I20" s="2600"/>
      <c r="J20" s="447"/>
      <c r="K20" s="807"/>
      <c r="L20" s="1138"/>
      <c r="M20" s="1129"/>
      <c r="N20" s="1129"/>
      <c r="O20" s="1137"/>
      <c r="P20" s="3222"/>
      <c r="Q20" s="1807"/>
      <c r="R20" s="773"/>
      <c r="S20" s="774"/>
      <c r="T20" s="773"/>
      <c r="U20" s="774"/>
      <c r="V20" s="773"/>
      <c r="W20" s="774"/>
      <c r="X20" s="1810"/>
      <c r="Y20" s="3222"/>
      <c r="Z20" s="1811"/>
      <c r="AA20" s="1808"/>
      <c r="AB20" s="1808"/>
      <c r="AC20" s="1808"/>
    </row>
    <row r="21" spans="1:29" ht="71.25">
      <c r="A21" s="404"/>
      <c r="B21" s="630"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2"/>
      <c r="Q21" s="1807" t="str">
        <f t="shared" si="8"/>
        <v>环境状况</v>
      </c>
      <c r="R21" s="773" t="s">
        <v>17</v>
      </c>
      <c r="S21" s="774">
        <f>F21</f>
        <v>100</v>
      </c>
      <c r="T21" s="773" t="s">
        <v>17</v>
      </c>
      <c r="U21" s="774">
        <f>H21</f>
        <v>100</v>
      </c>
      <c r="V21" s="773" t="s">
        <v>17</v>
      </c>
      <c r="W21" s="774">
        <f>J21</f>
        <v>100</v>
      </c>
      <c r="X21" s="1810"/>
      <c r="Y21" s="3222"/>
      <c r="Z21" s="1811" t="str">
        <f>Q21</f>
        <v>环境状况</v>
      </c>
      <c r="AA21" s="1808">
        <f t="shared" si="3"/>
        <v>1</v>
      </c>
      <c r="AB21" s="1808">
        <f t="shared" si="4"/>
        <v>1</v>
      </c>
      <c r="AC21" s="1808">
        <f t="shared" si="5"/>
        <v>1</v>
      </c>
    </row>
    <row r="22" spans="1:29" ht="15">
      <c r="A22" s="404"/>
      <c r="B22" s="631"/>
      <c r="C22" s="446"/>
      <c r="D22" s="447"/>
      <c r="E22" s="2606"/>
      <c r="F22" s="447"/>
      <c r="G22" s="2606"/>
      <c r="H22" s="447"/>
      <c r="I22" s="446"/>
      <c r="J22" s="447"/>
      <c r="K22" s="671"/>
      <c r="L22" s="1138"/>
      <c r="M22" s="1129"/>
      <c r="N22" s="1129"/>
      <c r="O22" s="1137"/>
      <c r="P22" s="3222"/>
      <c r="Q22" s="1807"/>
      <c r="R22" s="773"/>
      <c r="S22" s="774"/>
      <c r="T22" s="773"/>
      <c r="U22" s="774"/>
      <c r="V22" s="773"/>
      <c r="W22" s="774"/>
      <c r="X22" s="1810"/>
      <c r="Y22" s="3222"/>
      <c r="Z22" s="1811"/>
      <c r="AA22" s="1808">
        <v>1</v>
      </c>
      <c r="AB22" s="1808">
        <v>1</v>
      </c>
      <c r="AC22" s="1808">
        <v>1</v>
      </c>
    </row>
    <row r="23" spans="1:29" s="117" customFormat="1" ht="42.75">
      <c r="A23" s="648"/>
      <c r="B23" s="632" t="s">
        <v>2653</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2"/>
      <c r="Q23" s="1792" t="str">
        <f t="shared" si="8"/>
        <v>公共配套设施</v>
      </c>
      <c r="R23" s="769" t="s">
        <v>17</v>
      </c>
      <c r="S23" s="770">
        <f>F23</f>
        <v>100</v>
      </c>
      <c r="T23" s="769" t="s">
        <v>17</v>
      </c>
      <c r="U23" s="770">
        <f>H23</f>
        <v>100</v>
      </c>
      <c r="V23" s="769" t="s">
        <v>17</v>
      </c>
      <c r="W23" s="770">
        <f>J23</f>
        <v>100</v>
      </c>
      <c r="X23" s="771"/>
      <c r="Y23" s="3222"/>
      <c r="Z23" s="55" t="str">
        <f>Q23</f>
        <v>公共配套设施</v>
      </c>
      <c r="AA23" s="1808">
        <f>D23/F23</f>
        <v>1</v>
      </c>
      <c r="AB23" s="1808">
        <f>D23/H23</f>
        <v>1</v>
      </c>
      <c r="AC23" s="1808">
        <f>D23/J23</f>
        <v>1</v>
      </c>
    </row>
    <row r="24" spans="1:29" s="117" customFormat="1" ht="15">
      <c r="A24" s="648"/>
      <c r="B24" s="631"/>
      <c r="C24" s="2695"/>
      <c r="D24" s="447"/>
      <c r="E24" s="2606"/>
      <c r="F24" s="447"/>
      <c r="G24" s="2606"/>
      <c r="H24" s="447"/>
      <c r="I24" s="446"/>
      <c r="J24" s="447"/>
      <c r="K24" s="671"/>
      <c r="L24" s="1130"/>
      <c r="M24" s="1131"/>
      <c r="N24" s="1131"/>
      <c r="O24" s="1132"/>
      <c r="P24" s="3222"/>
      <c r="Q24" s="1792"/>
      <c r="R24" s="769"/>
      <c r="S24" s="770"/>
      <c r="T24" s="769"/>
      <c r="U24" s="770"/>
      <c r="V24" s="769"/>
      <c r="W24" s="770"/>
      <c r="X24" s="771"/>
      <c r="Y24" s="3222"/>
      <c r="Z24" s="55"/>
      <c r="AA24" s="772">
        <v>1</v>
      </c>
      <c r="AB24" s="772">
        <v>1</v>
      </c>
      <c r="AC24" s="772">
        <v>1</v>
      </c>
    </row>
    <row r="25" spans="1:29" s="117" customFormat="1" ht="28.5">
      <c r="A25" s="648"/>
      <c r="B25" s="632" t="s">
        <v>2654</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2"/>
      <c r="Q25" s="1792" t="str">
        <f t="shared" ref="Q25" si="9">B25</f>
        <v>基础设施水平</v>
      </c>
      <c r="R25" s="769" t="s">
        <v>17</v>
      </c>
      <c r="S25" s="770">
        <f>F25</f>
        <v>100</v>
      </c>
      <c r="T25" s="769" t="s">
        <v>17</v>
      </c>
      <c r="U25" s="770">
        <f>H25</f>
        <v>100</v>
      </c>
      <c r="V25" s="769" t="s">
        <v>17</v>
      </c>
      <c r="W25" s="770">
        <f>J25</f>
        <v>100</v>
      </c>
      <c r="X25" s="771"/>
      <c r="Y25" s="3222"/>
      <c r="Z25" s="55" t="str">
        <f>Q25</f>
        <v>基础设施水平</v>
      </c>
      <c r="AA25" s="1808">
        <f>D25/F25</f>
        <v>1</v>
      </c>
      <c r="AB25" s="1808">
        <f>D25/H25</f>
        <v>1</v>
      </c>
      <c r="AC25" s="1808">
        <f>D25/J25</f>
        <v>1</v>
      </c>
    </row>
    <row r="26" spans="1:29" s="117" customFormat="1" ht="15">
      <c r="A26" s="648"/>
      <c r="B26" s="631"/>
      <c r="C26" s="2695"/>
      <c r="D26" s="447"/>
      <c r="E26" s="2696"/>
      <c r="F26" s="447"/>
      <c r="G26" s="2696"/>
      <c r="H26" s="447"/>
      <c r="I26" s="2696"/>
      <c r="J26" s="447"/>
      <c r="K26" s="671"/>
      <c r="L26" s="1130"/>
      <c r="M26" s="1131"/>
      <c r="N26" s="1131"/>
      <c r="O26" s="1132"/>
      <c r="P26" s="3222"/>
      <c r="Q26" s="1792"/>
      <c r="R26" s="769"/>
      <c r="S26" s="770"/>
      <c r="T26" s="769"/>
      <c r="U26" s="770"/>
      <c r="V26" s="769"/>
      <c r="W26" s="770"/>
      <c r="X26" s="771"/>
      <c r="Y26" s="3222"/>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2"/>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22"/>
      <c r="Z27" s="1811" t="str">
        <f t="shared" ref="Z27:Z40" si="13">Q27</f>
        <v>临街状况</v>
      </c>
      <c r="AA27" s="1808">
        <f t="shared" si="3"/>
        <v>1</v>
      </c>
      <c r="AB27" s="1808">
        <f t="shared" si="4"/>
        <v>1</v>
      </c>
      <c r="AC27" s="1808">
        <f t="shared" si="5"/>
        <v>1</v>
      </c>
    </row>
    <row r="28" spans="1:29" ht="27">
      <c r="A28" s="427"/>
      <c r="B28" s="632" t="s">
        <v>2690</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2"/>
      <c r="Q28" s="1807" t="str">
        <f t="shared" si="8"/>
        <v>毗邻道路的类型与等级</v>
      </c>
      <c r="R28" s="773" t="s">
        <v>17</v>
      </c>
      <c r="S28" s="774">
        <f t="shared" si="10"/>
        <v>100</v>
      </c>
      <c r="T28" s="773" t="s">
        <v>17</v>
      </c>
      <c r="U28" s="774">
        <f t="shared" si="11"/>
        <v>100</v>
      </c>
      <c r="V28" s="773" t="s">
        <v>17</v>
      </c>
      <c r="W28" s="774">
        <f t="shared" si="12"/>
        <v>100</v>
      </c>
      <c r="X28" s="1810"/>
      <c r="Y28" s="3222"/>
      <c r="Z28" s="1811" t="str">
        <f t="shared" si="13"/>
        <v>毗邻道路的类型与等级</v>
      </c>
      <c r="AA28" s="1808">
        <f t="shared" si="3"/>
        <v>1</v>
      </c>
      <c r="AB28" s="1808">
        <f t="shared" si="4"/>
        <v>1</v>
      </c>
      <c r="AC28" s="1808">
        <f t="shared" si="5"/>
        <v>1</v>
      </c>
    </row>
    <row r="29" spans="1:29" ht="15">
      <c r="A29" s="427"/>
      <c r="B29" s="631"/>
      <c r="C29" s="446"/>
      <c r="D29" s="447"/>
      <c r="E29" s="2606"/>
      <c r="F29" s="447"/>
      <c r="G29" s="2606"/>
      <c r="H29" s="447"/>
      <c r="I29" s="2606"/>
      <c r="J29" s="447"/>
      <c r="K29" s="612"/>
      <c r="L29" s="1138"/>
      <c r="M29" s="1129"/>
      <c r="N29" s="1129"/>
      <c r="O29" s="1137"/>
      <c r="P29" s="3222"/>
      <c r="Q29" s="1807"/>
      <c r="R29" s="773"/>
      <c r="S29" s="774"/>
      <c r="T29" s="773"/>
      <c r="U29" s="774"/>
      <c r="V29" s="773"/>
      <c r="W29" s="774"/>
      <c r="X29" s="1810"/>
      <c r="Y29" s="3222"/>
      <c r="Z29" s="1811"/>
      <c r="AA29" s="1808">
        <v>1</v>
      </c>
      <c r="AB29" s="1808">
        <v>1</v>
      </c>
      <c r="AC29" s="1808">
        <v>1</v>
      </c>
    </row>
    <row r="30" spans="1:29" ht="15">
      <c r="A30" s="427"/>
      <c r="B30" s="653" t="s">
        <v>2748</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2"/>
      <c r="Q30" s="1807" t="str">
        <f t="shared" si="8"/>
        <v>土地级别</v>
      </c>
      <c r="R30" s="773" t="s">
        <v>17</v>
      </c>
      <c r="S30" s="774">
        <f t="shared" si="10"/>
        <v>100</v>
      </c>
      <c r="T30" s="773" t="s">
        <v>17</v>
      </c>
      <c r="U30" s="774">
        <f t="shared" si="11"/>
        <v>100</v>
      </c>
      <c r="V30" s="773" t="s">
        <v>17</v>
      </c>
      <c r="W30" s="774">
        <f t="shared" si="12"/>
        <v>100</v>
      </c>
      <c r="X30" s="1810"/>
      <c r="Y30" s="3222"/>
      <c r="Z30" s="1811" t="str">
        <f t="shared" si="13"/>
        <v>土地级别</v>
      </c>
      <c r="AA30" s="1808">
        <f t="shared" si="3"/>
        <v>1</v>
      </c>
      <c r="AB30" s="1808">
        <f t="shared" si="4"/>
        <v>1</v>
      </c>
      <c r="AC30" s="1808">
        <f t="shared" si="5"/>
        <v>1</v>
      </c>
    </row>
    <row r="31" spans="1:29" ht="15">
      <c r="A31" s="404"/>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2"/>
      <c r="Q31" s="1807">
        <f t="shared" si="8"/>
        <v>111</v>
      </c>
      <c r="R31" s="773" t="s">
        <v>17</v>
      </c>
      <c r="S31" s="774">
        <f t="shared" si="10"/>
        <v>100</v>
      </c>
      <c r="T31" s="773" t="s">
        <v>17</v>
      </c>
      <c r="U31" s="774">
        <f t="shared" si="11"/>
        <v>100</v>
      </c>
      <c r="V31" s="773" t="s">
        <v>17</v>
      </c>
      <c r="W31" s="774">
        <f t="shared" si="12"/>
        <v>100</v>
      </c>
      <c r="X31" s="1810"/>
      <c r="Y31" s="3222"/>
      <c r="Z31" s="1811">
        <f t="shared" si="13"/>
        <v>111</v>
      </c>
      <c r="AA31" s="1808">
        <f t="shared" si="3"/>
        <v>1</v>
      </c>
      <c r="AB31" s="1808">
        <f t="shared" si="4"/>
        <v>1</v>
      </c>
      <c r="AC31" s="1808">
        <f t="shared" si="5"/>
        <v>1</v>
      </c>
    </row>
    <row r="32" spans="1:29" ht="1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23" t="s">
        <v>2564</v>
      </c>
      <c r="Q32" s="1807">
        <f t="shared" si="8"/>
        <v>111</v>
      </c>
      <c r="R32" s="773" t="s">
        <v>17</v>
      </c>
      <c r="S32" s="774">
        <f t="shared" si="10"/>
        <v>100</v>
      </c>
      <c r="T32" s="773" t="s">
        <v>17</v>
      </c>
      <c r="U32" s="774">
        <f t="shared" si="11"/>
        <v>100</v>
      </c>
      <c r="V32" s="773" t="s">
        <v>17</v>
      </c>
      <c r="W32" s="774">
        <f t="shared" si="12"/>
        <v>100</v>
      </c>
      <c r="X32" s="1810"/>
      <c r="Y32" s="3224" t="s">
        <v>2564</v>
      </c>
      <c r="Z32" s="1811">
        <f t="shared" si="13"/>
        <v>111</v>
      </c>
      <c r="AA32" s="1808">
        <f t="shared" si="3"/>
        <v>1</v>
      </c>
      <c r="AB32" s="1808">
        <f t="shared" si="4"/>
        <v>1</v>
      </c>
      <c r="AC32" s="1808">
        <f t="shared" si="5"/>
        <v>1</v>
      </c>
    </row>
    <row r="33" spans="1:29" s="470" customFormat="1" ht="15.75" thickBot="1">
      <c r="A33" s="675"/>
      <c r="B33" s="271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4"/>
      <c r="Q33" s="1807">
        <f t="shared" si="8"/>
        <v>111</v>
      </c>
      <c r="R33" s="776" t="s">
        <v>17</v>
      </c>
      <c r="S33" s="777">
        <f t="shared" si="10"/>
        <v>100</v>
      </c>
      <c r="T33" s="776" t="s">
        <v>17</v>
      </c>
      <c r="U33" s="777">
        <f t="shared" si="11"/>
        <v>100</v>
      </c>
      <c r="V33" s="776" t="s">
        <v>17</v>
      </c>
      <c r="W33" s="777">
        <f t="shared" si="12"/>
        <v>100</v>
      </c>
      <c r="X33" s="778"/>
      <c r="Y33" s="3224"/>
      <c r="Z33" s="779">
        <f t="shared" si="13"/>
        <v>111</v>
      </c>
      <c r="AA33" s="1808">
        <f t="shared" si="3"/>
        <v>1</v>
      </c>
      <c r="AB33" s="1808">
        <f t="shared" si="4"/>
        <v>1</v>
      </c>
      <c r="AC33" s="1808">
        <f t="shared" si="5"/>
        <v>1</v>
      </c>
    </row>
    <row r="34" spans="1:29" ht="15">
      <c r="A34" s="439" t="s">
        <v>2562</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4"/>
      <c r="Q34" s="1807" t="str">
        <f>B34</f>
        <v>宗地面积</v>
      </c>
      <c r="R34" s="773" t="s">
        <v>17</v>
      </c>
      <c r="S34" s="774" t="e">
        <f t="shared" si="10"/>
        <v>#N/A</v>
      </c>
      <c r="T34" s="773" t="s">
        <v>17</v>
      </c>
      <c r="U34" s="774" t="e">
        <f t="shared" si="11"/>
        <v>#N/A</v>
      </c>
      <c r="V34" s="773" t="s">
        <v>17</v>
      </c>
      <c r="W34" s="774" t="e">
        <f t="shared" si="12"/>
        <v>#N/A</v>
      </c>
      <c r="X34" s="1810"/>
      <c r="Y34" s="3224"/>
      <c r="Z34" s="1811" t="str">
        <f t="shared" si="13"/>
        <v>宗地面积</v>
      </c>
      <c r="AA34" s="1808" t="e">
        <f t="shared" si="3"/>
        <v>#N/A</v>
      </c>
      <c r="AB34" s="1808" t="e">
        <f t="shared" si="4"/>
        <v>#N/A</v>
      </c>
      <c r="AC34" s="1808"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8"/>
      <c r="M35" s="1129"/>
      <c r="N35" s="1129"/>
      <c r="O35" s="1137"/>
      <c r="P35" s="3224"/>
      <c r="Q35" s="1807" t="str">
        <f t="shared" ref="Q35:Q40" si="14">B35</f>
        <v>宗地形状</v>
      </c>
      <c r="R35" s="773" t="s">
        <v>17</v>
      </c>
      <c r="S35" s="774">
        <f t="shared" si="10"/>
        <v>100</v>
      </c>
      <c r="T35" s="773" t="s">
        <v>17</v>
      </c>
      <c r="U35" s="774">
        <f t="shared" si="11"/>
        <v>100</v>
      </c>
      <c r="V35" s="773" t="s">
        <v>17</v>
      </c>
      <c r="W35" s="774">
        <f t="shared" si="12"/>
        <v>100</v>
      </c>
      <c r="X35" s="1810"/>
      <c r="Y35" s="3224"/>
      <c r="Z35" s="1811" t="str">
        <f t="shared" si="13"/>
        <v>宗地形状</v>
      </c>
      <c r="AA35" s="1808">
        <f t="shared" si="3"/>
        <v>1</v>
      </c>
      <c r="AB35" s="1808">
        <f t="shared" si="4"/>
        <v>1</v>
      </c>
      <c r="AC35" s="1808">
        <f t="shared" si="5"/>
        <v>1</v>
      </c>
    </row>
    <row r="36" spans="1:29" s="117" customFormat="1" ht="15">
      <c r="A36" s="472"/>
      <c r="B36" s="421" t="s">
        <v>2752</v>
      </c>
      <c r="C36" s="2697"/>
      <c r="D36" s="136">
        <v>100</v>
      </c>
      <c r="E36" s="2697"/>
      <c r="F36" s="434">
        <f>SUMIF(112:112,E36,113:113)-SUMIF(112:112,C36,113:113)+100</f>
        <v>100</v>
      </c>
      <c r="G36" s="2697"/>
      <c r="H36" s="434">
        <f>SUMIF(112:112,G36,113:113)-SUMIF(112:112,C36,113:113)+100</f>
        <v>100</v>
      </c>
      <c r="I36" s="2697"/>
      <c r="J36" s="434">
        <f>SUMIF(112:112,I36,113:113)-SUMIF(112:112,C36,113:113)+100</f>
        <v>100</v>
      </c>
      <c r="K36" s="611"/>
      <c r="L36" s="1130"/>
      <c r="M36" s="1131"/>
      <c r="N36" s="1131"/>
      <c r="O36" s="1132"/>
      <c r="P36" s="3224"/>
      <c r="Q36" s="1807" t="str">
        <f t="shared" si="14"/>
        <v>宗地开发程度</v>
      </c>
      <c r="R36" s="769" t="s">
        <v>17</v>
      </c>
      <c r="S36" s="770">
        <f t="shared" si="10"/>
        <v>100</v>
      </c>
      <c r="T36" s="769" t="s">
        <v>17</v>
      </c>
      <c r="U36" s="770">
        <f t="shared" si="11"/>
        <v>100</v>
      </c>
      <c r="V36" s="769" t="s">
        <v>17</v>
      </c>
      <c r="W36" s="770">
        <f t="shared" si="12"/>
        <v>100</v>
      </c>
      <c r="X36" s="771"/>
      <c r="Y36" s="3224"/>
      <c r="Z36" s="55" t="str">
        <f t="shared" si="13"/>
        <v>宗地开发程度</v>
      </c>
      <c r="AA36" s="772">
        <f t="shared" si="3"/>
        <v>1</v>
      </c>
      <c r="AB36" s="772">
        <f t="shared" si="4"/>
        <v>1</v>
      </c>
      <c r="AC36" s="772">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8"/>
      <c r="M37" s="1129"/>
      <c r="N37" s="1129"/>
      <c r="O37" s="1137"/>
      <c r="P37" s="3224" t="s">
        <v>2564</v>
      </c>
      <c r="Q37" s="1807" t="str">
        <f t="shared" si="14"/>
        <v>工程地质条件</v>
      </c>
      <c r="R37" s="773" t="s">
        <v>17</v>
      </c>
      <c r="S37" s="774">
        <f t="shared" si="10"/>
        <v>100</v>
      </c>
      <c r="T37" s="773" t="s">
        <v>17</v>
      </c>
      <c r="U37" s="774">
        <f t="shared" si="11"/>
        <v>100</v>
      </c>
      <c r="V37" s="773" t="s">
        <v>17</v>
      </c>
      <c r="W37" s="774">
        <f t="shared" si="12"/>
        <v>100</v>
      </c>
      <c r="X37" s="1810"/>
      <c r="Y37" s="3224" t="s">
        <v>2564</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4"/>
      <c r="Q38" s="1807">
        <f t="shared" si="14"/>
        <v>111</v>
      </c>
      <c r="R38" s="773" t="s">
        <v>17</v>
      </c>
      <c r="S38" s="774">
        <f t="shared" si="10"/>
        <v>100</v>
      </c>
      <c r="T38" s="773" t="s">
        <v>17</v>
      </c>
      <c r="U38" s="774">
        <f t="shared" si="11"/>
        <v>100</v>
      </c>
      <c r="V38" s="773" t="s">
        <v>17</v>
      </c>
      <c r="W38" s="774">
        <f t="shared" si="12"/>
        <v>100</v>
      </c>
      <c r="X38" s="1810"/>
      <c r="Y38" s="3224"/>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4"/>
      <c r="Q39" s="1807">
        <f t="shared" si="14"/>
        <v>111</v>
      </c>
      <c r="R39" s="773" t="s">
        <v>17</v>
      </c>
      <c r="S39" s="774">
        <f t="shared" si="10"/>
        <v>100</v>
      </c>
      <c r="T39" s="773" t="s">
        <v>17</v>
      </c>
      <c r="U39" s="774">
        <f t="shared" si="11"/>
        <v>100</v>
      </c>
      <c r="V39" s="773" t="s">
        <v>17</v>
      </c>
      <c r="W39" s="774">
        <f t="shared" si="12"/>
        <v>100</v>
      </c>
      <c r="X39" s="1810"/>
      <c r="Y39" s="3224"/>
      <c r="Z39" s="1811">
        <f t="shared" si="13"/>
        <v>111</v>
      </c>
      <c r="AA39" s="1808">
        <f t="shared" si="3"/>
        <v>1</v>
      </c>
      <c r="AB39" s="1808">
        <f t="shared" si="4"/>
        <v>1</v>
      </c>
      <c r="AC39" s="1808">
        <f t="shared" si="5"/>
        <v>1</v>
      </c>
    </row>
    <row r="40" spans="1:29" s="470" customFormat="1" ht="15.75" thickBot="1">
      <c r="A40" s="467"/>
      <c r="B40" s="1385">
        <v>111</v>
      </c>
      <c r="C40" s="2698"/>
      <c r="D40" s="137">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4"/>
      <c r="Q40" s="1807">
        <f t="shared" si="14"/>
        <v>111</v>
      </c>
      <c r="R40" s="776" t="s">
        <v>17</v>
      </c>
      <c r="S40" s="777">
        <f t="shared" si="10"/>
        <v>100</v>
      </c>
      <c r="T40" s="776" t="s">
        <v>17</v>
      </c>
      <c r="U40" s="777">
        <f t="shared" si="11"/>
        <v>100</v>
      </c>
      <c r="V40" s="776" t="s">
        <v>17</v>
      </c>
      <c r="W40" s="777">
        <f t="shared" si="12"/>
        <v>100</v>
      </c>
      <c r="X40" s="778"/>
      <c r="Y40" s="3224"/>
      <c r="Z40" s="779">
        <f t="shared" si="13"/>
        <v>111</v>
      </c>
      <c r="AA40" s="1808">
        <f t="shared" si="3"/>
        <v>1</v>
      </c>
      <c r="AB40" s="1808">
        <f t="shared" si="4"/>
        <v>1</v>
      </c>
      <c r="AC40" s="1808">
        <f t="shared" si="5"/>
        <v>1</v>
      </c>
    </row>
    <row r="41" spans="1:29" ht="15">
      <c r="A41" s="478" t="s">
        <v>2719</v>
      </c>
      <c r="B41" s="2699" t="s">
        <v>2798</v>
      </c>
      <c r="C41" s="681" t="s">
        <v>1</v>
      </c>
      <c r="D41" s="480"/>
      <c r="E41" s="481"/>
      <c r="F41" s="482"/>
      <c r="G41" s="483"/>
      <c r="H41" s="484"/>
      <c r="I41" s="481"/>
      <c r="J41" s="484"/>
      <c r="K41" s="782"/>
      <c r="L41" s="1141"/>
      <c r="M41" s="1129"/>
      <c r="N41" s="1129"/>
      <c r="O41" s="1142"/>
      <c r="P41" s="3206" t="str">
        <f>A41</f>
        <v>成交单价</v>
      </c>
      <c r="Q41" s="3206"/>
      <c r="R41" s="3219">
        <f>E41</f>
        <v>0</v>
      </c>
      <c r="S41" s="3219"/>
      <c r="T41" s="3219">
        <f>G41</f>
        <v>0</v>
      </c>
      <c r="U41" s="3219"/>
      <c r="V41" s="3219">
        <f>I41</f>
        <v>0</v>
      </c>
      <c r="W41" s="3219"/>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1"/>
      <c r="M42" s="1129"/>
      <c r="N42" s="1129"/>
      <c r="O42" s="1142"/>
      <c r="P42" s="3206" t="str">
        <f>A42</f>
        <v>比较价值（元/平方米）</v>
      </c>
      <c r="Q42" s="3206"/>
      <c r="R42" s="3225" t="e">
        <f>ROUND(PRODUCT(R41,AA7:AA40),0)</f>
        <v>#DIV/0!</v>
      </c>
      <c r="S42" s="3225"/>
      <c r="T42" s="3225" t="e">
        <f>ROUND(PRODUCT(T41,AB7:AB40),0)</f>
        <v>#DIV/0!</v>
      </c>
      <c r="U42" s="3225"/>
      <c r="V42" s="3225" t="e">
        <f>ROUND(PRODUCT(V41,AC7:AC40),0)</f>
        <v>#DIV/0!</v>
      </c>
      <c r="W42" s="3225"/>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1"/>
      <c r="M43" s="1129"/>
      <c r="N43" s="1129"/>
      <c r="O43" s="1142"/>
      <c r="P43" s="3226" t="str">
        <f>A43</f>
        <v>估价对象XX用房的比较价值（楼面单价，元/平方米）</v>
      </c>
      <c r="Q43" s="3227"/>
      <c r="R43" s="3228" t="e">
        <f>ROUND(AVERAGE(R42:V42),0)</f>
        <v>#DIV/0!</v>
      </c>
      <c r="S43" s="3228"/>
      <c r="T43" s="3228"/>
      <c r="U43" s="3228"/>
      <c r="V43" s="3228"/>
      <c r="W43" s="322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2756</v>
      </c>
      <c r="B50" s="684" t="s">
        <v>2757</v>
      </c>
      <c r="C50" s="2700" t="s">
        <v>2758</v>
      </c>
      <c r="D50" s="2701" t="s">
        <v>2759</v>
      </c>
      <c r="E50" s="685" t="s">
        <v>2760</v>
      </c>
      <c r="F50" s="686" t="s">
        <v>2761</v>
      </c>
      <c r="G50" s="3207" t="s">
        <v>2762</v>
      </c>
      <c r="H50" s="3229"/>
      <c r="I50" s="1811" t="s">
        <v>2799</v>
      </c>
      <c r="J50" s="1811">
        <f>项目基本情况!F35</f>
        <v>0</v>
      </c>
      <c r="K50" s="2703" t="s">
        <v>2764</v>
      </c>
      <c r="L50" s="1104"/>
      <c r="M50" s="1142"/>
      <c r="N50" s="1142"/>
      <c r="O50" s="1142"/>
    </row>
    <row r="51" spans="1:17" s="691" customFormat="1">
      <c r="A51" s="687" t="s">
        <v>2765</v>
      </c>
      <c r="B51" s="688" t="e">
        <f>C43</f>
        <v>#DIV/0!</v>
      </c>
      <c r="C51" s="689">
        <v>1</v>
      </c>
      <c r="D51" s="1161">
        <v>1</v>
      </c>
      <c r="E51" s="689">
        <f>'数据-汇总表'!E8+'数据-汇总表'!E9</f>
        <v>17116.989999999998</v>
      </c>
      <c r="F51" s="690" t="e">
        <f t="shared" ref="F51:F60" si="15">ROUND(B51*E51/10000,0)</f>
        <v>#DIV/0!</v>
      </c>
      <c r="G51" s="3230"/>
      <c r="H51" s="3206"/>
      <c r="I51" s="940">
        <v>1</v>
      </c>
      <c r="J51" s="940">
        <v>1</v>
      </c>
      <c r="K51" s="1143"/>
      <c r="L51" s="939"/>
      <c r="M51" s="939"/>
      <c r="N51" s="939"/>
      <c r="O51" s="939"/>
    </row>
    <row r="52" spans="1:17" s="691" customFormat="1">
      <c r="A52" s="692" t="s">
        <v>2766</v>
      </c>
      <c r="B52" s="262" t="e">
        <f>ROUND($C$43*C52*D52,0)</f>
        <v>#DIV/0!</v>
      </c>
      <c r="C52" s="200">
        <f t="shared" ref="C52:C60" si="16">IF($C$50="北京市系数",I52,J52)</f>
        <v>0</v>
      </c>
      <c r="D52" s="1162">
        <v>0.25</v>
      </c>
      <c r="E52" s="693"/>
      <c r="F52" s="690" t="e">
        <f t="shared" si="15"/>
        <v>#DIV/0!</v>
      </c>
      <c r="G52" s="3231" t="s">
        <v>2767</v>
      </c>
      <c r="H52" s="1102">
        <f>项目基本情况!B37</f>
        <v>0</v>
      </c>
      <c r="I52" s="940">
        <f>SUMIF(修正!A45:A56,H52,修正!B45:B56)</f>
        <v>0</v>
      </c>
      <c r="J52" s="941"/>
      <c r="K52" s="1142"/>
      <c r="L52" s="939"/>
      <c r="M52" s="939"/>
      <c r="N52" s="939"/>
      <c r="O52" s="939"/>
    </row>
    <row r="53" spans="1:17" s="691" customFormat="1">
      <c r="A53" s="692" t="s">
        <v>2768</v>
      </c>
      <c r="B53" s="262" t="e">
        <f t="shared" ref="B53:B60" si="17">ROUND($C$43*C53*D53,0)</f>
        <v>#DIV/0!</v>
      </c>
      <c r="C53" s="200">
        <f t="shared" si="16"/>
        <v>0</v>
      </c>
      <c r="D53" s="1162">
        <v>0.25</v>
      </c>
      <c r="E53" s="693"/>
      <c r="F53" s="690" t="e">
        <f t="shared" si="15"/>
        <v>#DIV/0!</v>
      </c>
      <c r="G53" s="3231"/>
      <c r="H53" s="1102">
        <f>项目基本情况!B37</f>
        <v>0</v>
      </c>
      <c r="I53" s="940">
        <f>SUMIF(修正!A45:A56,H53,修正!C45:C56)</f>
        <v>0</v>
      </c>
      <c r="J53" s="941"/>
      <c r="K53" s="1143"/>
      <c r="L53" s="939"/>
      <c r="M53" s="939"/>
      <c r="N53" s="939"/>
      <c r="O53" s="939"/>
    </row>
    <row r="54" spans="1:17" s="691" customFormat="1">
      <c r="A54" s="692" t="s">
        <v>2769</v>
      </c>
      <c r="B54" s="262" t="e">
        <f t="shared" si="17"/>
        <v>#DIV/0!</v>
      </c>
      <c r="C54" s="200">
        <f t="shared" si="16"/>
        <v>0</v>
      </c>
      <c r="D54" s="1162">
        <v>0.25</v>
      </c>
      <c r="E54" s="693"/>
      <c r="F54" s="690" t="e">
        <f t="shared" si="15"/>
        <v>#DIV/0!</v>
      </c>
      <c r="G54" s="3231"/>
      <c r="H54" s="1102">
        <f>项目基本情况!B37</f>
        <v>0</v>
      </c>
      <c r="I54" s="940">
        <f>SUMIF(修正!A45:A56,H54,修正!D45:D56)</f>
        <v>0</v>
      </c>
      <c r="J54" s="941"/>
      <c r="K54" s="1142"/>
      <c r="L54" s="939"/>
      <c r="M54" s="939"/>
      <c r="N54" s="939"/>
      <c r="O54" s="939"/>
    </row>
    <row r="55" spans="1:17" s="691" customFormat="1">
      <c r="A55" s="692" t="s">
        <v>2770</v>
      </c>
      <c r="B55" s="262" t="e">
        <f t="shared" si="17"/>
        <v>#DIV/0!</v>
      </c>
      <c r="C55" s="200">
        <f t="shared" si="16"/>
        <v>0</v>
      </c>
      <c r="D55" s="1162">
        <v>0.25</v>
      </c>
      <c r="E55" s="693"/>
      <c r="F55" s="690" t="e">
        <f t="shared" si="15"/>
        <v>#DIV/0!</v>
      </c>
      <c r="G55" s="3231"/>
      <c r="H55" s="1102">
        <f>项目基本情况!B37</f>
        <v>0</v>
      </c>
      <c r="I55" s="940">
        <f>SUMIF(修正!A45:A56,H55,修正!E45:E56)</f>
        <v>0</v>
      </c>
      <c r="J55" s="941"/>
      <c r="K55" s="1143"/>
      <c r="L55" s="939"/>
      <c r="M55" s="939"/>
      <c r="N55" s="939"/>
      <c r="O55" s="939"/>
    </row>
    <row r="56" spans="1:17" s="691" customFormat="1">
      <c r="A56" s="692" t="s">
        <v>2771</v>
      </c>
      <c r="B56" s="262" t="e">
        <f t="shared" si="17"/>
        <v>#DIV/0!</v>
      </c>
      <c r="C56" s="200">
        <f t="shared" si="16"/>
        <v>0</v>
      </c>
      <c r="D56" s="1162">
        <v>0.25</v>
      </c>
      <c r="E56" s="261">
        <f>'数据-汇总表'!E11</f>
        <v>0</v>
      </c>
      <c r="F56" s="690" t="e">
        <f t="shared" si="15"/>
        <v>#DIV/0!</v>
      </c>
      <c r="G56" s="2704" t="s">
        <v>2772</v>
      </c>
      <c r="H56" s="1102">
        <f>项目基本情况!C37</f>
        <v>0</v>
      </c>
      <c r="I56" s="940">
        <f>SUMIF(修正!A45:A56,H56,修正!F45:F56)</f>
        <v>0</v>
      </c>
      <c r="J56" s="941"/>
      <c r="K56" s="1142"/>
      <c r="L56" s="939"/>
      <c r="M56" s="939"/>
      <c r="N56" s="939"/>
      <c r="O56" s="939"/>
    </row>
    <row r="57" spans="1:17" s="691" customFormat="1">
      <c r="A57" s="692" t="s">
        <v>2773</v>
      </c>
      <c r="B57" s="262" t="e">
        <f t="shared" si="17"/>
        <v>#DIV/0!</v>
      </c>
      <c r="C57" s="200">
        <f t="shared" si="16"/>
        <v>0</v>
      </c>
      <c r="D57" s="1162">
        <v>0.25</v>
      </c>
      <c r="E57" s="261">
        <f>'数据-汇总表'!E12</f>
        <v>0</v>
      </c>
      <c r="F57" s="690" t="e">
        <f t="shared" si="15"/>
        <v>#DIV/0!</v>
      </c>
      <c r="G57" s="1107" t="s">
        <v>2774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2775</v>
      </c>
      <c r="B58" s="262" t="e">
        <f t="shared" si="17"/>
        <v>#DIV/0!</v>
      </c>
      <c r="C58" s="200">
        <f t="shared" si="16"/>
        <v>0</v>
      </c>
      <c r="D58" s="1162">
        <v>0.25</v>
      </c>
      <c r="E58" s="261">
        <f>'数据-汇总表'!E13</f>
        <v>3184.2</v>
      </c>
      <c r="F58" s="690"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2777</v>
      </c>
      <c r="B59" s="262" t="e">
        <f t="shared" si="17"/>
        <v>#DIV/0!</v>
      </c>
      <c r="C59" s="200">
        <f t="shared" si="16"/>
        <v>0</v>
      </c>
      <c r="D59" s="1162">
        <v>0.25</v>
      </c>
      <c r="E59" s="261">
        <f>'数据-汇总表'!E14</f>
        <v>0</v>
      </c>
      <c r="F59" s="690" t="e">
        <f t="shared" si="15"/>
        <v>#DIV/0!</v>
      </c>
      <c r="G59" s="2704" t="s">
        <v>2767</v>
      </c>
      <c r="H59" s="1102">
        <f>项目基本情况!B37</f>
        <v>0</v>
      </c>
      <c r="I59" s="940">
        <f>SUMIF(修正!A45:A56,H59,修正!H45:H56)</f>
        <v>0</v>
      </c>
      <c r="J59" s="941"/>
      <c r="K59" s="1143"/>
      <c r="L59" s="939"/>
      <c r="M59" s="939"/>
      <c r="N59" s="939"/>
      <c r="O59" s="939"/>
    </row>
    <row r="60" spans="1:17" s="691" customFormat="1" ht="15" thickBot="1">
      <c r="A60" s="692" t="s">
        <v>2778</v>
      </c>
      <c r="B60" s="262" t="e">
        <f t="shared" si="17"/>
        <v>#DIV/0!</v>
      </c>
      <c r="C60" s="200">
        <f t="shared" si="16"/>
        <v>0</v>
      </c>
      <c r="D60" s="1162">
        <v>0.25</v>
      </c>
      <c r="E60" s="261">
        <f>'数据-汇总表'!E15</f>
        <v>0</v>
      </c>
      <c r="F60" s="690" t="e">
        <f t="shared" si="15"/>
        <v>#DIV/0!</v>
      </c>
      <c r="G60" s="2705" t="s">
        <v>2772</v>
      </c>
      <c r="H60" s="1112">
        <f>项目基本情况!C37</f>
        <v>0</v>
      </c>
      <c r="I60" s="940">
        <f>SUMIF(修正!A45:A56,H60,修正!H45:H56)</f>
        <v>0</v>
      </c>
      <c r="J60" s="941"/>
      <c r="K60" s="1142"/>
      <c r="L60" s="939"/>
      <c r="M60" s="939"/>
      <c r="N60" s="939"/>
      <c r="O60" s="939"/>
    </row>
    <row r="61" spans="1:17" s="691" customFormat="1" ht="15" thickBot="1">
      <c r="A61" s="694" t="s">
        <v>2779</v>
      </c>
      <c r="B61" s="695" t="s">
        <v>28</v>
      </c>
      <c r="C61" s="695" t="s">
        <v>29</v>
      </c>
      <c r="D61" s="695" t="s">
        <v>1029</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2673</v>
      </c>
      <c r="B64" s="758"/>
      <c r="C64" s="763"/>
      <c r="D64" s="763"/>
      <c r="E64" s="763"/>
      <c r="F64" s="764"/>
      <c r="G64" s="764"/>
      <c r="H64" s="763"/>
      <c r="I64" s="763"/>
      <c r="J64" s="763"/>
      <c r="K64" s="765"/>
      <c r="L64" s="766"/>
      <c r="M64" s="763"/>
      <c r="N64" s="763"/>
      <c r="O64" s="1157"/>
      <c r="P64" s="502"/>
      <c r="Q64" s="503"/>
    </row>
    <row r="65" spans="1:17" s="507" customFormat="1" ht="15">
      <c r="A65" s="2706" t="s">
        <v>2780</v>
      </c>
      <c r="B65" s="1357"/>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6"/>
    </row>
    <row r="66" spans="1:17" s="117" customFormat="1" ht="30.75" customHeight="1">
      <c r="A66" s="2711" t="s">
        <v>2800</v>
      </c>
      <c r="B66" s="332" t="str">
        <f>"北京市平均增长率"&amp;TEXT(基准地价修正!P24,"0.00%")</f>
        <v>北京市平均增长率0.00%</v>
      </c>
      <c r="C66" s="602">
        <v>100</v>
      </c>
      <c r="D66" s="594"/>
      <c r="E66" s="594"/>
      <c r="F66" s="594"/>
      <c r="G66" s="594"/>
      <c r="H66" s="594"/>
      <c r="I66" s="594"/>
      <c r="J66" s="594"/>
      <c r="K66" s="594"/>
      <c r="L66" s="594"/>
      <c r="M66" s="1565"/>
      <c r="N66" s="1565"/>
      <c r="O66" s="1566"/>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2783</v>
      </c>
      <c r="C87" s="572" t="s">
        <v>2596</v>
      </c>
      <c r="D87" s="572" t="s">
        <v>2597</v>
      </c>
      <c r="E87" s="572" t="s">
        <v>2598</v>
      </c>
      <c r="F87" s="572" t="s">
        <v>2599</v>
      </c>
      <c r="G87" s="572" t="s">
        <v>2600</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2784</v>
      </c>
      <c r="C89" s="572" t="s">
        <v>2596</v>
      </c>
      <c r="D89" s="572" t="s">
        <v>2597</v>
      </c>
      <c r="E89" s="572" t="s">
        <v>2598</v>
      </c>
      <c r="F89" s="572" t="s">
        <v>2599</v>
      </c>
      <c r="G89" s="572" t="s">
        <v>2600</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2748</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2562</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2790</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2792</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2793</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0" customWidth="1"/>
    <col min="33" max="36" width="9.375" style="2791" customWidth="1"/>
    <col min="37" max="38" width="9.375" style="2715" customWidth="1"/>
    <col min="39" max="16384" width="12" style="2715"/>
  </cols>
  <sheetData>
    <row r="1" spans="1:36" ht="28.5">
      <c r="A1" s="240" t="s">
        <v>2802</v>
      </c>
      <c r="B1" s="241"/>
      <c r="C1" s="245" t="s">
        <v>2803</v>
      </c>
      <c r="D1" s="388">
        <f>SUM(D29:D30,D33:D39)</f>
        <v>0</v>
      </c>
      <c r="E1" s="2712"/>
      <c r="F1" s="2712"/>
      <c r="G1" s="2712"/>
      <c r="H1" s="2712"/>
      <c r="I1" s="2712"/>
      <c r="J1" s="2712"/>
      <c r="K1" s="1368"/>
      <c r="L1" s="2713" t="s">
        <v>2804</v>
      </c>
      <c r="M1" s="1078">
        <f>SUMPRODUCT((区片价!B5:B9=I2)*(区片价!C3:F3=E2)*(区片价!C5:F9))</f>
        <v>0</v>
      </c>
      <c r="N1" s="1081">
        <f>SUMPRODUCT((因素修正幅度!B5:B9=I2)*(因素修正幅度!C3:F3=E2)*(因素修正幅度!C5:F9))</f>
        <v>0</v>
      </c>
      <c r="O1" s="2714"/>
      <c r="P1" s="2714"/>
      <c r="Q1" s="1368"/>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5" t="s">
        <v>2810</v>
      </c>
      <c r="B2" s="248"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8"/>
      <c r="L2" s="2721" t="s">
        <v>2815</v>
      </c>
      <c r="M2" s="1079">
        <f>SUMPRODUCT((区片价!B10:B28=I2)*(区片价!C3:F3=E2)*(区片价!C10:F28))</f>
        <v>0</v>
      </c>
      <c r="N2" s="1081">
        <f>SUMPRODUCT((因素修正幅度!B10:B28=I2)*(因素修正幅度!C3:F3=E2)*(因素修正幅度!C10:F28))</f>
        <v>0</v>
      </c>
      <c r="O2" s="1368"/>
      <c r="P2" s="1368"/>
      <c r="Q2" s="1368"/>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2816</v>
      </c>
      <c r="B3" s="248" t="e">
        <f>ROUND(B2*10000/D1,0)</f>
        <v>#DIV/0!</v>
      </c>
      <c r="C3" s="2716" t="s">
        <v>2817</v>
      </c>
      <c r="D3" s="2717" t="s">
        <v>2818</v>
      </c>
      <c r="E3" s="2722"/>
      <c r="F3" s="2723" t="s">
        <v>2819</v>
      </c>
      <c r="G3" s="911" t="e">
        <f>IF(F3="宗地容积率",'数据-汇总表'!I4,IF(F3="估价对象容积率",'数据-汇总表'!I6,'数据-汇总表'!I7))</f>
        <v>#DIV/0!</v>
      </c>
      <c r="H3" s="198" t="s">
        <v>2820</v>
      </c>
      <c r="I3" s="942"/>
      <c r="J3" s="2720" t="s">
        <v>2821</v>
      </c>
      <c r="K3" s="1368"/>
      <c r="L3" s="2721" t="s">
        <v>2822</v>
      </c>
      <c r="M3" s="1079">
        <f>SUMPRODUCT((区片价!B29:B48=I2)*(区片价!C3:F3=E2)*(区片价!C29:F48))</f>
        <v>0</v>
      </c>
      <c r="N3" s="1081">
        <f>SUMPRODUCT((因素修正幅度!B29:B48=I2)*(因素修正幅度!C3:F3=E2)*(因素修正幅度!C29:F48))</f>
        <v>0</v>
      </c>
      <c r="O3" s="1368"/>
      <c r="P3" s="1368"/>
      <c r="Q3" s="1368"/>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7"/>
      <c r="B4" s="3308"/>
      <c r="C4" s="3308"/>
      <c r="D4" s="3309"/>
      <c r="E4" s="3309"/>
      <c r="F4" s="3309"/>
      <c r="G4" s="3309"/>
      <c r="H4" s="3309"/>
      <c r="I4" s="3309"/>
      <c r="J4" s="3310"/>
      <c r="K4" s="1368"/>
      <c r="L4" s="2721" t="s">
        <v>2823</v>
      </c>
      <c r="M4" s="1079">
        <f>SUMPRODUCT((区片价!B49:B75=I2)*(区片价!C3:F3=E2)*(区片价!C49:F75))</f>
        <v>0</v>
      </c>
      <c r="N4" s="1081">
        <f>SUMPRODUCT((因素修正幅度!B49:B75=I2)*(因素修正幅度!C3:F3=E2)*(因素修正幅度!C49:F75))</f>
        <v>0</v>
      </c>
      <c r="O4" s="1368"/>
      <c r="P4" s="1368"/>
      <c r="Q4" s="1368"/>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2824</v>
      </c>
      <c r="C5" s="912" t="e">
        <f>ROUND(IF(E2="商业",IF(F16="增加",C6*C7+C16,C6*C7-C16),IF(E2="住宅",IF(F16="增加",C6*C12+C16,C6*C12-C16),IF(F16="增加",C6+C16,C6-C16))),0)</f>
        <v>#DIV/0!</v>
      </c>
      <c r="D5" s="1784">
        <f>ROUND(IF(E2="商业",IF(F16="增加",C6+C16,C6-C16)),0)</f>
        <v>0</v>
      </c>
      <c r="E5" s="2726"/>
      <c r="F5" s="2726"/>
      <c r="G5" s="2727"/>
      <c r="H5" s="2727"/>
      <c r="I5" s="2727"/>
      <c r="J5" s="2728"/>
      <c r="K5" s="2729"/>
      <c r="L5" s="2721" t="s">
        <v>2825</v>
      </c>
      <c r="M5" s="1079">
        <f>SUMPRODUCT((区片价!B76:B109=I2)*(区片价!C3:F3=E2)*(区片价!C76:F109))</f>
        <v>0</v>
      </c>
      <c r="N5" s="1081">
        <f>SUMPRODUCT((因素修正幅度!B76:B109=I2)*(因素修正幅度!C3:F3=E2)*(因素修正幅度!C76:F109))</f>
        <v>0</v>
      </c>
      <c r="O5" s="1368"/>
      <c r="P5" s="1368"/>
      <c r="Q5" s="1368"/>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2826</v>
      </c>
      <c r="B6" s="2735" t="s">
        <v>2827</v>
      </c>
      <c r="C6" s="913">
        <f>SUMIF(L1:L12,G2,M1:M12)</f>
        <v>0</v>
      </c>
      <c r="D6" s="2736" t="s">
        <v>2828</v>
      </c>
      <c r="E6" s="2737"/>
      <c r="F6" s="2737"/>
      <c r="G6" s="2738"/>
      <c r="H6" s="2738"/>
      <c r="I6" s="2738"/>
      <c r="J6" s="2739"/>
      <c r="K6" s="1839"/>
      <c r="L6" s="2721" t="s">
        <v>2829</v>
      </c>
      <c r="M6" s="1079">
        <f>SUMPRODUCT((区片价!B110:B157=I2)*(区片价!C3:F3=E2)*(区片价!C110:F157))</f>
        <v>0</v>
      </c>
      <c r="N6" s="1081">
        <f>SUMPRODUCT((因素修正幅度!B110:B157=I2)*(因素修正幅度!C3:F3=E2)*(因素修正幅度!C110:F157))</f>
        <v>0</v>
      </c>
      <c r="O6" s="1368"/>
      <c r="P6" s="1368"/>
      <c r="Q6" s="1368"/>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293" t="str">
        <f>IF(E2="商业",IF(C8="不临58条商业街","",2),"")</f>
        <v/>
      </c>
      <c r="B7" s="2740" t="s">
        <v>2830</v>
      </c>
      <c r="C7" s="914" t="e">
        <f>IF(C8="不临58条商业街",1,ROUND(1+(1.6*E8+1.2*E9+0.8*E10+0.4*E11)*C9,4))</f>
        <v>#DIV/0!</v>
      </c>
      <c r="D7" s="2741" t="s">
        <v>2831</v>
      </c>
      <c r="E7" s="943"/>
      <c r="F7" s="2742"/>
      <c r="G7" s="2743"/>
      <c r="H7" s="2743"/>
      <c r="I7" s="2743"/>
      <c r="J7" s="2744"/>
      <c r="K7" s="1839"/>
      <c r="L7" s="2721" t="s">
        <v>2832</v>
      </c>
      <c r="M7" s="1079">
        <f>SUMPRODUCT((区片价!B158:B205=I2)*(区片价!C3:F3=E2)*(区片价!C158:F205))</f>
        <v>0</v>
      </c>
      <c r="N7" s="1081">
        <f>SUMPRODUCT((因素修正幅度!B158:B205=I2)*(因素修正幅度!C3:F3=E2)*(因素修正幅度!C158:F205))</f>
        <v>0</v>
      </c>
      <c r="O7" s="1368"/>
      <c r="P7" s="1368"/>
      <c r="Q7" s="1368"/>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13" t="s">
        <v>2833</v>
      </c>
      <c r="X7" s="1601">
        <f>G2</f>
        <v>0</v>
      </c>
      <c r="Y7" s="1601" t="s">
        <v>2834</v>
      </c>
      <c r="Z7" s="1602" t="e">
        <f>G3</f>
        <v>#DIV/0!</v>
      </c>
      <c r="AA7" s="1603"/>
      <c r="AB7" s="1603"/>
      <c r="AC7" s="1604"/>
      <c r="AD7" s="1605"/>
      <c r="AE7" s="1605"/>
      <c r="AF7" s="1605"/>
      <c r="AG7" s="1605"/>
      <c r="AH7" s="1605"/>
      <c r="AI7" s="1605"/>
      <c r="AJ7" s="1606"/>
    </row>
    <row r="8" spans="1:36" ht="15">
      <c r="A8" s="3294"/>
      <c r="B8" s="198" t="s">
        <v>2835</v>
      </c>
      <c r="C8" s="2745"/>
      <c r="D8" s="915" t="s">
        <v>139</v>
      </c>
      <c r="E8" s="916" t="e">
        <f>ROUND(C11/E7,4)</f>
        <v>#DIV/0!</v>
      </c>
      <c r="F8" s="2746" t="s">
        <v>2836</v>
      </c>
      <c r="G8" s="2747"/>
      <c r="H8" s="2747"/>
      <c r="I8" s="2747"/>
      <c r="J8" s="2748"/>
      <c r="K8" s="1368"/>
      <c r="L8" s="2721" t="s">
        <v>2837</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04" t="s">
        <v>2838</v>
      </c>
      <c r="X8" s="3305"/>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294"/>
      <c r="B9" s="198" t="s">
        <v>2851</v>
      </c>
      <c r="C9" s="917">
        <f>SUMIF(修正!C59:C119,C8,修正!E59:E119)</f>
        <v>0</v>
      </c>
      <c r="D9" s="200" t="s">
        <v>140</v>
      </c>
      <c r="E9" s="200" t="e">
        <f>ROUND(C11/E7,4)</f>
        <v>#DIV/0!</v>
      </c>
      <c r="F9" s="2746" t="s">
        <v>2852</v>
      </c>
      <c r="G9" s="2747"/>
      <c r="H9" s="2747"/>
      <c r="I9" s="2747"/>
      <c r="J9" s="2748"/>
      <c r="K9" s="1368"/>
      <c r="L9" s="2721" t="s">
        <v>2853</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06"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4"/>
      <c r="B10" s="198" t="s">
        <v>2856</v>
      </c>
      <c r="C10" s="200">
        <f>SUMIF(修正!C59:C119,C8,修正!F59:F119)</f>
        <v>0</v>
      </c>
      <c r="D10" s="200" t="s">
        <v>141</v>
      </c>
      <c r="E10" s="200" t="e">
        <f>ROUND(C11/E7,4)</f>
        <v>#DIV/0!</v>
      </c>
      <c r="F10" s="2746" t="s">
        <v>2857</v>
      </c>
      <c r="G10" s="2747"/>
      <c r="H10" s="2747"/>
      <c r="I10" s="2747"/>
      <c r="J10" s="2748"/>
      <c r="K10" s="1368"/>
      <c r="L10" s="2721" t="s">
        <v>2858</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0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4"/>
      <c r="B11" s="2749" t="s">
        <v>2859</v>
      </c>
      <c r="C11" s="918">
        <f>C10/4</f>
        <v>0</v>
      </c>
      <c r="D11" s="918" t="s">
        <v>142</v>
      </c>
      <c r="E11" s="918" t="e">
        <f>ROUND(C11/E7,4)</f>
        <v>#DIV/0!</v>
      </c>
      <c r="F11" s="2750" t="s">
        <v>2860</v>
      </c>
      <c r="G11" s="2751"/>
      <c r="H11" s="2751"/>
      <c r="I11" s="2751"/>
      <c r="J11" s="2752"/>
      <c r="K11" s="1368"/>
      <c r="L11" s="2721" t="s">
        <v>2861</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06" t="s">
        <v>2862</v>
      </c>
      <c r="X11" s="1611" t="s">
        <v>2863</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93" t="s">
        <v>2864</v>
      </c>
      <c r="B12" s="2753" t="s">
        <v>2865</v>
      </c>
      <c r="C12" s="914">
        <f>ROUND(C15*D15*E15*F15*G15*H15*I15*J15,4)</f>
        <v>1</v>
      </c>
      <c r="D12" s="2754" t="s">
        <v>2866</v>
      </c>
      <c r="E12" s="2755"/>
      <c r="F12" s="2755"/>
      <c r="G12" s="2756"/>
      <c r="H12" s="2756"/>
      <c r="I12" s="2756"/>
      <c r="J12" s="2757"/>
      <c r="K12" s="1368"/>
      <c r="L12" s="2758" t="s">
        <v>2867</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06"/>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1"/>
      <c r="B13" s="2759" t="s">
        <v>2869</v>
      </c>
      <c r="C13" s="2760" t="s">
        <v>2870</v>
      </c>
      <c r="D13" s="1805" t="s">
        <v>2871</v>
      </c>
      <c r="E13" s="1805" t="s">
        <v>2872</v>
      </c>
      <c r="F13" s="30" t="s">
        <v>2873</v>
      </c>
      <c r="G13" s="2761" t="s">
        <v>2874</v>
      </c>
      <c r="H13" s="2761" t="s">
        <v>2874</v>
      </c>
      <c r="I13" s="2761" t="s">
        <v>2874</v>
      </c>
      <c r="J13" s="2762" t="s">
        <v>2874</v>
      </c>
      <c r="K13" s="1368"/>
      <c r="L13" s="1368"/>
      <c r="M13" s="1368"/>
      <c r="N13" s="1368"/>
      <c r="O13" s="1368"/>
      <c r="P13" s="1368"/>
      <c r="Q13" s="1368"/>
      <c r="R13" s="1599">
        <v>12</v>
      </c>
      <c r="S13" s="1600"/>
      <c r="T13" s="1599" t="e">
        <f t="shared" si="0"/>
        <v>#DIV/0!</v>
      </c>
      <c r="U13" s="1600"/>
      <c r="V13" s="1599" t="e">
        <f t="shared" si="1"/>
        <v>#DIV/0!</v>
      </c>
      <c r="W13" s="3306"/>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311"/>
      <c r="B14" s="2763"/>
      <c r="C14" s="2764"/>
      <c r="D14" s="2765"/>
      <c r="E14" s="2765"/>
      <c r="F14" s="2766"/>
      <c r="G14" s="2767" t="s">
        <v>2875</v>
      </c>
      <c r="H14" s="2768"/>
      <c r="I14" s="2769"/>
      <c r="J14" s="2770"/>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2"/>
      <c r="B15" s="2771" t="s">
        <v>2876</v>
      </c>
      <c r="C15" s="229">
        <f>IF(C14="有",1.1,1)</f>
        <v>1</v>
      </c>
      <c r="D15" s="229">
        <f>IF(D14="有",1.1,1)</f>
        <v>1</v>
      </c>
      <c r="E15" s="229">
        <f>IF(E14="有",1.1,1)</f>
        <v>1</v>
      </c>
      <c r="F15" s="229">
        <f>IF(F14="500米范围内",1.2,IF(F14="500-1000米",1.1,1))</f>
        <v>1</v>
      </c>
      <c r="G15" s="944">
        <v>1</v>
      </c>
      <c r="H15" s="944">
        <v>1</v>
      </c>
      <c r="I15" s="944">
        <v>1</v>
      </c>
      <c r="J15" s="945">
        <v>1</v>
      </c>
      <c r="K15" s="1368"/>
      <c r="L15" s="2772" t="s">
        <v>2812</v>
      </c>
      <c r="M15" s="915" t="s">
        <v>2877</v>
      </c>
      <c r="N15" s="915" t="s">
        <v>2878</v>
      </c>
      <c r="O15" s="915" t="s">
        <v>2879</v>
      </c>
      <c r="P15" s="2773" t="s">
        <v>2880</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93" t="s">
        <v>2881</v>
      </c>
      <c r="B16" s="2740" t="s">
        <v>2882</v>
      </c>
      <c r="C16" s="1798" t="e">
        <f>ROUND(SUM(G17:J17)/C17,0)</f>
        <v>#DIV/0!</v>
      </c>
      <c r="D16" s="2774" t="s">
        <v>2883</v>
      </c>
      <c r="E16" s="2775"/>
      <c r="F16" s="2776"/>
      <c r="G16" s="2777"/>
      <c r="H16" s="2777"/>
      <c r="I16" s="2777"/>
      <c r="J16" s="2778"/>
      <c r="K16" s="1368"/>
      <c r="L16" s="2779" t="s">
        <v>2884</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4"/>
      <c r="B17" s="2780" t="s">
        <v>2885</v>
      </c>
      <c r="C17" s="919">
        <f>SUMPRODUCT((修正!A2:A5=E2)*(修正!B1:M1=G2)*(修正!B2:M5))</f>
        <v>0</v>
      </c>
      <c r="D17" s="2781" t="s">
        <v>2886</v>
      </c>
      <c r="E17" s="918" t="str">
        <f>IF(OR(G2="八级",G2="九级",G2="十级",G2="十一级",G2="十二级"),"五通一平","七通一平")</f>
        <v>七通一平</v>
      </c>
      <c r="F17" s="919" t="s">
        <v>2887</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2" t="s">
        <v>2888</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3"/>
      <c r="AF17" s="2783"/>
      <c r="AG17" s="2715"/>
      <c r="AH17" s="2715"/>
      <c r="AI17" s="2715"/>
      <c r="AJ17" s="2715"/>
    </row>
    <row r="18" spans="1:37" s="2733" customFormat="1" ht="15.75" thickBot="1">
      <c r="A18" s="2784" t="s">
        <v>808</v>
      </c>
      <c r="B18" s="2785" t="s">
        <v>2889</v>
      </c>
      <c r="C18" s="921">
        <f>SUMIF(修正!C18:C39,E3,修正!E18:E39)</f>
        <v>0</v>
      </c>
      <c r="D18" s="2786"/>
      <c r="E18" s="2787"/>
      <c r="F18" s="2788"/>
      <c r="G18" s="2789"/>
      <c r="H18" s="2789"/>
      <c r="I18" s="2789"/>
      <c r="J18" s="2790"/>
      <c r="K18" s="1375"/>
      <c r="O18" s="1373"/>
      <c r="P18" s="1373"/>
      <c r="Q18" s="1374"/>
      <c r="R18" s="1374"/>
      <c r="S18" s="1374"/>
      <c r="T18" s="1369"/>
      <c r="U18" s="1369"/>
      <c r="V18" s="1369"/>
      <c r="W18" s="1368"/>
      <c r="X18" s="1368"/>
      <c r="Y18" s="1368"/>
      <c r="Z18" s="1375"/>
      <c r="AA18" s="1376"/>
      <c r="AB18" s="1376"/>
      <c r="AC18" s="1376"/>
      <c r="AD18" s="1376"/>
      <c r="AE18" s="1370"/>
      <c r="AF18" s="1370"/>
      <c r="AG18" s="2791"/>
      <c r="AH18" s="2791"/>
      <c r="AI18" s="2791"/>
    </row>
    <row r="19" spans="1:37" s="2733" customFormat="1" ht="27.75" thickBot="1">
      <c r="A19" s="2784" t="s">
        <v>809</v>
      </c>
      <c r="B19" s="2785" t="s">
        <v>2890</v>
      </c>
      <c r="C19" s="922" t="e">
        <f>ROUND(IF(H19="按公示增长率计算",SUMPRODUCT((地价!A3:A24=YEAR(G19)&amp;"-"&amp;ROUNDUP(MONTH(G19)/3,0))*(地价!X2:AB2=E2)*(地价!X3:AB24)),IF(H19="地价指数",M20/M19,(1+I19)^O19)),4)</f>
        <v>#DIV/0!</v>
      </c>
      <c r="D19" s="2792" t="s">
        <v>2891</v>
      </c>
      <c r="E19" s="923">
        <v>41640</v>
      </c>
      <c r="F19" s="2792" t="s">
        <v>2892</v>
      </c>
      <c r="G19" s="924">
        <f>'数据-取费表'!B2</f>
        <v>43539</v>
      </c>
      <c r="H19" s="2793" t="s">
        <v>2893</v>
      </c>
      <c r="I19" s="925" t="str">
        <f>IF(H19="季度增幅（自定义）",SUMIF(N21:N24,E2,O21:O24),"")</f>
        <v/>
      </c>
      <c r="J19" s="2790"/>
      <c r="K19" s="1375"/>
      <c r="L19" s="2794" t="s">
        <v>2894</v>
      </c>
      <c r="M19" s="1731">
        <f>ROUND(SUMIF(地价!B2:F2,E2,地价!B24:F24),0)</f>
        <v>0</v>
      </c>
      <c r="N19" s="2795" t="s">
        <v>2895</v>
      </c>
      <c r="O19" s="926">
        <f>ROUNDDOWN(DATEDIF(E19,G19,"M")/3,0)</f>
        <v>20</v>
      </c>
      <c r="P19" s="1372"/>
      <c r="Q19" s="1374"/>
      <c r="R19" s="1374"/>
      <c r="S19" s="1374"/>
      <c r="T19" s="1369"/>
      <c r="U19" s="1369"/>
      <c r="V19" s="1369"/>
      <c r="W19" s="1368"/>
      <c r="X19" s="1368"/>
      <c r="Y19" s="1368"/>
      <c r="Z19" s="1375"/>
      <c r="AA19" s="1376"/>
      <c r="AB19" s="1376"/>
      <c r="AC19" s="1376"/>
      <c r="AD19" s="1376"/>
      <c r="AE19" s="1376"/>
      <c r="AF19" s="2796"/>
      <c r="AG19" s="2797"/>
      <c r="AH19" s="2791"/>
      <c r="AI19" s="2798"/>
      <c r="AJ19" s="2798"/>
      <c r="AK19" s="2798"/>
    </row>
    <row r="20" spans="1:37" s="2733" customFormat="1" ht="27.75" thickBot="1">
      <c r="A20" s="2799" t="s">
        <v>810</v>
      </c>
      <c r="B20" s="2800" t="s">
        <v>2896</v>
      </c>
      <c r="C20" s="927" t="e">
        <f>ROUND(POWER(1+G20,J20-I20)*(POWER(1+G20,I20)-1)/(POWER(1+G20,J20)-1),4)</f>
        <v>#DIV/0!</v>
      </c>
      <c r="D20" s="2801" t="s">
        <v>2897</v>
      </c>
      <c r="E20" s="1765">
        <f ca="1">存贷款利率!D4/100</f>
        <v>4.3499999999999997E-2</v>
      </c>
      <c r="F20" s="2801" t="s">
        <v>2888</v>
      </c>
      <c r="G20" s="932">
        <f>SUMIF(M15:P15,E2,M17:P17)</f>
        <v>0</v>
      </c>
      <c r="H20" s="2801" t="s">
        <v>2898</v>
      </c>
      <c r="I20" s="933" t="e">
        <f>SUMIF('数据-取费表'!C6:C15,E2,'数据-取费表'!F6:F15)/COUNTIF('数据-取费表'!C6:C15,E2)</f>
        <v>#DIV/0!</v>
      </c>
      <c r="J20" s="934">
        <f>IF(E2="住宅",70,IF(E2="商业",40,50))</f>
        <v>50</v>
      </c>
      <c r="K20" s="1375"/>
      <c r="L20" s="2802" t="s">
        <v>2899</v>
      </c>
      <c r="M20" s="1732">
        <f>ROUND(SUMPRODUCT((地价!A4:A24=YEAR(G19)&amp;"-"&amp;ROUNDUP(MONTH(G19)/3,0))*(地价!B2:F2=E2)*(地价!B4:F24)),0)</f>
        <v>0</v>
      </c>
      <c r="N20" s="2803" t="s">
        <v>2900</v>
      </c>
      <c r="O20" s="2804" t="s">
        <v>2901</v>
      </c>
      <c r="P20" s="2805" t="s">
        <v>2902</v>
      </c>
      <c r="R20" s="1374"/>
      <c r="S20" s="1374"/>
      <c r="T20" s="1369"/>
      <c r="U20" s="1369"/>
      <c r="V20" s="1369"/>
      <c r="W20" s="1368"/>
      <c r="X20" s="1368"/>
      <c r="Y20" s="1368"/>
      <c r="Z20" s="1375"/>
      <c r="AA20" s="1376"/>
      <c r="AB20" s="1376"/>
      <c r="AC20" s="1376"/>
      <c r="AD20" s="1376"/>
      <c r="AE20" s="1376"/>
      <c r="AF20" s="1376"/>
    </row>
    <row r="21" spans="1:37" s="2733" customFormat="1" ht="15">
      <c r="A21" s="2806" t="s">
        <v>811</v>
      </c>
      <c r="B21" s="2807" t="s">
        <v>2903</v>
      </c>
      <c r="C21" s="935" t="e">
        <f>IF(B21="容积率修正",IF(G3&lt;=10,D22,J22),C23)</f>
        <v>#DIV/0!</v>
      </c>
      <c r="D21" s="2808"/>
      <c r="E21" s="2808"/>
      <c r="F21" s="2808"/>
      <c r="G21" s="2808"/>
      <c r="H21" s="2808"/>
      <c r="I21" s="2808"/>
      <c r="J21" s="2809"/>
      <c r="K21" s="1375"/>
      <c r="N21" s="2810" t="s">
        <v>2904</v>
      </c>
      <c r="O21" s="1559"/>
      <c r="P21" s="1560">
        <f>SUMPRODUCT((地价!A3:A24=YEAR(G19)&amp;"-"&amp;ROUNDUP(MONTH(G19)/3,0))*(地价!AD2:AH2=N21)*(地价!AD3:AH24))</f>
        <v>0</v>
      </c>
      <c r="R21" s="1374"/>
      <c r="S21" s="1374"/>
      <c r="T21" s="1369"/>
      <c r="U21" s="1369"/>
      <c r="V21" s="1369"/>
      <c r="W21" s="1368"/>
      <c r="X21" s="1368"/>
      <c r="Y21" s="1368"/>
      <c r="Z21" s="1375"/>
      <c r="AA21" s="1376"/>
      <c r="AB21" s="1376"/>
      <c r="AC21" s="1376"/>
      <c r="AD21" s="1376"/>
      <c r="AE21" s="1376"/>
      <c r="AF21" s="1376"/>
    </row>
    <row r="22" spans="1:37" s="2733" customFormat="1" ht="14.25">
      <c r="A22" s="2659" t="s">
        <v>2905</v>
      </c>
      <c r="B22" s="2811" t="s">
        <v>2906</v>
      </c>
      <c r="C22" s="1807" t="s">
        <v>2907</v>
      </c>
      <c r="D22" s="1807" t="e">
        <f>IF(E22=G22,F22,IF(G3&lt;=10,ROUND(F22+(H22-F22)*(G3-E22)/(G22-E22),4),"——"))</f>
        <v>#DIV/0!</v>
      </c>
      <c r="E22" s="911"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10" t="s">
        <v>2908</v>
      </c>
      <c r="O22" s="1559"/>
      <c r="P22" s="1560">
        <f>SUMPRODUCT((地价!A3:A24=YEAR(G19)&amp;"-"&amp;ROUNDUP(MONTH(G19)/3,0))*(地价!AD2:AH2=N22)*(地价!AD3:AH24))</f>
        <v>0</v>
      </c>
      <c r="R22" s="1374"/>
      <c r="S22" s="1374"/>
      <c r="T22" s="1369"/>
      <c r="U22" s="1369"/>
      <c r="V22" s="1369"/>
      <c r="W22" s="1368"/>
      <c r="X22" s="1368"/>
      <c r="Y22" s="1368"/>
      <c r="Z22" s="1375"/>
      <c r="AA22" s="1376"/>
      <c r="AB22" s="1376"/>
      <c r="AC22" s="1376"/>
      <c r="AD22" s="1376"/>
      <c r="AE22" s="1376"/>
      <c r="AF22" s="1376"/>
    </row>
    <row r="23" spans="1:37" ht="27.75" thickBot="1">
      <c r="A23" s="2659" t="s">
        <v>2909</v>
      </c>
      <c r="B23" s="2812" t="s">
        <v>2910</v>
      </c>
      <c r="C23" s="1011" t="e">
        <f>ROUND(IF(G3&gt;1,IF(I3&lt;7,SUMPRODUCT((B93:B98=I3)*(C92:N92=G2)*(C93:N98)),SUMIF(C92:N92,G2,C100:N100)),IF(I3&lt;7,SUMPRODUCT((B102:B107=I3)*(C92:N92=G2)*(C102:N107)),SUMIF(C92:N92,G2,C109:N109))),4)</f>
        <v>#DIV/0!</v>
      </c>
      <c r="D23" s="2768"/>
      <c r="E23" s="2768"/>
      <c r="F23" s="2813"/>
      <c r="G23" s="2814"/>
      <c r="H23" s="2815"/>
      <c r="I23" s="2816"/>
      <c r="J23" s="2817"/>
      <c r="K23" s="1368"/>
      <c r="N23" s="2810" t="s">
        <v>2911</v>
      </c>
      <c r="O23" s="1559"/>
      <c r="P23" s="1560">
        <f>SUMPRODUCT((地价!A3:A24=YEAR(G19)&amp;"-"&amp;ROUNDUP(MONTH(G19)/3,0))*(地价!AD2:AH2=N23)*(地价!AD3:AH24))</f>
        <v>0</v>
      </c>
      <c r="R23" s="1374"/>
      <c r="S23" s="1374"/>
      <c r="T23" s="1369"/>
      <c r="U23" s="1369"/>
      <c r="V23" s="1369"/>
      <c r="W23" s="1368"/>
      <c r="X23" s="1368"/>
      <c r="Y23" s="1368"/>
      <c r="Z23" s="1375"/>
      <c r="AA23" s="1376"/>
      <c r="AB23" s="1376"/>
      <c r="AC23" s="1376"/>
      <c r="AD23" s="1376"/>
      <c r="AK23" s="2791"/>
    </row>
    <row r="24" spans="1:37" s="2733" customFormat="1" ht="15.75" thickBot="1">
      <c r="A24" s="2799" t="s">
        <v>812</v>
      </c>
      <c r="B24" s="2785" t="s">
        <v>2912</v>
      </c>
      <c r="C24" s="922">
        <f>SUMIF(A45:A88,E2,B45:B88)</f>
        <v>0</v>
      </c>
      <c r="D24" s="2788"/>
      <c r="E24" s="2818"/>
      <c r="F24" s="2818"/>
      <c r="G24" s="2818"/>
      <c r="H24" s="2818"/>
      <c r="I24" s="2818"/>
      <c r="J24" s="2819"/>
      <c r="K24" s="1375"/>
      <c r="N24" s="2820" t="s">
        <v>2913</v>
      </c>
      <c r="O24" s="1561"/>
      <c r="P24" s="1562">
        <f>SUMPRODUCT((地价!A3:A24=YEAR(G19)&amp;"-"&amp;ROUNDUP(MONTH(G19)/3,0))*(地价!AD2:AH2=N24)*(地价!AD3:AH24))</f>
        <v>0</v>
      </c>
      <c r="R24" s="1374"/>
      <c r="S24" s="1374"/>
      <c r="T24" s="1369"/>
      <c r="U24" s="1369"/>
      <c r="V24" s="1369"/>
      <c r="W24" s="1368"/>
      <c r="X24" s="1368"/>
      <c r="Y24" s="1368"/>
      <c r="Z24" s="1375"/>
      <c r="AA24" s="1376"/>
      <c r="AB24" s="1376"/>
      <c r="AC24" s="1376"/>
      <c r="AD24" s="1376"/>
      <c r="AE24" s="1376"/>
      <c r="AF24" s="1376"/>
    </row>
    <row r="25" spans="1:37" ht="15.75" thickBot="1">
      <c r="A25" s="2799" t="s">
        <v>813</v>
      </c>
      <c r="B25" s="2821" t="s">
        <v>2914</v>
      </c>
      <c r="C25" s="928"/>
      <c r="D25" s="2743"/>
      <c r="E25" s="2743"/>
      <c r="F25" s="2822"/>
      <c r="G25" s="2743"/>
      <c r="H25" s="2743"/>
      <c r="I25" s="2743"/>
      <c r="J25" s="2744"/>
      <c r="K25" s="1368"/>
      <c r="N25" s="2823" t="s">
        <v>2915</v>
      </c>
      <c r="O25" s="1563"/>
      <c r="P25" s="1562">
        <f>SUMPRODUCT((地价!A3:A24=YEAR(G19)&amp;"-"&amp;ROUNDUP(MONTH(G19)/3,0))*(地价!AD2:AH2=N25)*(地价!AD3:AH24))</f>
        <v>0</v>
      </c>
      <c r="R25" s="1374"/>
      <c r="S25" s="1374"/>
      <c r="T25" s="1369"/>
      <c r="U25" s="1369"/>
      <c r="V25" s="1369"/>
      <c r="W25" s="1368"/>
      <c r="X25" s="1368"/>
      <c r="Y25" s="1368"/>
      <c r="Z25" s="1375"/>
      <c r="AA25" s="1376"/>
      <c r="AB25" s="1376"/>
      <c r="AC25" s="1376"/>
      <c r="AD25" s="1376"/>
    </row>
    <row r="26" spans="1:37" ht="15">
      <c r="A26" s="2824"/>
      <c r="B26" s="2811" t="s">
        <v>2916</v>
      </c>
      <c r="C26" s="206" t="e">
        <f>E29+SUM(E33:E39)</f>
        <v>#DIV/0!</v>
      </c>
      <c r="D26" s="2825"/>
      <c r="E26" s="2768"/>
      <c r="F26" s="2826"/>
      <c r="G26" s="2768"/>
      <c r="H26" s="2768"/>
      <c r="I26" s="2768"/>
      <c r="J26" s="2827"/>
      <c r="K26" s="1368"/>
      <c r="R26" s="1374"/>
      <c r="S26" s="1374"/>
      <c r="T26" s="1369"/>
      <c r="U26" s="1369"/>
      <c r="V26" s="1369"/>
      <c r="W26" s="1368"/>
      <c r="X26" s="1368"/>
      <c r="Y26" s="1368"/>
      <c r="Z26" s="1375"/>
      <c r="AA26" s="1376"/>
      <c r="AB26" s="1376"/>
      <c r="AC26" s="1376"/>
      <c r="AD26" s="1376"/>
    </row>
    <row r="27" spans="1:37" ht="15.75" thickBot="1">
      <c r="A27" s="2824"/>
      <c r="B27" s="2828" t="s">
        <v>2917</v>
      </c>
      <c r="C27" s="929" t="e">
        <f>E30+SUM(I33:I39)</f>
        <v>#DIV/0!</v>
      </c>
      <c r="D27" s="2829"/>
      <c r="E27" s="2830"/>
      <c r="F27" s="2831"/>
      <c r="G27" s="2830"/>
      <c r="H27" s="2830"/>
      <c r="I27" s="2830"/>
      <c r="J27" s="2832"/>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3"/>
      <c r="B28" s="2834" t="s">
        <v>2918</v>
      </c>
      <c r="C28" s="2835" t="s">
        <v>2919</v>
      </c>
      <c r="D28" s="2835" t="s">
        <v>2920</v>
      </c>
      <c r="E28" s="2836" t="s">
        <v>2921</v>
      </c>
      <c r="F28" s="2837"/>
      <c r="G28" s="2756"/>
      <c r="H28" s="2756"/>
      <c r="I28" s="2756"/>
      <c r="J28" s="2757"/>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8"/>
      <c r="B29" s="2839" t="s">
        <v>2922</v>
      </c>
      <c r="C29" s="206" t="e">
        <f>ROUND(C5*C18*C19*C20*C21*C24,0)</f>
        <v>#DIV/0!</v>
      </c>
      <c r="D29" s="2840"/>
      <c r="E29" s="940" t="e">
        <f>ROUND(C29*D29/10000,0)</f>
        <v>#DIV/0!</v>
      </c>
      <c r="F29" s="2841" t="s">
        <v>2923</v>
      </c>
      <c r="G29" s="2842"/>
      <c r="H29" s="2842"/>
      <c r="I29" s="2842"/>
      <c r="J29" s="2843"/>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15"/>
      <c r="AH29" s="2715"/>
      <c r="AI29" s="2715"/>
      <c r="AJ29" s="2715"/>
    </row>
    <row r="30" spans="1:37" ht="25.5" thickBot="1">
      <c r="A30" s="2844"/>
      <c r="B30" s="2845" t="s">
        <v>2924</v>
      </c>
      <c r="C30" s="229" t="e">
        <f>ROUND(IF(E2="工业",C29*M39,C29*M38),0)</f>
        <v>#DIV/0!</v>
      </c>
      <c r="D30" s="2846"/>
      <c r="E30" s="940" t="e">
        <f>ROUND(C30*D30/10000,0)</f>
        <v>#DIV/0!</v>
      </c>
      <c r="F30" s="2847" t="s">
        <v>2925</v>
      </c>
      <c r="G30" s="2848"/>
      <c r="H30" s="2848"/>
      <c r="I30" s="2848"/>
      <c r="J30" s="2849"/>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15"/>
      <c r="AH31" s="2715"/>
      <c r="AI31" s="2715"/>
      <c r="AJ31" s="2715"/>
    </row>
    <row r="32" spans="1:37" ht="24">
      <c r="A32" s="2838"/>
      <c r="B32" s="2854"/>
      <c r="C32" s="500" t="s">
        <v>2919</v>
      </c>
      <c r="D32" s="497" t="s">
        <v>2920</v>
      </c>
      <c r="E32" s="497" t="s">
        <v>2921</v>
      </c>
      <c r="F32" s="388" t="s">
        <v>2929</v>
      </c>
      <c r="G32" s="2855" t="s">
        <v>2919</v>
      </c>
      <c r="H32" s="2855" t="s">
        <v>2920</v>
      </c>
      <c r="I32" s="2855" t="s">
        <v>2921</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15"/>
      <c r="AH32" s="2715"/>
      <c r="AI32" s="2715"/>
      <c r="AJ32" s="2715"/>
    </row>
    <row r="33" spans="1:37" ht="36" customHeight="1">
      <c r="A33" s="3301" t="s">
        <v>2930</v>
      </c>
      <c r="B33" s="2856" t="s">
        <v>2931</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2"/>
      <c r="B34" s="2760" t="s">
        <v>2932</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2"/>
      <c r="B35" s="2760" t="s">
        <v>2933</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8"/>
      <c r="L35" s="1368"/>
      <c r="M35" s="1368"/>
      <c r="N35" s="1368"/>
      <c r="O35" s="1368"/>
      <c r="P35" s="1368"/>
      <c r="Q35" s="1368"/>
      <c r="R35" s="1368"/>
      <c r="S35" s="1368"/>
      <c r="T35" s="1368"/>
      <c r="U35" s="1368"/>
      <c r="V35" s="1368"/>
      <c r="W35" s="1368"/>
      <c r="X35" s="1368"/>
      <c r="Y35" s="1368"/>
      <c r="Z35" s="1369"/>
    </row>
    <row r="36" spans="1:37" ht="13.5" thickBot="1">
      <c r="A36" s="3303"/>
      <c r="B36" s="2760" t="s">
        <v>2934</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8"/>
      <c r="L36" s="2714"/>
      <c r="M36" s="2714"/>
      <c r="N36" s="1368"/>
      <c r="O36" s="1368"/>
      <c r="P36" s="1368"/>
      <c r="Q36" s="1368"/>
      <c r="R36" s="1368"/>
      <c r="S36" s="1368"/>
      <c r="T36" s="1368"/>
      <c r="U36" s="1368"/>
      <c r="V36" s="1368"/>
      <c r="W36" s="1368"/>
      <c r="X36" s="1368"/>
      <c r="Y36" s="1368"/>
      <c r="Z36" s="1369"/>
    </row>
    <row r="37" spans="1:37">
      <c r="A37" s="2858"/>
      <c r="B37" s="2760" t="s">
        <v>2935</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8"/>
      <c r="L37" s="2859" t="s">
        <v>2936</v>
      </c>
      <c r="M37" s="2860"/>
      <c r="N37" s="1368"/>
      <c r="O37" s="1368"/>
      <c r="P37" s="1368"/>
      <c r="Q37" s="1368"/>
      <c r="R37" s="1368"/>
      <c r="S37" s="1368"/>
      <c r="T37" s="1368"/>
      <c r="U37" s="1368"/>
      <c r="V37" s="1368"/>
      <c r="W37" s="1368"/>
      <c r="X37" s="1368"/>
      <c r="Y37" s="1368"/>
      <c r="Z37" s="1369"/>
    </row>
    <row r="38" spans="1:37">
      <c r="A38" s="2858"/>
      <c r="B38" s="2760" t="s">
        <v>2937</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8"/>
      <c r="L38" s="1884" t="s">
        <v>2938</v>
      </c>
      <c r="M38" s="2861">
        <v>0.25</v>
      </c>
      <c r="N38" s="1368"/>
      <c r="O38" s="1368"/>
      <c r="P38" s="1368"/>
      <c r="Q38" s="1368"/>
      <c r="R38" s="1368"/>
      <c r="S38" s="1368"/>
      <c r="T38" s="1368"/>
      <c r="U38" s="1368"/>
      <c r="V38" s="1368"/>
      <c r="W38" s="1368"/>
      <c r="X38" s="1368"/>
      <c r="Y38" s="1368"/>
      <c r="Z38" s="1369"/>
    </row>
    <row r="39" spans="1:37" ht="13.5" thickBot="1">
      <c r="A39" s="2844"/>
      <c r="B39" s="2862" t="s">
        <v>2939</v>
      </c>
      <c r="C39" s="229" t="e">
        <f>ROUND(C5*C19*C20*C24*F39,0)</f>
        <v>#DIV/0!</v>
      </c>
      <c r="D39" s="2846"/>
      <c r="E39" s="229" t="e">
        <f t="shared" si="7"/>
        <v>#DIV/0!</v>
      </c>
      <c r="F39" s="930">
        <f>SUMIF(修正!A45:A56,G2,修正!H45:H56)</f>
        <v>0</v>
      </c>
      <c r="G39" s="229" t="e">
        <f>ROUND(IF(E2="工业",C39*$M$39,C39*$M$38),0)</f>
        <v>#DIV/0!</v>
      </c>
      <c r="H39" s="229">
        <f t="shared" si="8"/>
        <v>0</v>
      </c>
      <c r="I39" s="229" t="e">
        <f t="shared" si="9"/>
        <v>#DIV/0!</v>
      </c>
      <c r="J39" s="2863"/>
      <c r="K39" s="1368"/>
      <c r="L39" s="2864" t="s">
        <v>2880</v>
      </c>
      <c r="M39" s="2865">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6"/>
      <c r="Z41" s="1369"/>
      <c r="AA41" s="1369"/>
      <c r="AB41" s="1369"/>
      <c r="AC41" s="1369"/>
      <c r="AD41" s="1369"/>
      <c r="AE41" s="1369"/>
      <c r="AF41" s="1369"/>
      <c r="AG41" s="1369"/>
      <c r="AH41" s="1369"/>
      <c r="AI41" s="1369"/>
      <c r="AJ41" s="1369"/>
    </row>
    <row r="42" spans="1:37" s="1368" customFormat="1">
      <c r="A42" s="1369"/>
      <c r="B42" s="2866"/>
      <c r="Z42" s="1369"/>
      <c r="AA42" s="1369"/>
      <c r="AB42" s="1369"/>
      <c r="AC42" s="1369"/>
      <c r="AD42" s="1369"/>
      <c r="AE42" s="1369"/>
      <c r="AF42" s="1369"/>
      <c r="AG42" s="1369"/>
      <c r="AH42" s="1369"/>
      <c r="AI42" s="1369"/>
      <c r="AJ42" s="1369"/>
    </row>
    <row r="43" spans="1:37" s="1368" customFormat="1">
      <c r="A43" s="1369"/>
      <c r="B43" s="2866"/>
      <c r="Z43" s="1369"/>
      <c r="AA43" s="1369"/>
      <c r="AB43" s="1369"/>
      <c r="AC43" s="1369"/>
      <c r="AD43" s="1369"/>
      <c r="AE43" s="1369"/>
      <c r="AF43" s="1369"/>
      <c r="AG43" s="1369"/>
      <c r="AH43" s="1369"/>
      <c r="AI43" s="1369"/>
      <c r="AJ43" s="1369"/>
    </row>
    <row r="44" spans="1:37" s="1368" customFormat="1">
      <c r="A44" s="1369"/>
      <c r="B44" s="2866"/>
      <c r="Z44" s="1369"/>
      <c r="AA44" s="1369"/>
      <c r="AB44" s="1369"/>
      <c r="AC44" s="1369"/>
      <c r="AD44" s="1369"/>
      <c r="AE44" s="1369"/>
      <c r="AF44" s="1369"/>
      <c r="AG44" s="1369"/>
      <c r="AH44" s="1369"/>
      <c r="AI44" s="1369"/>
      <c r="AJ44" s="1369"/>
    </row>
    <row r="45" spans="1:37" s="1368" customFormat="1" ht="15.75" thickBot="1">
      <c r="A45" s="2867" t="s">
        <v>2940</v>
      </c>
      <c r="B45" s="2868"/>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9" t="s">
        <v>2941</v>
      </c>
      <c r="B46" s="2870">
        <f>1+E48</f>
        <v>1</v>
      </c>
      <c r="C46" s="2871"/>
      <c r="D46" s="809"/>
      <c r="E46" s="810"/>
      <c r="F46" s="2872"/>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3" t="s">
        <v>2942</v>
      </c>
      <c r="B47" s="1806" t="s">
        <v>2943</v>
      </c>
      <c r="C47" s="1806" t="s">
        <v>2944</v>
      </c>
      <c r="D47" s="1806" t="s">
        <v>2945</v>
      </c>
      <c r="E47" s="814" t="s">
        <v>2946</v>
      </c>
      <c r="F47" s="2874" t="s">
        <v>2947</v>
      </c>
      <c r="G47" s="1806" t="s">
        <v>754</v>
      </c>
      <c r="H47" s="2875" t="s">
        <v>2948</v>
      </c>
      <c r="I47" s="1806" t="s">
        <v>2949</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38.25">
      <c r="A48" s="2873" t="s">
        <v>2950</v>
      </c>
      <c r="B48" s="2876" t="str">
        <f>估价对象房地状况!C4</f>
        <v>估价对象位于XX商圈，周边商业氛围成熟，人流量大，商业繁华度好</v>
      </c>
      <c r="C48" s="2765"/>
      <c r="D48" s="1284">
        <f t="shared" ref="D48:D56" si="10">SUMIF($J$47:$N$47,C48,J48:N48)</f>
        <v>0</v>
      </c>
      <c r="E48" s="816">
        <f>ROUND(SUM(D48:D56),4)</f>
        <v>0</v>
      </c>
      <c r="F48" s="2496"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3" t="s">
        <v>2951</v>
      </c>
      <c r="B49" s="2877" t="str">
        <f>估价对象房地状况!C18</f>
        <v>估价对象周边道路状况、公共交通通达情况、停车便捷程度，综合评价交通便捷度较好</v>
      </c>
      <c r="C49" s="2765"/>
      <c r="D49" s="1284">
        <f t="shared" si="10"/>
        <v>0</v>
      </c>
      <c r="E49" s="817"/>
      <c r="F49" s="2496"/>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3" t="s">
        <v>2952</v>
      </c>
      <c r="B50" s="2877">
        <f>估价对象房地状况!C19</f>
        <v>0</v>
      </c>
      <c r="C50" s="2765"/>
      <c r="D50" s="1284">
        <f t="shared" si="10"/>
        <v>0</v>
      </c>
      <c r="E50" s="817"/>
      <c r="F50" s="2496"/>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3" t="s">
        <v>2953</v>
      </c>
      <c r="B51" s="2878" t="s">
        <v>2954</v>
      </c>
      <c r="C51" s="2765"/>
      <c r="D51" s="1284">
        <f t="shared" si="10"/>
        <v>0</v>
      </c>
      <c r="E51" s="817"/>
      <c r="F51" s="2496"/>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3" t="s">
        <v>2955</v>
      </c>
      <c r="B52" s="2877">
        <f>估价对象房地状况!C24</f>
        <v>0</v>
      </c>
      <c r="C52" s="2765"/>
      <c r="D52" s="1284">
        <f t="shared" si="10"/>
        <v>0</v>
      </c>
      <c r="E52" s="817"/>
      <c r="F52" s="2496"/>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3" t="s">
        <v>2956</v>
      </c>
      <c r="B53" s="2879" t="s">
        <v>2957</v>
      </c>
      <c r="C53" s="2765"/>
      <c r="D53" s="1284">
        <f t="shared" si="10"/>
        <v>0</v>
      </c>
      <c r="E53" s="817"/>
      <c r="F53" s="2496"/>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0" t="s">
        <v>2958</v>
      </c>
      <c r="B54" s="1722" t="str">
        <f>估价对象房地状况!C21</f>
        <v>估价对象所在区域公共配套设施齐备情况</v>
      </c>
      <c r="C54" s="2765"/>
      <c r="D54" s="1284">
        <f t="shared" si="10"/>
        <v>0</v>
      </c>
      <c r="E54" s="817"/>
      <c r="F54" s="2496"/>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0" t="s">
        <v>2959</v>
      </c>
      <c r="B55" s="2877" t="str">
        <f>估价对象房地状况!C22</f>
        <v>估价对象所在区域基础设施水平</v>
      </c>
      <c r="C55" s="2765"/>
      <c r="D55" s="1284">
        <f t="shared" si="10"/>
        <v>0</v>
      </c>
      <c r="E55" s="817"/>
      <c r="F55" s="2496"/>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1" t="s">
        <v>2960</v>
      </c>
      <c r="B56" s="2882" t="str">
        <f>估价对象房地状况!C20</f>
        <v>区域自然环境：；人文环境；综合评价环境状况一般</v>
      </c>
      <c r="C56" s="2765"/>
      <c r="D56" s="1284">
        <f t="shared" si="10"/>
        <v>0</v>
      </c>
      <c r="E56" s="820"/>
      <c r="F56" s="2496"/>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9" t="s">
        <v>2961</v>
      </c>
      <c r="B57" s="2870">
        <f>1+E59</f>
        <v>1</v>
      </c>
      <c r="C57" s="809"/>
      <c r="D57" s="809"/>
      <c r="E57" s="810"/>
      <c r="F57" s="2872"/>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3" t="s">
        <v>2942</v>
      </c>
      <c r="B58" s="1806"/>
      <c r="C58" s="1806" t="s">
        <v>2944</v>
      </c>
      <c r="D58" s="1806" t="s">
        <v>2945</v>
      </c>
      <c r="E58" s="814" t="s">
        <v>2946</v>
      </c>
      <c r="F58" s="2874" t="s">
        <v>2962</v>
      </c>
      <c r="G58" s="1806" t="s">
        <v>754</v>
      </c>
      <c r="H58" s="2875" t="s">
        <v>2948</v>
      </c>
      <c r="I58" s="1806" t="s">
        <v>2949</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38.25">
      <c r="A59" s="2873" t="s">
        <v>2963</v>
      </c>
      <c r="B59" s="2876" t="str">
        <f>估价对象房地状况!C17</f>
        <v>估价对象位于XX商圈，周边办公楼项目较多，入驻率高，办公集聚程度较好</v>
      </c>
      <c r="C59" s="2765"/>
      <c r="D59" s="1284">
        <f t="shared" ref="D59:D67" si="15">SUMIF($J$58:$N$58,C59,J59:N59)</f>
        <v>0</v>
      </c>
      <c r="E59" s="816">
        <f>ROUND(SUM(D59:D67),4)</f>
        <v>0</v>
      </c>
      <c r="F59" s="2496"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3" t="s">
        <v>2951</v>
      </c>
      <c r="B60" s="2877" t="str">
        <f>估价对象房地状况!C18</f>
        <v>估价对象周边道路状况、公共交通通达情况、停车便捷程度，综合评价交通便捷度较好</v>
      </c>
      <c r="C60" s="2765"/>
      <c r="D60" s="1284">
        <f t="shared" si="15"/>
        <v>0</v>
      </c>
      <c r="E60" s="817"/>
      <c r="F60" s="2496"/>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3" t="s">
        <v>2952</v>
      </c>
      <c r="B61" s="2877">
        <f>估价对象房地状况!C19</f>
        <v>0</v>
      </c>
      <c r="C61" s="2765"/>
      <c r="D61" s="1284">
        <f t="shared" si="15"/>
        <v>0</v>
      </c>
      <c r="E61" s="817"/>
      <c r="F61" s="2496"/>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3" t="s">
        <v>2953</v>
      </c>
      <c r="B62" s="2878" t="s">
        <v>2954</v>
      </c>
      <c r="C62" s="2765"/>
      <c r="D62" s="1284">
        <f t="shared" si="15"/>
        <v>0</v>
      </c>
      <c r="E62" s="817"/>
      <c r="F62" s="2496"/>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3" t="s">
        <v>2955</v>
      </c>
      <c r="B63" s="2877">
        <f>估价对象房地状况!C24</f>
        <v>0</v>
      </c>
      <c r="C63" s="2765"/>
      <c r="D63" s="1284">
        <f t="shared" si="15"/>
        <v>0</v>
      </c>
      <c r="E63" s="817"/>
      <c r="F63" s="2496"/>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3" t="s">
        <v>2956</v>
      </c>
      <c r="B64" s="2879" t="s">
        <v>2957</v>
      </c>
      <c r="C64" s="2765"/>
      <c r="D64" s="1284">
        <f t="shared" si="15"/>
        <v>0</v>
      </c>
      <c r="E64" s="817"/>
      <c r="F64" s="2496"/>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3" t="s">
        <v>2958</v>
      </c>
      <c r="B65" s="1722" t="str">
        <f>估价对象房地状况!C21</f>
        <v>估价对象所在区域公共配套设施齐备情况</v>
      </c>
      <c r="C65" s="2765"/>
      <c r="D65" s="1284">
        <f t="shared" si="15"/>
        <v>0</v>
      </c>
      <c r="E65" s="817"/>
      <c r="F65" s="2496"/>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3" t="s">
        <v>2959</v>
      </c>
      <c r="B66" s="1722" t="str">
        <f>估价对象房地状况!C22</f>
        <v>估价对象所在区域基础设施水平</v>
      </c>
      <c r="C66" s="2765"/>
      <c r="D66" s="1284">
        <f t="shared" si="15"/>
        <v>0</v>
      </c>
      <c r="E66" s="817"/>
      <c r="F66" s="2496"/>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1" t="s">
        <v>2960</v>
      </c>
      <c r="B67" s="2883" t="str">
        <f>估价对象房地状况!C20</f>
        <v>区域自然环境：；人文环境；综合评价环境状况一般</v>
      </c>
      <c r="C67" s="2765"/>
      <c r="D67" s="1284">
        <f t="shared" si="15"/>
        <v>0</v>
      </c>
      <c r="E67" s="820"/>
      <c r="F67" s="2496"/>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9" t="s">
        <v>2964</v>
      </c>
      <c r="B68" s="2870">
        <f>1+E70</f>
        <v>1</v>
      </c>
      <c r="C68" s="809"/>
      <c r="D68" s="809"/>
      <c r="E68" s="810"/>
      <c r="F68" s="2872"/>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3" t="s">
        <v>2942</v>
      </c>
      <c r="B69" s="1806"/>
      <c r="C69" s="1806" t="s">
        <v>2944</v>
      </c>
      <c r="D69" s="1806" t="s">
        <v>2945</v>
      </c>
      <c r="E69" s="814" t="s">
        <v>2946</v>
      </c>
      <c r="F69" s="2874" t="s">
        <v>2962</v>
      </c>
      <c r="G69" s="1806" t="s">
        <v>754</v>
      </c>
      <c r="H69" s="2875" t="s">
        <v>2948</v>
      </c>
      <c r="I69" s="1806" t="s">
        <v>2949</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51">
      <c r="A70" s="2873" t="s">
        <v>2965</v>
      </c>
      <c r="B70" s="2876" t="str">
        <f>估价对象房地状况!C15</f>
        <v>估价对象周边居住用地比例、居住小区规模和社区发展完善程度，综合评价居住社区成熟度一般</v>
      </c>
      <c r="C70" s="2765"/>
      <c r="D70" s="1284">
        <f t="shared" ref="D70:D78" si="20">SUMIF($J$69:$N$69,C70,J70:N70)</f>
        <v>0</v>
      </c>
      <c r="E70" s="816">
        <f>ROUND(SUM(D70:D78),4)</f>
        <v>0</v>
      </c>
      <c r="F70" s="2496"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3" t="s">
        <v>2951</v>
      </c>
      <c r="B71" s="2877" t="str">
        <f>估价对象房地状况!C18</f>
        <v>估价对象周边道路状况、公共交通通达情况、停车便捷程度，综合评价交通便捷度较好</v>
      </c>
      <c r="C71" s="2765"/>
      <c r="D71" s="1284">
        <f t="shared" si="20"/>
        <v>0</v>
      </c>
      <c r="E71" s="821"/>
      <c r="F71" s="2496"/>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3" t="s">
        <v>2952</v>
      </c>
      <c r="B72" s="2877">
        <f>估价对象房地状况!C19</f>
        <v>0</v>
      </c>
      <c r="C72" s="2765"/>
      <c r="D72" s="1284">
        <f t="shared" si="20"/>
        <v>0</v>
      </c>
      <c r="E72" s="821"/>
      <c r="F72" s="2496"/>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3" t="s">
        <v>2966</v>
      </c>
      <c r="B73" s="2877">
        <f>估价对象房地状况!C24</f>
        <v>0</v>
      </c>
      <c r="C73" s="2765"/>
      <c r="D73" s="1284">
        <f t="shared" si="20"/>
        <v>0</v>
      </c>
      <c r="E73" s="821"/>
      <c r="F73" s="2496"/>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3" t="s">
        <v>2958</v>
      </c>
      <c r="B74" s="1722" t="str">
        <f>估价对象房地状况!C21</f>
        <v>估价对象所在区域公共配套设施齐备情况</v>
      </c>
      <c r="C74" s="2765"/>
      <c r="D74" s="1284">
        <f t="shared" si="20"/>
        <v>0</v>
      </c>
      <c r="E74" s="821"/>
      <c r="F74" s="2496"/>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3" t="s">
        <v>2959</v>
      </c>
      <c r="B75" s="1722" t="str">
        <f>估价对象房地状况!C22</f>
        <v>估价对象所在区域基础设施水平</v>
      </c>
      <c r="C75" s="2765"/>
      <c r="D75" s="1284">
        <f t="shared" si="20"/>
        <v>0</v>
      </c>
      <c r="E75" s="821"/>
      <c r="F75" s="2496"/>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4" customFormat="1" ht="24">
      <c r="A76" s="2873" t="s">
        <v>2956</v>
      </c>
      <c r="B76" s="2879" t="s">
        <v>2957</v>
      </c>
      <c r="C76" s="2765"/>
      <c r="D76" s="1284">
        <f t="shared" si="20"/>
        <v>0</v>
      </c>
      <c r="E76" s="821"/>
      <c r="F76" s="2496"/>
      <c r="G76" s="1282"/>
      <c r="H76" s="1286" t="str">
        <f t="shared" si="21"/>
        <v>——</v>
      </c>
      <c r="I76" s="815">
        <v>0.05</v>
      </c>
      <c r="J76" s="1283">
        <f t="shared" si="22"/>
        <v>0</v>
      </c>
      <c r="K76" s="1283">
        <f t="shared" si="23"/>
        <v>0</v>
      </c>
      <c r="L76" s="1283">
        <v>0</v>
      </c>
      <c r="M76" s="1283">
        <f t="shared" si="24"/>
        <v>0</v>
      </c>
      <c r="N76" s="1283">
        <f t="shared" si="24"/>
        <v>0</v>
      </c>
      <c r="AA76" s="2884"/>
      <c r="AB76" s="1369"/>
      <c r="AC76" s="1369"/>
      <c r="AD76" s="1369"/>
      <c r="AE76" s="1369"/>
      <c r="AF76" s="1369"/>
      <c r="AG76" s="1369"/>
      <c r="AH76" s="2884"/>
      <c r="AI76" s="2884"/>
      <c r="AJ76" s="2884"/>
      <c r="AK76" s="2884"/>
    </row>
    <row r="77" spans="1:37" ht="38.25">
      <c r="A77" s="2873" t="s">
        <v>2960</v>
      </c>
      <c r="B77" s="2876" t="str">
        <f>估价对象房地状况!C20</f>
        <v>区域自然环境：；人文环境；综合评价环境状况一般</v>
      </c>
      <c r="C77" s="2765"/>
      <c r="D77" s="1284">
        <f t="shared" si="20"/>
        <v>0</v>
      </c>
      <c r="E77" s="821"/>
      <c r="F77" s="2496"/>
      <c r="G77" s="1282"/>
      <c r="H77" s="1286" t="str">
        <f t="shared" si="21"/>
        <v>——</v>
      </c>
      <c r="I77" s="815">
        <v>0.15</v>
      </c>
      <c r="J77" s="1283">
        <f t="shared" si="22"/>
        <v>0</v>
      </c>
      <c r="K77" s="1283">
        <f t="shared" si="23"/>
        <v>0</v>
      </c>
      <c r="L77" s="1283">
        <v>0</v>
      </c>
      <c r="M77" s="1283">
        <f t="shared" si="24"/>
        <v>0</v>
      </c>
      <c r="N77" s="1283">
        <f t="shared" si="24"/>
        <v>0</v>
      </c>
      <c r="Z77" s="2715"/>
      <c r="AA77" s="2791"/>
      <c r="AG77" s="1370"/>
      <c r="AK77" s="2791"/>
    </row>
    <row r="78" spans="1:37" ht="24.75" thickBot="1">
      <c r="A78" s="2881" t="s">
        <v>2967</v>
      </c>
      <c r="B78" s="2885"/>
      <c r="C78" s="2765"/>
      <c r="D78" s="1284">
        <f t="shared" si="20"/>
        <v>0</v>
      </c>
      <c r="E78" s="822"/>
      <c r="F78" s="2496"/>
      <c r="G78" s="1282"/>
      <c r="H78" s="1286" t="str">
        <f t="shared" si="21"/>
        <v>——</v>
      </c>
      <c r="I78" s="819">
        <v>0.04</v>
      </c>
      <c r="J78" s="1283">
        <f t="shared" si="22"/>
        <v>0</v>
      </c>
      <c r="K78" s="1283">
        <f t="shared" si="23"/>
        <v>0</v>
      </c>
      <c r="L78" s="1283">
        <v>0</v>
      </c>
      <c r="M78" s="1283">
        <f t="shared" si="24"/>
        <v>0</v>
      </c>
      <c r="N78" s="1283">
        <f t="shared" si="24"/>
        <v>0</v>
      </c>
      <c r="Z78" s="2715"/>
      <c r="AA78" s="2791"/>
      <c r="AG78" s="1370"/>
      <c r="AK78" s="2791"/>
    </row>
    <row r="79" spans="1:37" ht="15">
      <c r="A79" s="2869" t="s">
        <v>2968</v>
      </c>
      <c r="B79" s="2870">
        <f>1+E81</f>
        <v>1</v>
      </c>
      <c r="C79" s="809"/>
      <c r="D79" s="809"/>
      <c r="E79" s="810"/>
      <c r="F79" s="2872"/>
      <c r="G79" s="6"/>
      <c r="H79" s="6"/>
      <c r="I79" s="6"/>
      <c r="J79" s="7"/>
      <c r="K79" s="7"/>
      <c r="L79" s="7"/>
      <c r="M79" s="7"/>
      <c r="N79" s="7"/>
      <c r="Z79" s="2715"/>
      <c r="AA79" s="2791"/>
      <c r="AG79" s="1370"/>
      <c r="AK79" s="2791"/>
    </row>
    <row r="80" spans="1:37" ht="24.75">
      <c r="A80" s="2873" t="s">
        <v>2942</v>
      </c>
      <c r="B80" s="1806"/>
      <c r="C80" s="1806" t="s">
        <v>2944</v>
      </c>
      <c r="D80" s="1806" t="s">
        <v>2945</v>
      </c>
      <c r="E80" s="814" t="s">
        <v>2946</v>
      </c>
      <c r="F80" s="2874" t="s">
        <v>2962</v>
      </c>
      <c r="G80" s="1806" t="s">
        <v>754</v>
      </c>
      <c r="H80" s="2875" t="s">
        <v>2948</v>
      </c>
      <c r="I80" s="1806" t="s">
        <v>2949</v>
      </c>
      <c r="J80" s="602" t="s">
        <v>2596</v>
      </c>
      <c r="K80" s="602" t="s">
        <v>2597</v>
      </c>
      <c r="L80" s="602" t="s">
        <v>2598</v>
      </c>
      <c r="M80" s="602" t="s">
        <v>2599</v>
      </c>
      <c r="N80" s="602" t="s">
        <v>2600</v>
      </c>
      <c r="Z80" s="2715"/>
      <c r="AA80" s="2791"/>
      <c r="AG80" s="1370"/>
      <c r="AK80" s="2791"/>
    </row>
    <row r="81" spans="1:37" ht="38.25">
      <c r="A81" s="2873" t="s">
        <v>2969</v>
      </c>
      <c r="B81" s="2877" t="str">
        <f>估价对象房地状况!G15</f>
        <v>估价对象位于XX开发区，园区建设成熟度XX，产业集聚程度XX</v>
      </c>
      <c r="C81" s="2765"/>
      <c r="D81" s="1284">
        <f t="shared" ref="D81:D88" si="25">SUMIF($J$80:$N$80,C81,J81:N81)</f>
        <v>0</v>
      </c>
      <c r="E81" s="816">
        <f>ROUND(SUM(D81:D88),4)</f>
        <v>0</v>
      </c>
      <c r="F81" s="2496"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5"/>
      <c r="AA81" s="2791"/>
      <c r="AG81" s="1370"/>
      <c r="AK81" s="2791"/>
    </row>
    <row r="82" spans="1:37" ht="51">
      <c r="A82" s="2873" t="s">
        <v>2951</v>
      </c>
      <c r="B82" s="2877" t="str">
        <f>估价对象房地状况!G16</f>
        <v>估价对象周边道路状况、公共交通通达情况、停车便捷程度，综合评价交通便捷度较好</v>
      </c>
      <c r="C82" s="2765"/>
      <c r="D82" s="1284">
        <f t="shared" si="25"/>
        <v>0</v>
      </c>
      <c r="E82" s="821"/>
      <c r="F82" s="2496"/>
      <c r="G82" s="1282"/>
      <c r="H82" s="1286" t="str">
        <f t="shared" si="26"/>
        <v>——</v>
      </c>
      <c r="I82" s="815">
        <v>0.33</v>
      </c>
      <c r="J82" s="1283">
        <f t="shared" si="27"/>
        <v>0</v>
      </c>
      <c r="K82" s="1283">
        <f t="shared" si="28"/>
        <v>0</v>
      </c>
      <c r="L82" s="1283">
        <v>0</v>
      </c>
      <c r="M82" s="1283">
        <f t="shared" si="29"/>
        <v>0</v>
      </c>
      <c r="N82" s="1283">
        <f t="shared" si="29"/>
        <v>0</v>
      </c>
      <c r="Z82" s="2715"/>
      <c r="AA82" s="2791"/>
      <c r="AG82" s="1370"/>
      <c r="AK82" s="2791"/>
    </row>
    <row r="83" spans="1:37" ht="24">
      <c r="A83" s="2873" t="s">
        <v>2952</v>
      </c>
      <c r="B83" s="2877">
        <f>估价对象房地状况!G17</f>
        <v>0</v>
      </c>
      <c r="C83" s="2765"/>
      <c r="D83" s="1284">
        <f t="shared" si="25"/>
        <v>0</v>
      </c>
      <c r="E83" s="821"/>
      <c r="F83" s="2496"/>
      <c r="G83" s="1282"/>
      <c r="H83" s="1286" t="str">
        <f t="shared" si="26"/>
        <v>——</v>
      </c>
      <c r="I83" s="815">
        <v>0.05</v>
      </c>
      <c r="J83" s="1283">
        <f t="shared" si="27"/>
        <v>0</v>
      </c>
      <c r="K83" s="1283">
        <f t="shared" si="28"/>
        <v>0</v>
      </c>
      <c r="L83" s="1283">
        <v>0</v>
      </c>
      <c r="M83" s="1283">
        <f t="shared" si="29"/>
        <v>0</v>
      </c>
      <c r="N83" s="1283">
        <f t="shared" si="29"/>
        <v>0</v>
      </c>
      <c r="Z83" s="2715"/>
      <c r="AA83" s="2791"/>
      <c r="AG83" s="1370"/>
      <c r="AK83" s="2791"/>
    </row>
    <row r="84" spans="1:37" ht="14.25">
      <c r="A84" s="2873" t="s">
        <v>2966</v>
      </c>
      <c r="B84" s="2877">
        <f>估价对象房地状况!G22</f>
        <v>0</v>
      </c>
      <c r="C84" s="2765"/>
      <c r="D84" s="1284">
        <f t="shared" si="25"/>
        <v>0</v>
      </c>
      <c r="E84" s="821"/>
      <c r="F84" s="2496"/>
      <c r="G84" s="1282"/>
      <c r="H84" s="1286" t="str">
        <f t="shared" si="26"/>
        <v>——</v>
      </c>
      <c r="I84" s="815">
        <v>0.04</v>
      </c>
      <c r="J84" s="1283">
        <f t="shared" si="27"/>
        <v>0</v>
      </c>
      <c r="K84" s="1283">
        <f t="shared" si="28"/>
        <v>0</v>
      </c>
      <c r="L84" s="1283">
        <v>0</v>
      </c>
      <c r="M84" s="1283">
        <f t="shared" si="29"/>
        <v>0</v>
      </c>
      <c r="N84" s="1283">
        <f t="shared" si="29"/>
        <v>0</v>
      </c>
      <c r="Z84" s="2715"/>
      <c r="AA84" s="2791"/>
      <c r="AG84" s="1370"/>
      <c r="AK84" s="2791"/>
    </row>
    <row r="85" spans="1:37" ht="25.5">
      <c r="A85" s="2873" t="s">
        <v>2958</v>
      </c>
      <c r="B85" s="1722" t="str">
        <f>估价对象房地状况!G19</f>
        <v>估价对象所在区域公共配套设施齐备情况</v>
      </c>
      <c r="C85" s="2765"/>
      <c r="D85" s="1284">
        <f t="shared" si="25"/>
        <v>0</v>
      </c>
      <c r="E85" s="821"/>
      <c r="F85" s="2496"/>
      <c r="G85" s="1282"/>
      <c r="H85" s="1286" t="str">
        <f t="shared" si="26"/>
        <v>——</v>
      </c>
      <c r="I85" s="815">
        <v>0.06</v>
      </c>
      <c r="J85" s="1283">
        <f t="shared" si="27"/>
        <v>0</v>
      </c>
      <c r="K85" s="1283">
        <f t="shared" si="28"/>
        <v>0</v>
      </c>
      <c r="L85" s="1283">
        <v>0</v>
      </c>
      <c r="M85" s="1283">
        <f t="shared" si="29"/>
        <v>0</v>
      </c>
      <c r="N85" s="1283">
        <f t="shared" si="29"/>
        <v>0</v>
      </c>
      <c r="Z85" s="2715"/>
      <c r="AA85" s="2791"/>
      <c r="AG85" s="1370"/>
      <c r="AK85" s="2791"/>
    </row>
    <row r="86" spans="1:37" ht="25.5">
      <c r="A86" s="2873" t="s">
        <v>2959</v>
      </c>
      <c r="B86" s="1722" t="str">
        <f>估价对象房地状况!G20</f>
        <v>估价对象所在区域基础设施水平</v>
      </c>
      <c r="C86" s="2765"/>
      <c r="D86" s="1284">
        <f t="shared" si="25"/>
        <v>0</v>
      </c>
      <c r="E86" s="821"/>
      <c r="F86" s="2496"/>
      <c r="G86" s="1282"/>
      <c r="H86" s="1286" t="str">
        <f t="shared" si="26"/>
        <v>——</v>
      </c>
      <c r="I86" s="815">
        <v>0.15</v>
      </c>
      <c r="J86" s="1283">
        <f t="shared" si="27"/>
        <v>0</v>
      </c>
      <c r="K86" s="1283">
        <f t="shared" si="28"/>
        <v>0</v>
      </c>
      <c r="L86" s="1283">
        <v>0</v>
      </c>
      <c r="M86" s="1283">
        <f t="shared" si="29"/>
        <v>0</v>
      </c>
      <c r="N86" s="1283">
        <f t="shared" si="29"/>
        <v>0</v>
      </c>
      <c r="Z86" s="2715"/>
      <c r="AA86" s="2791"/>
      <c r="AG86" s="1370"/>
      <c r="AK86" s="2791"/>
    </row>
    <row r="87" spans="1:37" ht="24">
      <c r="A87" s="2873" t="s">
        <v>2956</v>
      </c>
      <c r="B87" s="2879" t="s">
        <v>2970</v>
      </c>
      <c r="C87" s="2765"/>
      <c r="D87" s="1284">
        <f t="shared" si="25"/>
        <v>0</v>
      </c>
      <c r="E87" s="821"/>
      <c r="F87" s="2496"/>
      <c r="G87" s="1282"/>
      <c r="H87" s="1286" t="str">
        <f t="shared" si="26"/>
        <v>——</v>
      </c>
      <c r="I87" s="815">
        <v>0.05</v>
      </c>
      <c r="J87" s="1283">
        <f t="shared" si="27"/>
        <v>0</v>
      </c>
      <c r="K87" s="1283">
        <f t="shared" si="28"/>
        <v>0</v>
      </c>
      <c r="L87" s="1283">
        <v>0</v>
      </c>
      <c r="M87" s="1283">
        <f t="shared" si="29"/>
        <v>0</v>
      </c>
      <c r="N87" s="1283">
        <f t="shared" si="29"/>
        <v>0</v>
      </c>
      <c r="Z87" s="2715"/>
      <c r="AA87" s="2791"/>
      <c r="AG87" s="1370"/>
      <c r="AK87" s="2791"/>
    </row>
    <row r="88" spans="1:37" ht="39" thickBot="1">
      <c r="A88" s="2881" t="s">
        <v>2971</v>
      </c>
      <c r="B88" s="2886" t="str">
        <f>估价对象房地状况!G18</f>
        <v>该园区内是否有污染型企业，绿化情况，卫生条件，整体环境状况判断</v>
      </c>
      <c r="C88" s="2765"/>
      <c r="D88" s="1284">
        <f t="shared" si="25"/>
        <v>0</v>
      </c>
      <c r="E88" s="822"/>
      <c r="F88" s="2496"/>
      <c r="G88" s="1282"/>
      <c r="H88" s="1286" t="str">
        <f t="shared" si="26"/>
        <v>——</v>
      </c>
      <c r="I88" s="819">
        <v>0.06</v>
      </c>
      <c r="J88" s="1283">
        <f t="shared" si="27"/>
        <v>0</v>
      </c>
      <c r="K88" s="1283">
        <f t="shared" si="28"/>
        <v>0</v>
      </c>
      <c r="L88" s="1283">
        <v>0</v>
      </c>
      <c r="M88" s="1283">
        <f t="shared" si="29"/>
        <v>0</v>
      </c>
      <c r="N88" s="1283">
        <f t="shared" si="29"/>
        <v>0</v>
      </c>
      <c r="Z88" s="2715"/>
      <c r="AA88" s="2791"/>
      <c r="AG88" s="1370"/>
      <c r="AK88" s="2791"/>
    </row>
    <row r="90" spans="1:37">
      <c r="A90" s="3295" t="s">
        <v>2972</v>
      </c>
      <c r="B90" s="3295"/>
      <c r="C90" s="3295"/>
      <c r="D90" s="3295"/>
      <c r="E90" s="3295"/>
      <c r="F90" s="3295"/>
      <c r="G90" s="3295"/>
      <c r="H90" s="3295"/>
      <c r="I90" s="3295"/>
      <c r="J90" s="3295"/>
      <c r="K90" s="2887"/>
      <c r="L90" s="2887"/>
      <c r="M90" s="2887"/>
      <c r="N90" s="2887"/>
    </row>
    <row r="91" spans="1:37">
      <c r="A91" s="3297" t="s">
        <v>2973</v>
      </c>
      <c r="B91" s="3297" t="s">
        <v>2974</v>
      </c>
      <c r="C91" s="2841" t="s">
        <v>2975</v>
      </c>
      <c r="D91" s="2842"/>
      <c r="E91" s="2842"/>
      <c r="F91" s="2842"/>
      <c r="G91" s="2842"/>
      <c r="H91" s="2842"/>
      <c r="I91" s="2842"/>
      <c r="J91" s="2888"/>
      <c r="K91" s="2889"/>
      <c r="L91" s="2889"/>
      <c r="M91" s="2889"/>
      <c r="N91" s="2889"/>
    </row>
    <row r="92" spans="1:37">
      <c r="A92" s="3297"/>
      <c r="B92" s="3297"/>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98"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9"/>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8" t="s">
        <v>2977</v>
      </c>
      <c r="B101" s="2894" t="s">
        <v>2978</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99"/>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99"/>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99"/>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99"/>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99"/>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99"/>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99"/>
      <c r="B108" s="3123"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0"/>
      <c r="B109" s="3124"/>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96" t="s">
        <v>2980</v>
      </c>
      <c r="B110" s="3296"/>
      <c r="C110" s="3296"/>
      <c r="D110" s="3296"/>
      <c r="E110" s="3296"/>
      <c r="F110" s="3296"/>
      <c r="G110" s="3296"/>
      <c r="H110" s="3296"/>
      <c r="I110" s="3296"/>
      <c r="J110" s="3296"/>
      <c r="K110" s="2896"/>
      <c r="L110" s="2896"/>
      <c r="M110" s="2896"/>
      <c r="N110" s="2896"/>
    </row>
    <row r="112" spans="1:14" ht="13.5" thickBot="1"/>
    <row r="113" spans="1:13" ht="25.5" thickBot="1">
      <c r="A113" s="898" t="s">
        <v>2981</v>
      </c>
      <c r="B113" s="1285" t="e">
        <f>G3</f>
        <v>#DIV/0!</v>
      </c>
      <c r="C113" s="899" t="s">
        <v>2982</v>
      </c>
      <c r="D113" s="900" t="e">
        <f>SUMPRODUCT((A115:A118=F113)*(B114:M114=H113)*B115:M118)</f>
        <v>#DIV/0!</v>
      </c>
      <c r="E113" s="2719" t="s">
        <v>2812</v>
      </c>
      <c r="F113" s="2898">
        <f>E2</f>
        <v>0</v>
      </c>
      <c r="G113" s="2719" t="s">
        <v>2813</v>
      </c>
      <c r="H113" s="2898">
        <f>G2</f>
        <v>0</v>
      </c>
      <c r="I113" s="2719"/>
      <c r="J113" s="2899"/>
      <c r="K113" s="2899"/>
      <c r="L113" s="2899"/>
      <c r="M113" s="2899"/>
    </row>
    <row r="114" spans="1:13">
      <c r="A114" s="903"/>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4" t="s">
        <v>2877</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2878</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2879</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3" t="s">
        <v>2880</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13" t="s">
        <v>183</v>
      </c>
      <c r="B18" s="877" t="s">
        <v>560</v>
      </c>
      <c r="C18" s="878" t="s">
        <v>561</v>
      </c>
      <c r="D18" s="879"/>
      <c r="E18" s="877">
        <v>1</v>
      </c>
      <c r="F18" s="880" t="s">
        <v>562</v>
      </c>
      <c r="G18" s="881"/>
      <c r="H18" s="873"/>
      <c r="I18" s="873"/>
    </row>
    <row r="19" spans="1:9" s="882" customFormat="1" ht="19.5" customHeight="1">
      <c r="A19" s="3313"/>
      <c r="B19" s="3313" t="s">
        <v>563</v>
      </c>
      <c r="C19" s="878" t="s">
        <v>564</v>
      </c>
      <c r="D19" s="879"/>
      <c r="E19" s="877">
        <v>0.9</v>
      </c>
      <c r="F19" s="880" t="s">
        <v>565</v>
      </c>
      <c r="G19" s="881"/>
      <c r="H19" s="873"/>
      <c r="I19" s="873"/>
    </row>
    <row r="20" spans="1:9" s="882" customFormat="1" ht="19.5" customHeight="1">
      <c r="A20" s="3313"/>
      <c r="B20" s="3313"/>
      <c r="C20" s="878" t="s">
        <v>566</v>
      </c>
      <c r="D20" s="879"/>
      <c r="E20" s="877">
        <v>1.1000000000000001</v>
      </c>
      <c r="F20" s="880" t="s">
        <v>567</v>
      </c>
      <c r="G20" s="881"/>
      <c r="H20" s="873"/>
      <c r="I20" s="873"/>
    </row>
    <row r="21" spans="1:9" s="882" customFormat="1" ht="19.5" customHeight="1">
      <c r="A21" s="3313"/>
      <c r="B21" s="3313"/>
      <c r="C21" s="878" t="s">
        <v>568</v>
      </c>
      <c r="D21" s="879"/>
      <c r="E21" s="877">
        <v>0.8</v>
      </c>
      <c r="F21" s="880" t="s">
        <v>569</v>
      </c>
      <c r="G21" s="881"/>
      <c r="H21" s="873"/>
      <c r="I21" s="873"/>
    </row>
    <row r="22" spans="1:9" s="882" customFormat="1" ht="19.5" customHeight="1">
      <c r="A22" s="3313"/>
      <c r="B22" s="3313"/>
      <c r="C22" s="878" t="s">
        <v>570</v>
      </c>
      <c r="D22" s="879"/>
      <c r="E22" s="877">
        <v>0.5</v>
      </c>
      <c r="F22" s="880"/>
      <c r="G22" s="881"/>
      <c r="H22" s="873"/>
      <c r="I22" s="873"/>
    </row>
    <row r="23" spans="1:9" s="882" customFormat="1" ht="19.5" customHeight="1">
      <c r="A23" s="3313" t="s">
        <v>184</v>
      </c>
      <c r="B23" s="877" t="s">
        <v>560</v>
      </c>
      <c r="C23" s="878" t="s">
        <v>571</v>
      </c>
      <c r="D23" s="879"/>
      <c r="E23" s="877">
        <v>1</v>
      </c>
      <c r="F23" s="880" t="s">
        <v>572</v>
      </c>
      <c r="G23" s="881"/>
      <c r="H23" s="873"/>
      <c r="I23" s="873"/>
    </row>
    <row r="24" spans="1:9" s="882" customFormat="1" ht="19.5" customHeight="1">
      <c r="A24" s="3313"/>
      <c r="B24" s="3313" t="s">
        <v>563</v>
      </c>
      <c r="C24" s="878" t="s">
        <v>573</v>
      </c>
      <c r="D24" s="879"/>
      <c r="E24" s="877">
        <v>0.5</v>
      </c>
      <c r="F24" s="880"/>
      <c r="G24" s="881"/>
      <c r="H24" s="873"/>
      <c r="I24" s="873"/>
    </row>
    <row r="25" spans="1:9" s="882" customFormat="1" ht="19.5" customHeight="1">
      <c r="A25" s="3313"/>
      <c r="B25" s="3313"/>
      <c r="C25" s="878" t="s">
        <v>574</v>
      </c>
      <c r="D25" s="879"/>
      <c r="E25" s="877">
        <v>1.1000000000000001</v>
      </c>
      <c r="F25" s="880"/>
      <c r="G25" s="881"/>
      <c r="H25" s="873"/>
      <c r="I25" s="873"/>
    </row>
    <row r="26" spans="1:9" s="882" customFormat="1" ht="19.5" customHeight="1">
      <c r="A26" s="3313"/>
      <c r="B26" s="3313"/>
      <c r="C26" s="878" t="s">
        <v>575</v>
      </c>
      <c r="D26" s="879"/>
      <c r="E26" s="877">
        <v>1.1000000000000001</v>
      </c>
      <c r="F26" s="880"/>
      <c r="G26" s="881"/>
      <c r="H26" s="873"/>
      <c r="I26" s="873"/>
    </row>
    <row r="27" spans="1:9" s="882" customFormat="1" ht="19.5" customHeight="1">
      <c r="A27" s="3313"/>
      <c r="B27" s="3313"/>
      <c r="C27" s="878" t="s">
        <v>576</v>
      </c>
      <c r="D27" s="879"/>
      <c r="E27" s="877">
        <v>0.9</v>
      </c>
      <c r="F27" s="880" t="s">
        <v>577</v>
      </c>
      <c r="G27" s="881"/>
      <c r="H27" s="873"/>
      <c r="I27" s="873"/>
    </row>
    <row r="28" spans="1:9" s="882" customFormat="1" ht="19.5" customHeight="1">
      <c r="A28" s="3313"/>
      <c r="B28" s="3313"/>
      <c r="C28" s="878" t="s">
        <v>578</v>
      </c>
      <c r="D28" s="879"/>
      <c r="E28" s="877">
        <v>0.9</v>
      </c>
      <c r="F28" s="880" t="s">
        <v>579</v>
      </c>
      <c r="G28" s="881"/>
      <c r="H28" s="873"/>
      <c r="I28" s="873"/>
    </row>
    <row r="29" spans="1:9" s="882" customFormat="1" ht="19.5" customHeight="1">
      <c r="A29" s="3313"/>
      <c r="B29" s="3313"/>
      <c r="C29" s="878" t="s">
        <v>580</v>
      </c>
      <c r="D29" s="879"/>
      <c r="E29" s="877">
        <v>0.9</v>
      </c>
      <c r="F29" s="880" t="s">
        <v>581</v>
      </c>
      <c r="G29" s="881"/>
      <c r="H29" s="873"/>
      <c r="I29" s="873"/>
    </row>
    <row r="30" spans="1:9" s="882" customFormat="1" ht="19.5" customHeight="1">
      <c r="A30" s="3313"/>
      <c r="B30" s="3313"/>
      <c r="C30" s="878" t="s">
        <v>582</v>
      </c>
      <c r="D30" s="879"/>
      <c r="E30" s="877">
        <v>0.9</v>
      </c>
      <c r="F30" s="880" t="s">
        <v>583</v>
      </c>
      <c r="G30" s="881"/>
      <c r="H30" s="873"/>
      <c r="I30" s="873"/>
    </row>
    <row r="31" spans="1:9" s="882" customFormat="1" ht="19.5" customHeight="1">
      <c r="A31" s="3313"/>
      <c r="B31" s="3313"/>
      <c r="C31" s="878" t="s">
        <v>584</v>
      </c>
      <c r="D31" s="879"/>
      <c r="E31" s="877">
        <v>0.8</v>
      </c>
      <c r="F31" s="880" t="s">
        <v>585</v>
      </c>
      <c r="G31" s="881"/>
      <c r="H31" s="873"/>
      <c r="I31" s="873"/>
    </row>
    <row r="32" spans="1:9" s="882" customFormat="1" ht="19.5" customHeight="1">
      <c r="A32" s="3313"/>
      <c r="B32" s="3313"/>
      <c r="C32" s="878" t="s">
        <v>586</v>
      </c>
      <c r="D32" s="879"/>
      <c r="E32" s="877">
        <v>0.8</v>
      </c>
      <c r="F32" s="880" t="s">
        <v>587</v>
      </c>
      <c r="G32" s="881"/>
      <c r="H32" s="873"/>
      <c r="I32" s="873"/>
    </row>
    <row r="33" spans="1:9" s="882" customFormat="1" ht="19.5" customHeight="1">
      <c r="A33" s="3313" t="s">
        <v>185</v>
      </c>
      <c r="B33" s="877" t="s">
        <v>560</v>
      </c>
      <c r="C33" s="878" t="s">
        <v>588</v>
      </c>
      <c r="D33" s="879"/>
      <c r="E33" s="877">
        <v>1</v>
      </c>
      <c r="F33" s="880" t="s">
        <v>589</v>
      </c>
      <c r="G33" s="881"/>
      <c r="H33" s="873"/>
      <c r="I33" s="873"/>
    </row>
    <row r="34" spans="1:9" s="882" customFormat="1" ht="19.5" customHeight="1">
      <c r="A34" s="3313"/>
      <c r="B34" s="877" t="s">
        <v>563</v>
      </c>
      <c r="C34" s="878" t="s">
        <v>590</v>
      </c>
      <c r="D34" s="879"/>
      <c r="E34" s="877">
        <v>1.5</v>
      </c>
      <c r="F34" s="880" t="s">
        <v>591</v>
      </c>
      <c r="G34" s="881"/>
      <c r="H34" s="873"/>
      <c r="I34" s="873"/>
    </row>
    <row r="35" spans="1:9" s="882" customFormat="1" ht="19.5" customHeight="1">
      <c r="A35" s="3313" t="s">
        <v>186</v>
      </c>
      <c r="B35" s="877" t="s">
        <v>560</v>
      </c>
      <c r="C35" s="878" t="s">
        <v>592</v>
      </c>
      <c r="D35" s="879"/>
      <c r="E35" s="877">
        <v>1</v>
      </c>
      <c r="F35" s="880" t="s">
        <v>593</v>
      </c>
      <c r="G35" s="881"/>
      <c r="H35" s="873"/>
      <c r="I35" s="873"/>
    </row>
    <row r="36" spans="1:9" s="882" customFormat="1" ht="19.5" customHeight="1">
      <c r="A36" s="3313"/>
      <c r="B36" s="3313" t="s">
        <v>563</v>
      </c>
      <c r="C36" s="878" t="s">
        <v>594</v>
      </c>
      <c r="D36" s="879"/>
      <c r="E36" s="877">
        <v>1</v>
      </c>
      <c r="F36" s="880" t="s">
        <v>595</v>
      </c>
      <c r="G36" s="881"/>
      <c r="H36" s="873"/>
      <c r="I36" s="873"/>
    </row>
    <row r="37" spans="1:9" s="882" customFormat="1" ht="19.5" customHeight="1">
      <c r="A37" s="3313"/>
      <c r="B37" s="3313"/>
      <c r="C37" s="878" t="s">
        <v>596</v>
      </c>
      <c r="D37" s="879"/>
      <c r="E37" s="877">
        <v>1.5</v>
      </c>
      <c r="F37" s="880" t="s">
        <v>597</v>
      </c>
      <c r="G37" s="881"/>
      <c r="H37" s="873"/>
      <c r="I37" s="873"/>
    </row>
    <row r="38" spans="1:9" s="882" customFormat="1" ht="19.5" customHeight="1">
      <c r="A38" s="3313"/>
      <c r="B38" s="3313"/>
      <c r="C38" s="878" t="s">
        <v>598</v>
      </c>
      <c r="D38" s="879"/>
      <c r="E38" s="877">
        <v>1</v>
      </c>
      <c r="F38" s="880" t="s">
        <v>599</v>
      </c>
      <c r="G38" s="881"/>
      <c r="H38" s="873"/>
      <c r="I38" s="873"/>
    </row>
    <row r="39" spans="1:9" s="882" customFormat="1" ht="19.5" customHeight="1">
      <c r="A39" s="3313"/>
      <c r="B39" s="331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13" t="s">
        <v>614</v>
      </c>
      <c r="C61" s="813" t="s">
        <v>615</v>
      </c>
      <c r="D61" s="813" t="s">
        <v>616</v>
      </c>
      <c r="E61" s="890">
        <v>0.5</v>
      </c>
      <c r="F61" s="877">
        <v>80</v>
      </c>
    </row>
    <row r="62" spans="1:8" s="873" customFormat="1" ht="24">
      <c r="A62" s="877">
        <v>2</v>
      </c>
      <c r="B62" s="3313"/>
      <c r="C62" s="813" t="s">
        <v>617</v>
      </c>
      <c r="D62" s="813" t="s">
        <v>618</v>
      </c>
      <c r="E62" s="890">
        <v>0.5</v>
      </c>
      <c r="F62" s="877">
        <v>80</v>
      </c>
    </row>
    <row r="63" spans="1:8" s="873" customFormat="1" ht="36">
      <c r="A63" s="877">
        <v>3</v>
      </c>
      <c r="B63" s="3313"/>
      <c r="C63" s="813" t="s">
        <v>619</v>
      </c>
      <c r="D63" s="813" t="s">
        <v>620</v>
      </c>
      <c r="E63" s="890">
        <v>0.5</v>
      </c>
      <c r="F63" s="877">
        <v>80</v>
      </c>
    </row>
    <row r="64" spans="1:8" s="873" customFormat="1" ht="36">
      <c r="A64" s="877">
        <v>4</v>
      </c>
      <c r="B64" s="3313"/>
      <c r="C64" s="813" t="s">
        <v>621</v>
      </c>
      <c r="D64" s="813" t="s">
        <v>622</v>
      </c>
      <c r="E64" s="890">
        <v>0.4</v>
      </c>
      <c r="F64" s="877">
        <v>60</v>
      </c>
    </row>
    <row r="65" spans="1:6" s="873" customFormat="1" ht="36">
      <c r="A65" s="877">
        <v>5</v>
      </c>
      <c r="B65" s="3313"/>
      <c r="C65" s="813" t="s">
        <v>623</v>
      </c>
      <c r="D65" s="813" t="s">
        <v>624</v>
      </c>
      <c r="E65" s="890">
        <v>0.2</v>
      </c>
      <c r="F65" s="877">
        <v>30</v>
      </c>
    </row>
    <row r="66" spans="1:6" s="873" customFormat="1" ht="36">
      <c r="A66" s="877">
        <v>6</v>
      </c>
      <c r="B66" s="3313"/>
      <c r="C66" s="813" t="s">
        <v>625</v>
      </c>
      <c r="D66" s="813" t="s">
        <v>626</v>
      </c>
      <c r="E66" s="890">
        <v>0.3</v>
      </c>
      <c r="F66" s="877">
        <v>50</v>
      </c>
    </row>
    <row r="67" spans="1:6" s="873" customFormat="1" ht="36">
      <c r="A67" s="877">
        <v>7</v>
      </c>
      <c r="B67" s="3313"/>
      <c r="C67" s="813" t="s">
        <v>627</v>
      </c>
      <c r="D67" s="813" t="s">
        <v>628</v>
      </c>
      <c r="E67" s="890">
        <v>0.2</v>
      </c>
      <c r="F67" s="877">
        <v>30</v>
      </c>
    </row>
    <row r="68" spans="1:6" s="873" customFormat="1" ht="36">
      <c r="A68" s="877">
        <v>8</v>
      </c>
      <c r="B68" s="3313"/>
      <c r="C68" s="813" t="s">
        <v>629</v>
      </c>
      <c r="D68" s="813" t="s">
        <v>630</v>
      </c>
      <c r="E68" s="890">
        <v>0.2</v>
      </c>
      <c r="F68" s="877">
        <v>30</v>
      </c>
    </row>
    <row r="69" spans="1:6" s="873" customFormat="1" ht="36">
      <c r="A69" s="877">
        <v>9</v>
      </c>
      <c r="B69" s="3313"/>
      <c r="C69" s="813" t="s">
        <v>631</v>
      </c>
      <c r="D69" s="813" t="s">
        <v>632</v>
      </c>
      <c r="E69" s="890">
        <v>0.2</v>
      </c>
      <c r="F69" s="877">
        <v>30</v>
      </c>
    </row>
    <row r="70" spans="1:6" s="873" customFormat="1" ht="48">
      <c r="A70" s="877">
        <v>10</v>
      </c>
      <c r="B70" s="3313"/>
      <c r="C70" s="813" t="s">
        <v>633</v>
      </c>
      <c r="D70" s="813" t="s">
        <v>634</v>
      </c>
      <c r="E70" s="890">
        <v>0.2</v>
      </c>
      <c r="F70" s="877">
        <v>30</v>
      </c>
    </row>
    <row r="71" spans="1:6" s="873" customFormat="1" ht="48">
      <c r="A71" s="877">
        <v>11</v>
      </c>
      <c r="B71" s="3313"/>
      <c r="C71" s="813" t="s">
        <v>635</v>
      </c>
      <c r="D71" s="813" t="s">
        <v>636</v>
      </c>
      <c r="E71" s="890">
        <v>0.2</v>
      </c>
      <c r="F71" s="877">
        <v>30</v>
      </c>
    </row>
    <row r="72" spans="1:6" s="873" customFormat="1" ht="36">
      <c r="A72" s="877">
        <v>12</v>
      </c>
      <c r="B72" s="3313"/>
      <c r="C72" s="813" t="s">
        <v>637</v>
      </c>
      <c r="D72" s="813" t="s">
        <v>638</v>
      </c>
      <c r="E72" s="890">
        <v>0.5</v>
      </c>
      <c r="F72" s="877">
        <v>80</v>
      </c>
    </row>
    <row r="73" spans="1:6" s="873" customFormat="1" ht="24">
      <c r="A73" s="877">
        <v>13</v>
      </c>
      <c r="B73" s="3313"/>
      <c r="C73" s="813" t="s">
        <v>639</v>
      </c>
      <c r="D73" s="813" t="s">
        <v>640</v>
      </c>
      <c r="E73" s="890">
        <v>0.4</v>
      </c>
      <c r="F73" s="877">
        <v>60</v>
      </c>
    </row>
    <row r="74" spans="1:6" s="873" customFormat="1" ht="24">
      <c r="A74" s="877">
        <v>14</v>
      </c>
      <c r="B74" s="3313"/>
      <c r="C74" s="813" t="s">
        <v>641</v>
      </c>
      <c r="D74" s="813" t="s">
        <v>642</v>
      </c>
      <c r="E74" s="890">
        <v>0.2</v>
      </c>
      <c r="F74" s="877">
        <v>30</v>
      </c>
    </row>
    <row r="75" spans="1:6" s="873" customFormat="1" ht="24">
      <c r="A75" s="877">
        <v>15</v>
      </c>
      <c r="B75" s="3313"/>
      <c r="C75" s="813" t="s">
        <v>643</v>
      </c>
      <c r="D75" s="813" t="s">
        <v>644</v>
      </c>
      <c r="E75" s="890">
        <v>0.2</v>
      </c>
      <c r="F75" s="877">
        <v>30</v>
      </c>
    </row>
    <row r="76" spans="1:6" s="873" customFormat="1" ht="24">
      <c r="A76" s="877">
        <v>16</v>
      </c>
      <c r="B76" s="3313" t="s">
        <v>645</v>
      </c>
      <c r="C76" s="813" t="s">
        <v>646</v>
      </c>
      <c r="D76" s="813" t="s">
        <v>647</v>
      </c>
      <c r="E76" s="890">
        <v>0.5</v>
      </c>
      <c r="F76" s="877">
        <v>80</v>
      </c>
    </row>
    <row r="77" spans="1:6" s="873" customFormat="1" ht="24">
      <c r="A77" s="877">
        <v>17</v>
      </c>
      <c r="B77" s="3313"/>
      <c r="C77" s="813" t="s">
        <v>648</v>
      </c>
      <c r="D77" s="813" t="s">
        <v>649</v>
      </c>
      <c r="E77" s="890">
        <v>0.5</v>
      </c>
      <c r="F77" s="877">
        <v>80</v>
      </c>
    </row>
    <row r="78" spans="1:6" s="873" customFormat="1" ht="24">
      <c r="A78" s="877">
        <v>18</v>
      </c>
      <c r="B78" s="3313"/>
      <c r="C78" s="813" t="s">
        <v>650</v>
      </c>
      <c r="D78" s="813" t="s">
        <v>651</v>
      </c>
      <c r="E78" s="890">
        <v>0.2</v>
      </c>
      <c r="F78" s="877">
        <v>30</v>
      </c>
    </row>
    <row r="79" spans="1:6" s="873" customFormat="1" ht="24">
      <c r="A79" s="877">
        <v>19</v>
      </c>
      <c r="B79" s="3313"/>
      <c r="C79" s="813" t="s">
        <v>652</v>
      </c>
      <c r="D79" s="813" t="s">
        <v>653</v>
      </c>
      <c r="E79" s="890">
        <v>0.5</v>
      </c>
      <c r="F79" s="877">
        <v>80</v>
      </c>
    </row>
    <row r="80" spans="1:6" s="873" customFormat="1" ht="36">
      <c r="A80" s="877">
        <v>20</v>
      </c>
      <c r="B80" s="3313"/>
      <c r="C80" s="813" t="s">
        <v>654</v>
      </c>
      <c r="D80" s="813" t="s">
        <v>655</v>
      </c>
      <c r="E80" s="890">
        <v>0.2</v>
      </c>
      <c r="F80" s="877">
        <v>30</v>
      </c>
    </row>
    <row r="81" spans="1:6" s="873" customFormat="1" ht="36">
      <c r="A81" s="877">
        <v>21</v>
      </c>
      <c r="B81" s="3313"/>
      <c r="C81" s="813" t="s">
        <v>656</v>
      </c>
      <c r="D81" s="813" t="s">
        <v>657</v>
      </c>
      <c r="E81" s="890">
        <v>0.2</v>
      </c>
      <c r="F81" s="877">
        <v>30</v>
      </c>
    </row>
    <row r="82" spans="1:6" s="873" customFormat="1" ht="48">
      <c r="A82" s="877">
        <v>22</v>
      </c>
      <c r="B82" s="3313"/>
      <c r="C82" s="813" t="s">
        <v>658</v>
      </c>
      <c r="D82" s="813" t="s">
        <v>659</v>
      </c>
      <c r="E82" s="890">
        <v>0.2</v>
      </c>
      <c r="F82" s="877">
        <v>30</v>
      </c>
    </row>
    <row r="83" spans="1:6" s="873" customFormat="1" ht="48">
      <c r="A83" s="877">
        <v>23</v>
      </c>
      <c r="B83" s="3313"/>
      <c r="C83" s="813" t="s">
        <v>660</v>
      </c>
      <c r="D83" s="813" t="s">
        <v>661</v>
      </c>
      <c r="E83" s="890">
        <v>0.2</v>
      </c>
      <c r="F83" s="877">
        <v>30</v>
      </c>
    </row>
    <row r="84" spans="1:6" s="873" customFormat="1" ht="36">
      <c r="A84" s="877">
        <v>24</v>
      </c>
      <c r="B84" s="3313"/>
      <c r="C84" s="813" t="s">
        <v>662</v>
      </c>
      <c r="D84" s="813" t="s">
        <v>663</v>
      </c>
      <c r="E84" s="890">
        <v>0.2</v>
      </c>
      <c r="F84" s="877">
        <v>30</v>
      </c>
    </row>
    <row r="85" spans="1:6" s="873" customFormat="1" ht="36">
      <c r="A85" s="877">
        <v>25</v>
      </c>
      <c r="B85" s="3313"/>
      <c r="C85" s="813" t="s">
        <v>664</v>
      </c>
      <c r="D85" s="813" t="s">
        <v>665</v>
      </c>
      <c r="E85" s="890">
        <v>0.5</v>
      </c>
      <c r="F85" s="877">
        <v>80</v>
      </c>
    </row>
    <row r="86" spans="1:6" s="873" customFormat="1" ht="36">
      <c r="A86" s="877">
        <v>26</v>
      </c>
      <c r="B86" s="3313"/>
      <c r="C86" s="813" t="s">
        <v>666</v>
      </c>
      <c r="D86" s="813" t="s">
        <v>667</v>
      </c>
      <c r="E86" s="890">
        <v>0.2</v>
      </c>
      <c r="F86" s="877">
        <v>30</v>
      </c>
    </row>
    <row r="87" spans="1:6" s="873" customFormat="1" ht="36">
      <c r="A87" s="877">
        <v>27</v>
      </c>
      <c r="B87" s="3313"/>
      <c r="C87" s="813" t="s">
        <v>668</v>
      </c>
      <c r="D87" s="813" t="s">
        <v>669</v>
      </c>
      <c r="E87" s="890">
        <v>0.2</v>
      </c>
      <c r="F87" s="877">
        <v>30</v>
      </c>
    </row>
    <row r="88" spans="1:6" s="873" customFormat="1" ht="36">
      <c r="A88" s="877">
        <v>28</v>
      </c>
      <c r="B88" s="3313"/>
      <c r="C88" s="813" t="s">
        <v>670</v>
      </c>
      <c r="D88" s="813" t="s">
        <v>671</v>
      </c>
      <c r="E88" s="890">
        <v>0.2</v>
      </c>
      <c r="F88" s="877">
        <v>30</v>
      </c>
    </row>
    <row r="89" spans="1:6" s="873" customFormat="1" ht="24">
      <c r="A89" s="877">
        <v>29</v>
      </c>
      <c r="B89" s="3313"/>
      <c r="C89" s="813" t="s">
        <v>672</v>
      </c>
      <c r="D89" s="813" t="s">
        <v>673</v>
      </c>
      <c r="E89" s="890">
        <v>0.2</v>
      </c>
      <c r="F89" s="877">
        <v>30</v>
      </c>
    </row>
    <row r="90" spans="1:6" s="873" customFormat="1" ht="24">
      <c r="A90" s="877">
        <v>30</v>
      </c>
      <c r="B90" s="3313"/>
      <c r="C90" s="813" t="s">
        <v>674</v>
      </c>
      <c r="D90" s="813" t="s">
        <v>675</v>
      </c>
      <c r="E90" s="890">
        <v>0.2</v>
      </c>
      <c r="F90" s="877">
        <v>30</v>
      </c>
    </row>
    <row r="91" spans="1:6" s="873" customFormat="1" ht="36">
      <c r="A91" s="877">
        <v>31</v>
      </c>
      <c r="B91" s="3313"/>
      <c r="C91" s="813" t="s">
        <v>676</v>
      </c>
      <c r="D91" s="813" t="s">
        <v>677</v>
      </c>
      <c r="E91" s="890">
        <v>0.2</v>
      </c>
      <c r="F91" s="877">
        <v>30</v>
      </c>
    </row>
    <row r="92" spans="1:6" s="873" customFormat="1" ht="24">
      <c r="A92" s="877">
        <v>32</v>
      </c>
      <c r="B92" s="3313" t="s">
        <v>678</v>
      </c>
      <c r="C92" s="877" t="s">
        <v>679</v>
      </c>
      <c r="D92" s="813" t="s">
        <v>680</v>
      </c>
      <c r="E92" s="890">
        <v>0.2</v>
      </c>
      <c r="F92" s="877">
        <v>30</v>
      </c>
    </row>
    <row r="93" spans="1:6" s="873" customFormat="1" ht="36">
      <c r="A93" s="877">
        <v>33</v>
      </c>
      <c r="B93" s="3313"/>
      <c r="C93" s="877" t="s">
        <v>681</v>
      </c>
      <c r="D93" s="813" t="s">
        <v>682</v>
      </c>
      <c r="E93" s="890">
        <v>0.2</v>
      </c>
      <c r="F93" s="877">
        <v>30</v>
      </c>
    </row>
    <row r="94" spans="1:6" s="873" customFormat="1" ht="48">
      <c r="A94" s="877">
        <v>34</v>
      </c>
      <c r="B94" s="3313"/>
      <c r="C94" s="877" t="s">
        <v>683</v>
      </c>
      <c r="D94" s="813" t="s">
        <v>684</v>
      </c>
      <c r="E94" s="890">
        <v>0.2</v>
      </c>
      <c r="F94" s="877">
        <v>30</v>
      </c>
    </row>
    <row r="95" spans="1:6" s="873" customFormat="1" ht="36">
      <c r="A95" s="877">
        <v>35</v>
      </c>
      <c r="B95" s="3313"/>
      <c r="C95" s="877" t="s">
        <v>685</v>
      </c>
      <c r="D95" s="813" t="s">
        <v>686</v>
      </c>
      <c r="E95" s="890">
        <v>0.2</v>
      </c>
      <c r="F95" s="877">
        <v>30</v>
      </c>
    </row>
    <row r="96" spans="1:6" s="873" customFormat="1" ht="48">
      <c r="A96" s="877">
        <v>36</v>
      </c>
      <c r="B96" s="3313"/>
      <c r="C96" s="813" t="s">
        <v>687</v>
      </c>
      <c r="D96" s="813" t="s">
        <v>688</v>
      </c>
      <c r="E96" s="890">
        <v>0.2</v>
      </c>
      <c r="F96" s="877">
        <v>30</v>
      </c>
    </row>
    <row r="97" spans="1:6" s="873" customFormat="1" ht="36">
      <c r="A97" s="877">
        <v>37</v>
      </c>
      <c r="B97" s="3313"/>
      <c r="C97" s="877" t="s">
        <v>689</v>
      </c>
      <c r="D97" s="813" t="s">
        <v>690</v>
      </c>
      <c r="E97" s="890">
        <v>0.2</v>
      </c>
      <c r="F97" s="877">
        <v>30</v>
      </c>
    </row>
    <row r="98" spans="1:6" s="873" customFormat="1" ht="36">
      <c r="A98" s="877">
        <v>38</v>
      </c>
      <c r="B98" s="3313"/>
      <c r="C98" s="877" t="s">
        <v>691</v>
      </c>
      <c r="D98" s="813" t="s">
        <v>692</v>
      </c>
      <c r="E98" s="890">
        <v>0.2</v>
      </c>
      <c r="F98" s="877">
        <v>30</v>
      </c>
    </row>
    <row r="99" spans="1:6" s="873" customFormat="1" ht="36">
      <c r="A99" s="877">
        <v>39</v>
      </c>
      <c r="B99" s="3313" t="s">
        <v>693</v>
      </c>
      <c r="C99" s="877" t="s">
        <v>694</v>
      </c>
      <c r="D99" s="813" t="s">
        <v>695</v>
      </c>
      <c r="E99" s="890">
        <v>0.3</v>
      </c>
      <c r="F99" s="877">
        <v>50</v>
      </c>
    </row>
    <row r="100" spans="1:6" s="873" customFormat="1" ht="24">
      <c r="A100" s="877">
        <v>40</v>
      </c>
      <c r="B100" s="3313"/>
      <c r="C100" s="877" t="s">
        <v>696</v>
      </c>
      <c r="D100" s="813" t="s">
        <v>697</v>
      </c>
      <c r="E100" s="890">
        <v>0.2</v>
      </c>
      <c r="F100" s="877">
        <v>30</v>
      </c>
    </row>
    <row r="101" spans="1:6" s="873" customFormat="1" ht="36">
      <c r="A101" s="877">
        <v>41</v>
      </c>
      <c r="B101" s="331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3" t="s">
        <v>708</v>
      </c>
      <c r="C105" s="877" t="s">
        <v>709</v>
      </c>
      <c r="D105" s="813" t="s">
        <v>710</v>
      </c>
      <c r="E105" s="890">
        <v>0.2</v>
      </c>
      <c r="F105" s="877">
        <v>30</v>
      </c>
    </row>
    <row r="106" spans="1:6" s="873" customFormat="1" ht="36">
      <c r="A106" s="877">
        <v>46</v>
      </c>
      <c r="B106" s="3313"/>
      <c r="C106" s="877" t="s">
        <v>711</v>
      </c>
      <c r="D106" s="813" t="s">
        <v>712</v>
      </c>
      <c r="E106" s="890">
        <v>0.2</v>
      </c>
      <c r="F106" s="877">
        <v>30</v>
      </c>
    </row>
    <row r="107" spans="1:6" s="873" customFormat="1" ht="36">
      <c r="A107" s="877">
        <v>47</v>
      </c>
      <c r="B107" s="3313" t="s">
        <v>713</v>
      </c>
      <c r="C107" s="877" t="s">
        <v>714</v>
      </c>
      <c r="D107" s="813" t="s">
        <v>715</v>
      </c>
      <c r="E107" s="890">
        <v>0.3</v>
      </c>
      <c r="F107" s="877">
        <v>50</v>
      </c>
    </row>
    <row r="108" spans="1:6" s="873" customFormat="1" ht="36">
      <c r="A108" s="877">
        <v>48</v>
      </c>
      <c r="B108" s="331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3" t="s">
        <v>724</v>
      </c>
      <c r="C111" s="877" t="s">
        <v>725</v>
      </c>
      <c r="D111" s="813" t="s">
        <v>726</v>
      </c>
      <c r="E111" s="890">
        <v>0.2</v>
      </c>
      <c r="F111" s="877">
        <v>30</v>
      </c>
    </row>
    <row r="112" spans="1:6" s="873" customFormat="1" ht="24">
      <c r="A112" s="877">
        <v>52</v>
      </c>
      <c r="B112" s="3313"/>
      <c r="C112" s="877" t="s">
        <v>727</v>
      </c>
      <c r="D112" s="813" t="s">
        <v>728</v>
      </c>
      <c r="E112" s="890">
        <v>0.2</v>
      </c>
      <c r="F112" s="877">
        <v>30</v>
      </c>
    </row>
    <row r="113" spans="1:6" s="873" customFormat="1" ht="24">
      <c r="A113" s="877">
        <v>53</v>
      </c>
      <c r="B113" s="331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3" t="s">
        <v>737</v>
      </c>
      <c r="C116" s="877" t="s">
        <v>738</v>
      </c>
      <c r="D116" s="813" t="s">
        <v>739</v>
      </c>
      <c r="E116" s="890">
        <v>0.2</v>
      </c>
      <c r="F116" s="877">
        <v>30</v>
      </c>
    </row>
    <row r="117" spans="1:6" ht="36">
      <c r="A117" s="877">
        <v>57</v>
      </c>
      <c r="B117" s="331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8"/>
      <c r="B4" s="3007" t="s">
        <v>1630</v>
      </c>
      <c r="C4" s="3007"/>
      <c r="D4" s="3007"/>
      <c r="E4" s="1958"/>
    </row>
    <row r="5" spans="1:5" ht="16.5" thickTop="1">
      <c r="A5" s="1956"/>
      <c r="B5" s="3005" t="s">
        <v>1622</v>
      </c>
      <c r="C5" s="1959" t="s">
        <v>1623</v>
      </c>
      <c r="D5" s="1038" t="e">
        <f ca="1">结果表!H101</f>
        <v>#DIV/0!</v>
      </c>
      <c r="E5" s="1956"/>
    </row>
    <row r="6" spans="1:5" ht="15.75">
      <c r="A6" s="1956"/>
      <c r="B6" s="3005"/>
      <c r="C6" s="1959" t="s">
        <v>1624</v>
      </c>
      <c r="D6" s="1038" t="e">
        <f ca="1">NUMBERSTRING(INT(D5*10000),2)&amp;"元整"</f>
        <v>#DIV/0!</v>
      </c>
      <c r="E6" s="1956"/>
    </row>
    <row r="7" spans="1:5" ht="15.75">
      <c r="A7" s="1956"/>
      <c r="B7" s="3010"/>
      <c r="C7" s="1960" t="s">
        <v>1625</v>
      </c>
      <c r="D7" s="1039" t="e">
        <f ca="1">结果表!H102</f>
        <v>#DIV/0!</v>
      </c>
      <c r="E7" s="1956"/>
    </row>
    <row r="8" spans="1:5" ht="15.75">
      <c r="A8" s="1956"/>
      <c r="B8" s="3011" t="str">
        <f>结果表!E103</f>
        <v>2.估价师知悉的法定优先受偿款</v>
      </c>
      <c r="C8" s="1961" t="s">
        <v>1626</v>
      </c>
      <c r="D8" s="1039">
        <f>结果表!H103</f>
        <v>0</v>
      </c>
      <c r="E8" s="1956"/>
    </row>
    <row r="9" spans="1:5" ht="15.75">
      <c r="A9" s="1956"/>
      <c r="B9" s="3013"/>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3004" t="str">
        <f>结果表!E107</f>
        <v>3.房地产抵押价值</v>
      </c>
      <c r="C13" s="1964" t="s">
        <v>1623</v>
      </c>
      <c r="D13" s="1041" t="e">
        <f ca="1">结果表!H107</f>
        <v>#DIV/0!</v>
      </c>
      <c r="E13" s="1956"/>
    </row>
    <row r="14" spans="1:5" ht="15.75">
      <c r="A14" s="1956"/>
      <c r="B14" s="3005"/>
      <c r="C14" s="1959" t="s">
        <v>1624</v>
      </c>
      <c r="D14" s="1038" t="e">
        <f ca="1">NUMBERSTRING(INT(D13*10000),2)&amp;"元整"</f>
        <v>#DIV/0!</v>
      </c>
      <c r="E14" s="1956"/>
    </row>
    <row r="15" spans="1:5" ht="15">
      <c r="A15" s="1956"/>
      <c r="B15" s="3010"/>
      <c r="C15" s="1960" t="s">
        <v>1634</v>
      </c>
      <c r="D15" s="1050" t="e">
        <f ca="1">结果表!H108</f>
        <v>#DIV/0!</v>
      </c>
      <c r="E15" s="1956"/>
    </row>
    <row r="16" spans="1:5" ht="15">
      <c r="A16" s="1956"/>
      <c r="B16" s="3011" t="str">
        <f>结果表!E109</f>
        <v>——</v>
      </c>
      <c r="C16" s="1964" t="s">
        <v>1635</v>
      </c>
      <c r="D16" s="1965" t="str">
        <f>结果表!H109</f>
        <v>——</v>
      </c>
      <c r="E16" s="1956"/>
    </row>
    <row r="17" spans="1:5" ht="15.75">
      <c r="A17" s="1956"/>
      <c r="B17" s="3012"/>
      <c r="C17" s="1959" t="s">
        <v>1636</v>
      </c>
      <c r="D17" s="1038" t="e">
        <f>NUMBERSTRING(INT(D16*10000),2)&amp;"元整"</f>
        <v>#VALUE!</v>
      </c>
      <c r="E17" s="1956"/>
    </row>
    <row r="18" spans="1:5" ht="15">
      <c r="A18" s="1956"/>
      <c r="B18" s="3013"/>
      <c r="C18" s="1960" t="s">
        <v>1625</v>
      </c>
      <c r="D18" s="1050" t="str">
        <f>结果表!H110</f>
        <v>——</v>
      </c>
      <c r="E18" s="1956"/>
    </row>
    <row r="19" spans="1:5" ht="15.75">
      <c r="A19" s="1956"/>
      <c r="B19" s="3004" t="str">
        <f>结果表!E111</f>
        <v>——</v>
      </c>
      <c r="C19" s="1964" t="s">
        <v>1623</v>
      </c>
      <c r="D19" s="1039" t="str">
        <f>结果表!H111</f>
        <v>——</v>
      </c>
      <c r="E19" s="1956"/>
    </row>
    <row r="20" spans="1:5" ht="15.75">
      <c r="A20" s="1956"/>
      <c r="B20" s="3005"/>
      <c r="C20" s="1959" t="s">
        <v>1636</v>
      </c>
      <c r="D20" s="1038" t="e">
        <f>NUMBERSTRING(INT(D19*10000),2)&amp;"元整"</f>
        <v>#VALUE!</v>
      </c>
      <c r="E20" s="1956"/>
    </row>
    <row r="21" spans="1:5" ht="15.75" thickBot="1">
      <c r="A21" s="1956"/>
      <c r="B21" s="3006"/>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3003</v>
      </c>
    </row>
    <row r="2" spans="1:5" ht="15.75">
      <c r="A2" s="2905" t="s">
        <v>2995</v>
      </c>
      <c r="B2" s="2906" t="e">
        <f ca="1">SUMIF(B6:B13,"&lt;&gt;#ref!",B6:B13)</f>
        <v>#DIV/0!</v>
      </c>
      <c r="C2" s="2905" t="s">
        <v>2996</v>
      </c>
      <c r="D2" s="2905" t="s">
        <v>2997</v>
      </c>
      <c r="E2" s="2906">
        <f ca="1">SUMIF(E6:E13,"&lt;&gt;#ref!",E6:E13)</f>
        <v>0</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R43" sqref="R43:W4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9" t="s">
        <v>1150</v>
      </c>
      <c r="C1" s="3319"/>
      <c r="D1" s="3319"/>
      <c r="E1" s="3319"/>
      <c r="F1" s="3319"/>
      <c r="G1" s="3315" t="s">
        <v>1151</v>
      </c>
      <c r="H1" s="3315"/>
      <c r="I1" s="3315"/>
      <c r="J1" s="3315"/>
      <c r="K1" s="3315"/>
      <c r="L1" s="3315"/>
      <c r="N1" s="3315" t="s">
        <v>1152</v>
      </c>
      <c r="O1" s="3315"/>
      <c r="P1" s="3315"/>
      <c r="Q1" s="3315"/>
      <c r="R1" s="1444"/>
      <c r="S1" s="3315" t="s">
        <v>1153</v>
      </c>
      <c r="T1" s="3315"/>
      <c r="U1" s="3315"/>
      <c r="V1" s="3315"/>
      <c r="X1" s="3314" t="s">
        <v>1154</v>
      </c>
      <c r="Y1" s="3315"/>
      <c r="Z1" s="3315"/>
      <c r="AA1" s="3315"/>
      <c r="AB1" s="3315"/>
      <c r="AD1" s="3314" t="s">
        <v>1155</v>
      </c>
      <c r="AE1" s="3315"/>
      <c r="AF1" s="3315"/>
      <c r="AG1" s="3315"/>
      <c r="AH1" s="331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3036</v>
      </c>
      <c r="B3" s="2925"/>
      <c r="C3" s="2925"/>
      <c r="D3" s="2926"/>
      <c r="E3" s="2926"/>
      <c r="F3" s="2925"/>
      <c r="G3" s="2927"/>
      <c r="H3" s="2928"/>
      <c r="I3" s="2929">
        <f>ROUND(AVERAGE($I4:$I24),2)</f>
        <v>2.19</v>
      </c>
      <c r="J3" s="2929">
        <f>ROUND(AVERAGE($J4:$J24),2)</f>
        <v>1.53</v>
      </c>
      <c r="K3" s="2929">
        <f>ROUND(AVERAGE($K4:$K24),2)</f>
        <v>2.41</v>
      </c>
      <c r="L3" s="2929">
        <f>ROUND(AVERAGE($L4:$L24),2)</f>
        <v>1.42</v>
      </c>
      <c r="N3" s="2927"/>
      <c r="O3" s="2930"/>
      <c r="P3" s="2930"/>
      <c r="Q3" s="2930"/>
      <c r="R3" s="2930"/>
      <c r="S3" s="2927"/>
      <c r="T3" s="2930"/>
      <c r="U3" s="2930"/>
      <c r="V3" s="2930"/>
      <c r="W3" s="2922"/>
      <c r="X3" s="2931">
        <f>ROUND(SUMPRODUCT(PRODUCT(1+N3:N$23)),4)</f>
        <v>1.4956</v>
      </c>
      <c r="Y3" s="2931">
        <f>ROUND(SUMPRODUCT(PRODUCT(1+O3:O$23)),4)</f>
        <v>1.3237000000000001</v>
      </c>
      <c r="Z3" s="2931">
        <f t="shared" ref="Z3:Z21" si="0">Y3</f>
        <v>1.3237000000000001</v>
      </c>
      <c r="AA3" s="2931">
        <f>ROUND(SUMPRODUCT(PRODUCT(1+P3:P$23)),4)</f>
        <v>1.554</v>
      </c>
      <c r="AB3" s="2931">
        <f>ROUND(SUMPRODUCT(PRODUCT(1+Q3:Q$23)),4)</f>
        <v>1.3087</v>
      </c>
      <c r="AD3" s="2932">
        <f>ROUND(AVERAGE(I3:I$24)/100,4)</f>
        <v>2.1899999999999999E-2</v>
      </c>
      <c r="AE3" s="2932">
        <f>ROUND(AVERAGE(J3:J$24)/100,4)</f>
        <v>1.5299999999999999E-2</v>
      </c>
      <c r="AF3" s="2932">
        <f t="shared" ref="AF3:AF22" si="1">AE3</f>
        <v>1.5299999999999999E-2</v>
      </c>
      <c r="AG3" s="2932">
        <f>ROUND(AVERAGE(K3:K$24)/100,4)</f>
        <v>2.41E-2</v>
      </c>
      <c r="AH3" s="2932">
        <f>ROUND(AVERAGE(L3:L$24)/100,4)</f>
        <v>1.4200000000000001E-2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3044</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6">
        <v>2018</v>
      </c>
      <c r="H5" s="1727">
        <v>4</v>
      </c>
      <c r="I5" s="2919">
        <v>0</v>
      </c>
      <c r="J5" s="2919">
        <v>0</v>
      </c>
      <c r="K5" s="2919">
        <v>0</v>
      </c>
      <c r="L5" s="2919">
        <v>0</v>
      </c>
      <c r="N5" s="1465">
        <f>I5/100</f>
        <v>0</v>
      </c>
      <c r="O5" s="1465">
        <f t="shared" ref="O5" si="7">J5/100</f>
        <v>0</v>
      </c>
      <c r="P5" s="1465">
        <f t="shared" ref="P5" si="8">K5/100</f>
        <v>0</v>
      </c>
      <c r="Q5" s="1465">
        <f t="shared" ref="Q5" si="9">L5/100</f>
        <v>0</v>
      </c>
      <c r="R5" s="1729"/>
      <c r="S5" s="1730"/>
      <c r="T5" s="1729"/>
      <c r="U5" s="1729"/>
      <c r="V5" s="1729"/>
      <c r="W5" s="2923" t="s">
        <v>3037</v>
      </c>
      <c r="X5" s="1723">
        <f>ROUND(SUMPRODUCT(PRODUCT(1+N5:N$23)),4)</f>
        <v>1.4956</v>
      </c>
      <c r="Y5" s="1723">
        <f>ROUND(SUMPRODUCT(PRODUCT(1+O5:O$23)),4)</f>
        <v>1.3237000000000001</v>
      </c>
      <c r="Z5" s="1723">
        <f t="shared" ref="Z5" si="10">Y5</f>
        <v>1.3237000000000001</v>
      </c>
      <c r="AA5" s="1723">
        <f>ROUND(SUMPRODUCT(PRODUCT(1+P5:P$23)),4)</f>
        <v>1.554</v>
      </c>
      <c r="AB5" s="1723">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3045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4"/>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7"/>
      <c r="X6" s="1785">
        <f>ROUND(SUMPRODUCT(PRODUCT(1+N6:N$23)),4)</f>
        <v>1.4956</v>
      </c>
      <c r="Y6" s="1785">
        <f>ROUND(SUMPRODUCT(PRODUCT(1+O6:O$23)),4)</f>
        <v>1.3237000000000001</v>
      </c>
      <c r="Z6" s="1785">
        <f t="shared" ref="Z6" si="20">Y6</f>
        <v>1.3237000000000001</v>
      </c>
      <c r="AA6" s="1785">
        <f>ROUND(SUMPRODUCT(PRODUCT(1+P6:P$23)),4)</f>
        <v>1.554</v>
      </c>
      <c r="AB6" s="1785">
        <f>ROUND(SUMPRODUCT(PRODUCT(1+Q6:Q$23)),4)</f>
        <v>1.3087</v>
      </c>
      <c r="AC6" s="1787"/>
      <c r="AD6" s="1786">
        <f>ROUND(AVERAGE(I6:I$24)/100,4)</f>
        <v>2.3099999999999999E-2</v>
      </c>
      <c r="AE6" s="1786">
        <f>ROUND(AVERAGE(J6:J$24)/100,4)</f>
        <v>1.61E-2</v>
      </c>
      <c r="AF6" s="1786">
        <f t="shared" ref="AF6" si="21">AE6</f>
        <v>1.61E-2</v>
      </c>
      <c r="AG6" s="1786">
        <f>ROUND(AVERAGE(K6:K$24)/100,4)</f>
        <v>2.53E-2</v>
      </c>
      <c r="AH6" s="1786">
        <f>ROUND(AVERAGE(L6:L$24)/100,4)</f>
        <v>1.4999999999999999E-2</v>
      </c>
    </row>
    <row r="7" spans="1:34" s="1464" customFormat="1" ht="13.5" thickBot="1">
      <c r="A7" s="1459" t="s">
        <v>3043</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4"/>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7"/>
      <c r="X7" s="1785">
        <f>ROUND(SUMPRODUCT(PRODUCT(1+N7:N$23)),4)</f>
        <v>1.4733000000000001</v>
      </c>
      <c r="Y7" s="1785">
        <f>ROUND(SUMPRODUCT(PRODUCT(1+O7:O$23)),4)</f>
        <v>1.3052999999999999</v>
      </c>
      <c r="Z7" s="1785">
        <f t="shared" ref="Z7" si="31">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32">AE7</f>
        <v>1.6199999999999999E-2</v>
      </c>
      <c r="AG7" s="1786">
        <f>ROUND(AVERAGE(K7:K$24)/100,4)</f>
        <v>2.5899999999999999E-2</v>
      </c>
      <c r="AH7" s="1786">
        <f>ROUND(AVERAGE(L7:L$24)/100,4)</f>
        <v>1.49E-2</v>
      </c>
    </row>
    <row r="8" spans="1:34" s="1464" customFormat="1" ht="13.5" thickBot="1">
      <c r="A8" s="1459" t="s">
        <v>3035</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4"/>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7"/>
      <c r="X8" s="1785">
        <f>ROUND(SUMPRODUCT(PRODUCT(1+N8:N$23)),4)</f>
        <v>1.4517</v>
      </c>
      <c r="Y8" s="1785">
        <f>ROUND(SUMPRODUCT(PRODUCT(1+O8:O$23)),4)</f>
        <v>1.2928999999999999</v>
      </c>
      <c r="Z8" s="1785">
        <f t="shared" ref="Z8" si="45">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46">AE8</f>
        <v>1.66E-2</v>
      </c>
      <c r="AG8" s="1786">
        <f>ROUND(AVERAGE(K8:K$24)/100,4)</f>
        <v>2.6499999999999999E-2</v>
      </c>
      <c r="AH8" s="1786">
        <f>ROUND(AVERAGE(L8:L$24)/100,4)</f>
        <v>1.43E-2</v>
      </c>
    </row>
    <row r="9" spans="1:34">
      <c r="A9" s="1459" t="s">
        <v>3032</v>
      </c>
      <c r="B9" s="1467">
        <v>439</v>
      </c>
      <c r="C9" s="1467">
        <v>327</v>
      </c>
      <c r="D9" s="1467">
        <f>C9</f>
        <v>327</v>
      </c>
      <c r="E9" s="1467">
        <v>627</v>
      </c>
      <c r="F9" s="1468">
        <v>283</v>
      </c>
      <c r="G9" s="2921">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3033</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17"/>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16"/>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1"/>
      <c r="AD11" s="1786">
        <f>ROUND(AVERAGE(I11:I$24)/100,4)</f>
        <v>2.46E-2</v>
      </c>
      <c r="AE11" s="1786">
        <f>ROUND(AVERAGE(J11:J$24)/100,4)</f>
        <v>1.6E-2</v>
      </c>
      <c r="AF11" s="1786">
        <f t="shared" si="1"/>
        <v>1.6E-2</v>
      </c>
      <c r="AG11" s="1786">
        <f>ROUND(AVERAGE(K11:K$24)/100,4)</f>
        <v>2.75E-2</v>
      </c>
      <c r="AH11" s="1786">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17"/>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9" t="s">
        <v>154</v>
      </c>
      <c r="B13" s="1467">
        <v>392</v>
      </c>
      <c r="C13" s="1467">
        <v>302</v>
      </c>
      <c r="D13" s="1467">
        <f>C13</f>
        <v>302</v>
      </c>
      <c r="E13" s="1467">
        <v>553</v>
      </c>
      <c r="F13" s="1468">
        <v>266</v>
      </c>
      <c r="G13" s="3320">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317"/>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317"/>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318"/>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316">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317"/>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317"/>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318"/>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316">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317"/>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317"/>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318"/>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9" t="s">
        <v>1163</v>
      </c>
      <c r="B25" s="1467">
        <v>299</v>
      </c>
      <c r="C25" s="1467">
        <v>252</v>
      </c>
      <c r="D25" s="1467">
        <f t="shared" si="64"/>
        <v>252</v>
      </c>
      <c r="E25" s="1467">
        <v>409</v>
      </c>
      <c r="F25" s="1468">
        <v>227</v>
      </c>
      <c r="G25" s="3321">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322"/>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322"/>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323"/>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316">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317"/>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317"/>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318"/>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316">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317">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317">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318">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316">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317">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317">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318">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316">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317">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317">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318">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316">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317">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317">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318">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316">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317">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317">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318">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316">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317">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317">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318">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316">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317">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317">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318">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316">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317">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317">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318">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316">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317">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317">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318">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316">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317">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317">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318">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38049</v>
      </c>
      <c r="C2" s="2" t="s">
        <v>133</v>
      </c>
      <c r="D2" s="243"/>
      <c r="E2" s="243"/>
      <c r="F2" s="243"/>
      <c r="G2" s="243"/>
    </row>
    <row r="3" spans="1:7" s="244" customFormat="1" ht="18" customHeight="1" thickBot="1">
      <c r="A3" s="247" t="s">
        <v>85</v>
      </c>
      <c r="B3" s="248">
        <f ca="1">ROUND(B2*10000/'数据-汇总表'!E3,0)</f>
        <v>17048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200</v>
      </c>
      <c r="F9" s="265"/>
      <c r="G9" s="270"/>
    </row>
    <row r="10" spans="1:7" s="258" customFormat="1" ht="13.5" customHeight="1">
      <c r="A10" s="948" t="s">
        <v>801</v>
      </c>
      <c r="B10" s="268" t="s">
        <v>94</v>
      </c>
      <c r="C10" s="269">
        <f>ROUND(D10*E10/10000,0)</f>
        <v>446</v>
      </c>
      <c r="D10" s="1030">
        <f>'数据-汇总表'!E6</f>
        <v>22318.329999999998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446</v>
      </c>
      <c r="D19" s="1034">
        <f>'数据-汇总表'!E3</f>
        <v>22318.329999999998</v>
      </c>
      <c r="E19" s="255">
        <f>'数据-取费表'!B31</f>
        <v>200</v>
      </c>
      <c r="F19" s="275"/>
      <c r="G19" s="1" t="s">
        <v>1074</v>
      </c>
    </row>
    <row r="20" spans="1:7" s="258" customFormat="1" ht="13.5" customHeight="1">
      <c r="A20" s="946" t="s">
        <v>1057</v>
      </c>
      <c r="B20" s="254" t="s">
        <v>104</v>
      </c>
      <c r="C20" s="276">
        <f>ROUND((C5+C19)*F20,0)</f>
        <v>421</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2067</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43</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3007</v>
      </c>
      <c r="D27" s="279">
        <f>C29</f>
        <v>2.8E-3</v>
      </c>
      <c r="E27" s="280" t="s">
        <v>126</v>
      </c>
      <c r="F27" s="290">
        <f>'数据-取费表'!Q16</f>
        <v>0.14000000000000001</v>
      </c>
      <c r="G27" s="291" t="s">
        <v>1069</v>
      </c>
    </row>
    <row r="28" spans="1:7" s="258" customFormat="1" ht="13.5" customHeight="1">
      <c r="A28" s="949" t="s">
        <v>794</v>
      </c>
      <c r="B28" s="292" t="s">
        <v>1062</v>
      </c>
      <c r="C28" s="293">
        <f>ROUND((C5+C19+C20)*F27*'数据-取费表'!B21/'数据-取费表'!B20,0)</f>
        <v>3007</v>
      </c>
      <c r="D28" s="279"/>
      <c r="E28" s="280"/>
      <c r="F28" s="290"/>
      <c r="G28" s="291"/>
    </row>
    <row r="29" spans="1:7" s="258" customFormat="1" ht="13.5" customHeight="1">
      <c r="A29" s="949" t="s">
        <v>792</v>
      </c>
      <c r="B29" s="292" t="s">
        <v>1063</v>
      </c>
      <c r="C29" s="282">
        <f>ROUND(C21*F27*'数据-取费表'!B21/'数据-取费表'!B20,4)</f>
        <v>2.8E-3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7442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6695</v>
      </c>
      <c r="D34" s="261"/>
      <c r="E34" s="264"/>
      <c r="F34" s="301">
        <f>IF('数据-取费表'!B24=0,1,'数据-取费表'!N16)</f>
        <v>1</v>
      </c>
      <c r="G34" s="263" t="s">
        <v>116</v>
      </c>
    </row>
    <row r="35" spans="1:7" ht="13.5" customHeight="1">
      <c r="A35" s="949" t="s">
        <v>796</v>
      </c>
      <c r="B35" s="259" t="s">
        <v>60</v>
      </c>
      <c r="C35" s="264">
        <f>ROUND(C34*F35,0)</f>
        <v>201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798</v>
      </c>
      <c r="B37" s="259" t="s">
        <v>118</v>
      </c>
      <c r="C37" s="293">
        <f>ROUND(E37*D37*F34/10000,0)</f>
        <v>446</v>
      </c>
      <c r="D37" s="261">
        <f>'数据-汇总表'!E3</f>
        <v>22318.329999999998</v>
      </c>
      <c r="E37" s="293">
        <f>'数据-取费表'!B35</f>
        <v>200</v>
      </c>
      <c r="F37" s="303"/>
      <c r="G37" s="305" t="s">
        <v>119</v>
      </c>
    </row>
    <row r="38" spans="1:7" ht="13.5" customHeight="1">
      <c r="A38" s="949" t="s">
        <v>799</v>
      </c>
      <c r="B38" s="259" t="s">
        <v>63</v>
      </c>
      <c r="C38" s="264">
        <f>ROUND(C34*F38,0)</f>
        <v>100</v>
      </c>
      <c r="D38" s="264"/>
      <c r="E38" s="264"/>
      <c r="F38" s="303">
        <f>'数据-取费表'!B36</f>
        <v>1.4999999999999999E-2</v>
      </c>
      <c r="G38" s="263" t="s">
        <v>117</v>
      </c>
    </row>
    <row r="39" spans="1:7" s="258" customFormat="1" ht="13.5" customHeight="1">
      <c r="A39" s="946" t="s">
        <v>783</v>
      </c>
      <c r="B39" s="254" t="s">
        <v>104</v>
      </c>
      <c r="C39" s="276">
        <f>ROUND(C33*F20,0)</f>
        <v>149</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360</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353</v>
      </c>
      <c r="D42" s="282"/>
      <c r="E42" s="282"/>
      <c r="F42" s="283"/>
      <c r="G42" s="3232" t="s">
        <v>121</v>
      </c>
    </row>
    <row r="43" spans="1:7" ht="13.5" customHeight="1">
      <c r="A43" s="949" t="s">
        <v>792</v>
      </c>
      <c r="B43" s="259" t="s">
        <v>1064</v>
      </c>
      <c r="C43" s="282">
        <f ca="1">ROUND(IF('数据-取费表'!B22&lt;=1,C39*F22*'数据-取费表'!B21/2,C39*(POWER((1+F22),'数据-取费表'!B21/2)-1)),0)</f>
        <v>7</v>
      </c>
      <c r="D43" s="282"/>
      <c r="E43" s="282"/>
      <c r="F43" s="283"/>
      <c r="G43" s="3233"/>
    </row>
    <row r="44" spans="1:7" ht="13.5" customHeight="1">
      <c r="A44" s="949" t="s">
        <v>793</v>
      </c>
      <c r="B44" s="259" t="s">
        <v>1066</v>
      </c>
      <c r="C44" s="282">
        <f ca="1">ROUND(IF('数据-取费表'!B22&lt;=1,C40*F22*'数据-取费表'!B21/2,C40*(POWER((1+F22),'数据-取费表'!B21/2)-1)),4)</f>
        <v>1E-3</v>
      </c>
      <c r="D44" s="282"/>
      <c r="E44" s="282"/>
      <c r="F44" s="283"/>
      <c r="G44" s="3234"/>
    </row>
    <row r="45" spans="1:7" s="258" customFormat="1" ht="13.5" customHeight="1">
      <c r="A45" s="946" t="s">
        <v>786</v>
      </c>
      <c r="B45" s="288" t="s">
        <v>112</v>
      </c>
      <c r="C45" s="289">
        <f>C46</f>
        <v>1063</v>
      </c>
      <c r="D45" s="279">
        <f>C47</f>
        <v>2.8E-3</v>
      </c>
      <c r="E45" s="280" t="s">
        <v>129</v>
      </c>
      <c r="F45" s="290"/>
      <c r="G45" s="291" t="s">
        <v>1072</v>
      </c>
    </row>
    <row r="46" spans="1:7" s="258" customFormat="1" ht="13.5" customHeight="1">
      <c r="A46" s="949" t="s">
        <v>794</v>
      </c>
      <c r="B46" s="292" t="s">
        <v>1065</v>
      </c>
      <c r="C46" s="293">
        <f>ROUND((C33+C39)*F27,0)</f>
        <v>1063</v>
      </c>
      <c r="D46" s="307"/>
      <c r="E46" s="280"/>
      <c r="F46" s="290"/>
      <c r="G46" s="291"/>
    </row>
    <row r="47" spans="1:7" s="258" customFormat="1" ht="13.5" customHeight="1">
      <c r="A47" s="949" t="s">
        <v>792</v>
      </c>
      <c r="B47" s="292" t="s">
        <v>1067</v>
      </c>
      <c r="C47" s="282">
        <f>ROUND(C40*F27,4)</f>
        <v>2.8E-3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9767</v>
      </c>
      <c r="D49" s="276"/>
      <c r="E49" s="276"/>
      <c r="F49" s="308"/>
      <c r="G49" s="278" t="s">
        <v>1073</v>
      </c>
    </row>
    <row r="50" spans="1:7" s="302" customFormat="1" ht="24">
      <c r="A50" s="946" t="s">
        <v>789</v>
      </c>
      <c r="B50" s="254" t="s">
        <v>124</v>
      </c>
      <c r="C50" s="276"/>
      <c r="D50" s="276"/>
      <c r="E50" s="276"/>
      <c r="F50" s="308">
        <f>IF('数据-取费表'!B24=0,'数据-取费表'!N16,1)</f>
        <v>0.95</v>
      </c>
      <c r="G50" s="291" t="s">
        <v>125</v>
      </c>
    </row>
    <row r="51" spans="1:7" ht="16.5" customHeight="1">
      <c r="A51" s="946" t="s">
        <v>790</v>
      </c>
      <c r="B51" s="254" t="s">
        <v>132</v>
      </c>
      <c r="C51" s="276">
        <f ca="1">ROUND(C49*F50,0)</f>
        <v>9279</v>
      </c>
      <c r="D51" s="276"/>
      <c r="E51" s="276"/>
      <c r="F51" s="308"/>
      <c r="G51" s="278" t="s">
        <v>64</v>
      </c>
    </row>
    <row r="52" spans="1:7" s="252" customFormat="1" ht="16.5" thickBot="1">
      <c r="A52" s="309" t="s">
        <v>65</v>
      </c>
      <c r="B52" s="310"/>
      <c r="C52" s="311">
        <f ca="1">C31+C51</f>
        <v>38049</v>
      </c>
      <c r="D52" s="310"/>
      <c r="E52" s="310"/>
      <c r="F52" s="310"/>
      <c r="G52" s="312"/>
    </row>
    <row r="55" spans="1:7" ht="15">
      <c r="B55" s="314" t="s">
        <v>66</v>
      </c>
      <c r="C55" s="315"/>
    </row>
    <row r="56" spans="1:7">
      <c r="B56" s="317" t="s">
        <v>67</v>
      </c>
      <c r="C56" s="318">
        <f ca="1">ROUND(C51/C52,3)</f>
        <v>0.24399999999999999</v>
      </c>
    </row>
    <row r="57" spans="1:7">
      <c r="B57" s="317" t="s">
        <v>68</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4" t="s">
        <v>156</v>
      </c>
      <c r="B1" s="3324"/>
      <c r="C1" s="3324"/>
      <c r="D1" s="3324"/>
      <c r="E1" s="3324"/>
      <c r="F1" s="332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5" t="s">
        <v>169</v>
      </c>
      <c r="B2" s="3325"/>
      <c r="C2" s="3325"/>
      <c r="D2" s="3325"/>
      <c r="E2" s="3325"/>
      <c r="F2" s="332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4" t="s">
        <v>871</v>
      </c>
      <c r="B1" s="332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43539</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1"/>
  <sheetViews>
    <sheetView topLeftCell="I1" workbookViewId="0">
      <selection activeCell="Q8" sqref="Q8"/>
    </sheetView>
  </sheetViews>
  <sheetFormatPr defaultRowHeight="14.25"/>
  <cols>
    <col min="2" max="2" width="18.375" bestFit="1" customWidth="1"/>
    <col min="3" max="3" width="23" bestFit="1" customWidth="1"/>
    <col min="5" max="5" width="11.625" bestFit="1" customWidth="1"/>
    <col min="11" max="11" width="9" style="1942"/>
    <col min="12" max="12" width="13.375" style="1942" bestFit="1" customWidth="1"/>
    <col min="13" max="13" width="9.125" style="1942" bestFit="1" customWidth="1"/>
    <col min="14" max="14" width="11" style="1942" bestFit="1" customWidth="1"/>
    <col min="15" max="15" width="10.5" style="1942" bestFit="1" customWidth="1"/>
    <col min="17" max="17" width="10.625" customWidth="1"/>
  </cols>
  <sheetData>
    <row r="1" spans="2:17">
      <c r="B1" s="1270"/>
      <c r="C1" s="1270"/>
      <c r="D1" s="2207"/>
      <c r="E1" s="2207"/>
      <c r="F1" s="2949" t="s">
        <v>3104</v>
      </c>
      <c r="G1" s="2949" t="s">
        <v>3105</v>
      </c>
      <c r="H1" s="2207"/>
      <c r="I1" s="2207"/>
      <c r="K1" s="2955"/>
      <c r="L1" s="2955" t="s">
        <v>3167</v>
      </c>
      <c r="M1" s="2955" t="s">
        <v>3168</v>
      </c>
      <c r="N1" s="2955" t="s">
        <v>3169</v>
      </c>
      <c r="O1" s="2955" t="s">
        <v>3170</v>
      </c>
      <c r="P1" s="2957" t="s">
        <v>3171</v>
      </c>
    </row>
    <row r="2" spans="2:17">
      <c r="B2" s="1270">
        <v>1</v>
      </c>
      <c r="C2" s="1270" t="s">
        <v>3054</v>
      </c>
      <c r="D2" s="2207">
        <v>10221.700000000001</v>
      </c>
      <c r="E2" s="2207"/>
      <c r="F2" s="2207">
        <v>8500</v>
      </c>
      <c r="G2" s="2207"/>
      <c r="H2" s="2207"/>
      <c r="I2" s="2207">
        <f>D2-F2</f>
        <v>1721.7000000000007</v>
      </c>
      <c r="K2" s="2959" t="s">
        <v>3158</v>
      </c>
      <c r="L2" s="2960">
        <v>8567.6599999999944</v>
      </c>
      <c r="M2" s="2960">
        <v>548.74</v>
      </c>
      <c r="N2" s="2959"/>
      <c r="O2" s="2960">
        <v>9116.3999999999942</v>
      </c>
      <c r="P2" s="2961">
        <v>17</v>
      </c>
      <c r="Q2" s="2964">
        <f>20%+10/17*40%</f>
        <v>0.43529411764705883</v>
      </c>
    </row>
    <row r="3" spans="2:17">
      <c r="B3" s="1270">
        <v>2</v>
      </c>
      <c r="C3" s="1270" t="s">
        <v>3055</v>
      </c>
      <c r="D3" s="2207"/>
      <c r="E3" s="2207">
        <v>6883</v>
      </c>
      <c r="F3" s="2207"/>
      <c r="G3" s="2207">
        <v>4729</v>
      </c>
      <c r="H3" s="2207"/>
      <c r="I3" s="2207">
        <f>E3-G3</f>
        <v>2154</v>
      </c>
      <c r="K3" s="2955" t="s">
        <v>3159</v>
      </c>
      <c r="L3" s="2956">
        <v>3169.0800000000036</v>
      </c>
      <c r="M3" s="2956">
        <v>513.04</v>
      </c>
      <c r="N3" s="2956">
        <v>545.51</v>
      </c>
      <c r="O3" s="2956">
        <v>4227.6300000000037</v>
      </c>
      <c r="P3" s="2958">
        <v>7</v>
      </c>
      <c r="Q3" s="2964">
        <v>0.55000000000000004</v>
      </c>
    </row>
    <row r="4" spans="2:17">
      <c r="B4" s="1270">
        <v>3</v>
      </c>
      <c r="C4" s="1270" t="s">
        <v>3056</v>
      </c>
      <c r="D4" s="2207"/>
      <c r="E4" s="2207">
        <v>5901.4</v>
      </c>
      <c r="F4" s="2207"/>
      <c r="G4" s="2207">
        <v>3826</v>
      </c>
      <c r="H4" s="2207"/>
      <c r="I4" s="2207">
        <f>E4-G4</f>
        <v>2075.3999999999996</v>
      </c>
      <c r="K4" s="2955" t="s">
        <v>3160</v>
      </c>
      <c r="L4" s="2956">
        <v>2526.6400000000012</v>
      </c>
      <c r="M4" s="2956">
        <v>414.98</v>
      </c>
      <c r="N4" s="2956">
        <v>542.70000000000005</v>
      </c>
      <c r="O4" s="2956">
        <v>3484.3200000000015</v>
      </c>
      <c r="P4" s="2958">
        <v>7</v>
      </c>
      <c r="Q4" s="2964">
        <v>0.55000000000000004</v>
      </c>
    </row>
    <row r="5" spans="2:17">
      <c r="B5" s="1270">
        <v>4</v>
      </c>
      <c r="C5" s="1270" t="s">
        <v>3057</v>
      </c>
      <c r="D5" s="2207">
        <v>12515</v>
      </c>
      <c r="E5" s="2207"/>
      <c r="F5" s="2207">
        <v>10385</v>
      </c>
      <c r="G5" s="2207"/>
      <c r="H5" s="2207"/>
      <c r="I5" s="2207">
        <f t="shared" ref="I5:I13" si="0">D5-F5</f>
        <v>2130</v>
      </c>
      <c r="K5" s="2955" t="s">
        <v>3161</v>
      </c>
      <c r="L5" s="2956">
        <v>4548.7300000000023</v>
      </c>
      <c r="M5" s="2955"/>
      <c r="N5" s="2956">
        <v>770.63000000000011</v>
      </c>
      <c r="O5" s="2956">
        <v>5319.3600000000024</v>
      </c>
      <c r="P5" s="2958">
        <v>7</v>
      </c>
      <c r="Q5" s="2964">
        <v>0.55000000000000004</v>
      </c>
    </row>
    <row r="6" spans="2:17">
      <c r="B6" s="1270">
        <v>5</v>
      </c>
      <c r="C6" s="1270" t="s">
        <v>3058</v>
      </c>
      <c r="D6" s="2207"/>
      <c r="E6" s="2207">
        <v>4496.1000000000004</v>
      </c>
      <c r="F6" s="2207"/>
      <c r="G6" s="2207">
        <v>3143</v>
      </c>
      <c r="H6" s="2207"/>
      <c r="I6" s="2207">
        <f t="shared" ref="I6:I9" si="1">E6-G6</f>
        <v>1353.1000000000004</v>
      </c>
      <c r="K6" s="2959" t="s">
        <v>3162</v>
      </c>
      <c r="L6" s="2960">
        <v>10473.699999999986</v>
      </c>
      <c r="M6" s="2960">
        <v>700.49</v>
      </c>
      <c r="N6" s="2959"/>
      <c r="O6" s="2960">
        <v>11174.189999999986</v>
      </c>
      <c r="P6" s="2961">
        <v>17</v>
      </c>
      <c r="Q6" s="2964">
        <f>20%+10/17*40%</f>
        <v>0.43529411764705883</v>
      </c>
    </row>
    <row r="7" spans="2:17">
      <c r="B7" s="1270">
        <v>6</v>
      </c>
      <c r="C7" s="1270" t="s">
        <v>3059</v>
      </c>
      <c r="D7" s="2207"/>
      <c r="E7" s="2207">
        <v>5812</v>
      </c>
      <c r="F7" s="2207"/>
      <c r="G7" s="2207">
        <v>4051</v>
      </c>
      <c r="H7" s="2207"/>
      <c r="I7" s="2207">
        <f t="shared" si="1"/>
        <v>1761</v>
      </c>
      <c r="K7" s="2955" t="s">
        <v>3163</v>
      </c>
      <c r="L7" s="2956">
        <v>3622.6000000000004</v>
      </c>
      <c r="M7" s="2956">
        <v>513.04</v>
      </c>
      <c r="N7" s="2956">
        <v>591.96</v>
      </c>
      <c r="O7" s="2956">
        <v>4727.6000000000004</v>
      </c>
      <c r="P7" s="2958">
        <v>8</v>
      </c>
      <c r="Q7" s="2964">
        <v>0.55000000000000004</v>
      </c>
    </row>
    <row r="8" spans="2:17">
      <c r="B8" s="1270">
        <v>7</v>
      </c>
      <c r="C8" s="1270" t="s">
        <v>3060</v>
      </c>
      <c r="D8" s="2207"/>
      <c r="E8" s="2207">
        <v>3702.2</v>
      </c>
      <c r="F8" s="2207"/>
      <c r="G8" s="2207">
        <v>2511</v>
      </c>
      <c r="H8" s="2207"/>
      <c r="I8" s="2207">
        <f t="shared" si="1"/>
        <v>1191.1999999999998</v>
      </c>
      <c r="K8" s="2955" t="s">
        <v>3164</v>
      </c>
      <c r="L8" s="2956">
        <v>5444.16</v>
      </c>
      <c r="M8" s="2956">
        <v>770.6400000000001</v>
      </c>
      <c r="N8" s="2956">
        <v>888.3</v>
      </c>
      <c r="O8" s="2956">
        <v>7103.1</v>
      </c>
      <c r="P8" s="2958">
        <v>8</v>
      </c>
      <c r="Q8" s="2964">
        <v>0.55000000000000004</v>
      </c>
    </row>
    <row r="9" spans="2:17">
      <c r="B9" s="1270">
        <v>8</v>
      </c>
      <c r="C9" s="1270" t="s">
        <v>3061</v>
      </c>
      <c r="D9" s="2207"/>
      <c r="E9" s="2207">
        <v>6103.8</v>
      </c>
      <c r="F9" s="2207"/>
      <c r="G9" s="2207">
        <v>4504</v>
      </c>
      <c r="H9" s="2207"/>
      <c r="I9" s="2207">
        <f t="shared" si="1"/>
        <v>1599.8000000000002</v>
      </c>
      <c r="K9" s="2959" t="s">
        <v>3165</v>
      </c>
      <c r="L9" s="2960">
        <v>11644.519999999982</v>
      </c>
      <c r="M9" s="2960">
        <v>746.31</v>
      </c>
      <c r="N9" s="2959">
        <v>33.69</v>
      </c>
      <c r="O9" s="2960">
        <v>12424.519999999982</v>
      </c>
      <c r="P9" s="2961">
        <v>17</v>
      </c>
      <c r="Q9" s="2964">
        <f>20%+10/17*40%</f>
        <v>0.43529411764705883</v>
      </c>
    </row>
    <row r="10" spans="2:17">
      <c r="B10" s="1270">
        <v>9</v>
      </c>
      <c r="C10" s="1270" t="s">
        <v>3062</v>
      </c>
      <c r="D10" s="2207">
        <v>12504</v>
      </c>
      <c r="E10" s="2207"/>
      <c r="F10" s="2207">
        <v>10385</v>
      </c>
      <c r="G10" s="2207"/>
      <c r="H10" s="2207"/>
      <c r="I10" s="2207">
        <f t="shared" si="0"/>
        <v>2119</v>
      </c>
      <c r="K10" s="2959" t="s">
        <v>3166</v>
      </c>
      <c r="L10" s="2960">
        <v>6974.8000000000065</v>
      </c>
      <c r="M10" s="2959">
        <v>753.3</v>
      </c>
      <c r="N10" s="2959"/>
      <c r="O10" s="2960">
        <v>7728.1000000000067</v>
      </c>
      <c r="P10" s="2961">
        <v>10</v>
      </c>
      <c r="Q10" s="2964">
        <v>0.55000000000000004</v>
      </c>
    </row>
    <row r="11" spans="2:17">
      <c r="B11" s="1270">
        <v>10</v>
      </c>
      <c r="C11" s="1270" t="s">
        <v>3063</v>
      </c>
      <c r="D11" s="2207"/>
      <c r="E11" s="2207">
        <v>4784.7</v>
      </c>
      <c r="F11" s="2207"/>
      <c r="G11" s="2207">
        <v>3594</v>
      </c>
      <c r="H11" s="2207"/>
      <c r="I11" s="2207">
        <f>E11-G11</f>
        <v>1190.6999999999998</v>
      </c>
      <c r="K11" s="2955"/>
      <c r="L11" s="2955"/>
      <c r="M11" s="2955"/>
      <c r="N11" s="2955"/>
      <c r="O11" s="2956">
        <v>65305.219999999972</v>
      </c>
      <c r="Q11" s="2965">
        <f>ROUND(SUMPRODUCT(O2:O10,Q2:Q10)/SUM(O2:O10),2)</f>
        <v>0.49</v>
      </c>
    </row>
    <row r="12" spans="2:17">
      <c r="B12" s="1270">
        <v>11</v>
      </c>
      <c r="C12" s="1270" t="s">
        <v>3064</v>
      </c>
      <c r="D12" s="2207"/>
      <c r="E12" s="2207">
        <v>7181.8</v>
      </c>
      <c r="F12" s="2207"/>
      <c r="G12" s="2207">
        <v>5405</v>
      </c>
      <c r="H12" s="2207"/>
      <c r="I12" s="2207">
        <f>E12-G12</f>
        <v>1776.8000000000002</v>
      </c>
    </row>
    <row r="13" spans="2:17">
      <c r="B13" s="1270">
        <v>12</v>
      </c>
      <c r="C13" s="1270" t="s">
        <v>3065</v>
      </c>
      <c r="D13" s="2207">
        <f>E19-E16-E15-E14-E12-E11-D10-E9-E8-E7-E6-D5-E4-E3-D2</f>
        <v>5641.4999999999964</v>
      </c>
      <c r="E13" s="2207"/>
      <c r="F13" s="2207">
        <v>12024</v>
      </c>
      <c r="G13" s="2207"/>
      <c r="H13" s="2207"/>
      <c r="I13" s="2207">
        <f t="shared" si="0"/>
        <v>-6382.5000000000036</v>
      </c>
    </row>
    <row r="14" spans="2:17">
      <c r="B14" s="1270">
        <v>13</v>
      </c>
      <c r="C14" s="1270" t="s">
        <v>3066</v>
      </c>
      <c r="D14" s="2207"/>
      <c r="E14" s="2207">
        <v>8294.7999999999993</v>
      </c>
      <c r="F14" s="2207"/>
      <c r="G14" s="2207">
        <v>6921</v>
      </c>
      <c r="H14" s="2207"/>
      <c r="I14" s="2207">
        <f>E14-G14</f>
        <v>1373.7999999999993</v>
      </c>
    </row>
    <row r="15" spans="2:17">
      <c r="B15" s="1270"/>
      <c r="C15" s="2950" t="s">
        <v>3157</v>
      </c>
      <c r="D15" s="2207"/>
      <c r="E15" s="2207">
        <f>180+297</f>
        <v>477</v>
      </c>
      <c r="F15" s="2207"/>
      <c r="G15" s="2207"/>
      <c r="H15" s="2207"/>
      <c r="I15" s="2207"/>
    </row>
    <row r="16" spans="2:17">
      <c r="B16" s="1270"/>
      <c r="C16" s="2950" t="s">
        <v>3156</v>
      </c>
      <c r="D16" s="2207"/>
      <c r="E16" s="2207">
        <v>16210</v>
      </c>
      <c r="F16" s="2207"/>
      <c r="G16" s="2207"/>
      <c r="H16" s="2207"/>
      <c r="I16" s="2207"/>
    </row>
    <row r="17" spans="2:6">
      <c r="E17" s="2954">
        <v>80477</v>
      </c>
    </row>
    <row r="18" spans="2:6">
      <c r="E18" s="2954">
        <v>30252</v>
      </c>
    </row>
    <row r="19" spans="2:6" ht="15" thickBot="1">
      <c r="E19" s="2954">
        <f>SUM(E17:E18)</f>
        <v>110729</v>
      </c>
    </row>
    <row r="20" spans="2:6" ht="15" thickBot="1">
      <c r="B20" s="2940" t="s">
        <v>3071</v>
      </c>
      <c r="C20" s="2941" t="s">
        <v>3072</v>
      </c>
      <c r="D20" s="2941" t="s">
        <v>3073</v>
      </c>
      <c r="E20" s="2941" t="s">
        <v>3074</v>
      </c>
    </row>
    <row r="21" spans="2:6" ht="15" thickBot="1">
      <c r="B21" s="3331" t="s">
        <v>3075</v>
      </c>
      <c r="C21" s="2942" t="s">
        <v>3076</v>
      </c>
      <c r="D21" s="2942">
        <v>6</v>
      </c>
      <c r="E21" s="2942">
        <v>720.36</v>
      </c>
    </row>
    <row r="22" spans="2:6" ht="15" thickBot="1">
      <c r="B22" s="3332"/>
      <c r="C22" s="2942" t="s">
        <v>3077</v>
      </c>
      <c r="D22" s="2942">
        <v>30</v>
      </c>
      <c r="E22" s="2943">
        <v>3390.85</v>
      </c>
    </row>
    <row r="23" spans="2:6" ht="15" thickBot="1">
      <c r="B23" s="3333"/>
      <c r="C23" s="2942" t="s">
        <v>3078</v>
      </c>
      <c r="D23" s="2942">
        <v>6</v>
      </c>
      <c r="E23" s="2942">
        <v>664.26</v>
      </c>
      <c r="F23">
        <f>SUM(E21:E23)</f>
        <v>4775.47</v>
      </c>
    </row>
    <row r="24" spans="2:6" ht="15" thickBot="1">
      <c r="B24" s="3331" t="s">
        <v>3079</v>
      </c>
      <c r="C24" s="2942" t="s">
        <v>3076</v>
      </c>
      <c r="D24" s="2942">
        <v>6</v>
      </c>
      <c r="E24" s="2942">
        <v>715.89</v>
      </c>
    </row>
    <row r="25" spans="2:6" ht="15" thickBot="1">
      <c r="B25" s="3332"/>
      <c r="C25" s="2942" t="s">
        <v>3077</v>
      </c>
      <c r="D25" s="2942">
        <v>24</v>
      </c>
      <c r="E25" s="2943">
        <v>2695.13</v>
      </c>
    </row>
    <row r="26" spans="2:6" ht="15" thickBot="1">
      <c r="B26" s="3333"/>
      <c r="C26" s="2942" t="s">
        <v>3078</v>
      </c>
      <c r="D26" s="2942">
        <v>4</v>
      </c>
      <c r="E26" s="2942">
        <v>440.76</v>
      </c>
    </row>
    <row r="27" spans="2:6" ht="15" thickBot="1">
      <c r="B27" s="3328" t="s">
        <v>3080</v>
      </c>
      <c r="C27" s="2942" t="s">
        <v>3081</v>
      </c>
      <c r="D27" s="2942">
        <v>4</v>
      </c>
      <c r="E27" s="2942">
        <v>478.04</v>
      </c>
    </row>
    <row r="28" spans="2:6" ht="15" thickBot="1">
      <c r="B28" s="3329"/>
      <c r="C28" s="2942" t="s">
        <v>3077</v>
      </c>
      <c r="D28" s="2942">
        <v>20</v>
      </c>
      <c r="E28" s="2943">
        <v>2250.1999999999998</v>
      </c>
    </row>
    <row r="29" spans="2:6" ht="15" thickBot="1">
      <c r="B29" s="3330"/>
      <c r="C29" s="2942" t="s">
        <v>3078</v>
      </c>
      <c r="D29" s="2942">
        <v>4</v>
      </c>
      <c r="E29" s="2942">
        <v>440.84</v>
      </c>
    </row>
    <row r="30" spans="2:6" ht="15" thickBot="1">
      <c r="B30" s="3331" t="s">
        <v>3082</v>
      </c>
      <c r="C30" s="2942" t="s">
        <v>3076</v>
      </c>
      <c r="D30" s="2942">
        <v>6</v>
      </c>
      <c r="E30" s="2942">
        <v>719.34</v>
      </c>
    </row>
    <row r="31" spans="2:6" ht="15" thickBot="1">
      <c r="B31" s="3332"/>
      <c r="C31" s="2942" t="s">
        <v>3077</v>
      </c>
      <c r="D31" s="2942">
        <v>24</v>
      </c>
      <c r="E31" s="2943">
        <v>2708.12</v>
      </c>
    </row>
    <row r="32" spans="2:6" ht="15" thickBot="1">
      <c r="B32" s="3333"/>
      <c r="C32" s="2942" t="s">
        <v>3078</v>
      </c>
      <c r="D32" s="2942">
        <v>6</v>
      </c>
      <c r="E32" s="2942">
        <v>663.18</v>
      </c>
    </row>
    <row r="33" spans="2:6" ht="15" thickBot="1">
      <c r="B33" s="3328" t="s">
        <v>3083</v>
      </c>
      <c r="C33" s="2942" t="s">
        <v>3076</v>
      </c>
      <c r="D33" s="2942">
        <v>3</v>
      </c>
      <c r="E33" s="2942">
        <v>381.21</v>
      </c>
    </row>
    <row r="34" spans="2:6" ht="15" thickBot="1">
      <c r="B34" s="3329"/>
      <c r="C34" s="2942" t="s">
        <v>3077</v>
      </c>
      <c r="D34" s="2942">
        <v>15</v>
      </c>
      <c r="E34" s="2943">
        <v>1793.8</v>
      </c>
    </row>
    <row r="35" spans="2:6" ht="15" thickBot="1">
      <c r="B35" s="3330"/>
      <c r="C35" s="2942" t="s">
        <v>3078</v>
      </c>
      <c r="D35" s="2942">
        <v>3</v>
      </c>
      <c r="E35" s="2942">
        <v>351.63</v>
      </c>
    </row>
    <row r="36" spans="2:6" ht="15" thickBot="1">
      <c r="B36" s="3328" t="s">
        <v>3084</v>
      </c>
      <c r="C36" s="2942" t="s">
        <v>3076</v>
      </c>
      <c r="D36" s="2942">
        <v>6</v>
      </c>
      <c r="E36" s="2942">
        <v>720.3</v>
      </c>
    </row>
    <row r="37" spans="2:6" ht="15" thickBot="1">
      <c r="B37" s="3329"/>
      <c r="C37" s="2942" t="s">
        <v>3077</v>
      </c>
      <c r="D37" s="2942">
        <v>30</v>
      </c>
      <c r="E37" s="2943">
        <v>3385.63</v>
      </c>
    </row>
    <row r="38" spans="2:6" ht="15" thickBot="1">
      <c r="B38" s="3330"/>
      <c r="C38" s="2942" t="s">
        <v>3078</v>
      </c>
      <c r="D38" s="2942">
        <v>4</v>
      </c>
      <c r="E38" s="2942">
        <v>442.8</v>
      </c>
    </row>
    <row r="39" spans="2:6" ht="15" thickBot="1">
      <c r="B39" s="3328" t="s">
        <v>3085</v>
      </c>
      <c r="C39" s="2942" t="s">
        <v>3076</v>
      </c>
      <c r="D39" s="2942">
        <v>4</v>
      </c>
      <c r="E39" s="2942">
        <v>477.76</v>
      </c>
    </row>
    <row r="40" spans="2:6" ht="15" thickBot="1">
      <c r="B40" s="3329"/>
      <c r="C40" s="2942" t="s">
        <v>3077</v>
      </c>
      <c r="D40" s="2942">
        <v>24</v>
      </c>
      <c r="E40" s="2943">
        <v>2703.48</v>
      </c>
    </row>
    <row r="41" spans="2:6" ht="15" thickBot="1">
      <c r="B41" s="3330"/>
      <c r="C41" s="2942" t="s">
        <v>3078</v>
      </c>
      <c r="D41" s="2942">
        <v>4</v>
      </c>
      <c r="E41" s="2942">
        <v>441.36</v>
      </c>
    </row>
    <row r="42" spans="2:6" ht="15" thickBot="1">
      <c r="B42" s="3328" t="s">
        <v>3086</v>
      </c>
      <c r="C42" s="2942" t="s">
        <v>3076</v>
      </c>
      <c r="D42" s="2942">
        <v>6</v>
      </c>
      <c r="E42" s="2942">
        <v>719.16</v>
      </c>
    </row>
    <row r="43" spans="2:6" ht="15" thickBot="1">
      <c r="B43" s="3329"/>
      <c r="C43" s="2942" t="s">
        <v>3077</v>
      </c>
      <c r="D43" s="2942">
        <v>36</v>
      </c>
      <c r="E43" s="2943">
        <v>4061.88</v>
      </c>
    </row>
    <row r="44" spans="2:6" ht="15" thickBot="1">
      <c r="B44" s="3330"/>
      <c r="C44" s="2942" t="s">
        <v>3078</v>
      </c>
      <c r="D44" s="2942">
        <v>6</v>
      </c>
      <c r="E44" s="2942">
        <v>663.12</v>
      </c>
    </row>
    <row r="45" spans="2:6" ht="15" thickBot="1">
      <c r="B45" s="3328" t="s">
        <v>3087</v>
      </c>
      <c r="C45" s="2942" t="s">
        <v>3088</v>
      </c>
      <c r="D45" s="2942">
        <v>4</v>
      </c>
      <c r="E45" s="2942">
        <v>503.98</v>
      </c>
      <c r="F45">
        <f>SUM(E45:E47)</f>
        <v>8567.66</v>
      </c>
    </row>
    <row r="46" spans="2:6" ht="15" thickBot="1">
      <c r="B46" s="3329"/>
      <c r="C46" s="2942" t="s">
        <v>3077</v>
      </c>
      <c r="D46" s="2942">
        <v>59</v>
      </c>
      <c r="E46" s="2943">
        <v>7559.7</v>
      </c>
    </row>
    <row r="47" spans="2:6" ht="15" thickBot="1">
      <c r="B47" s="3330"/>
      <c r="C47" s="2942" t="s">
        <v>3078</v>
      </c>
      <c r="D47" s="2942">
        <v>4</v>
      </c>
      <c r="E47" s="2942">
        <v>503.98</v>
      </c>
    </row>
    <row r="48" spans="2:6" ht="15" thickBot="1">
      <c r="B48" s="3331" t="s">
        <v>3089</v>
      </c>
      <c r="C48" s="2942" t="s">
        <v>3088</v>
      </c>
      <c r="D48" s="2942">
        <v>6</v>
      </c>
      <c r="E48" s="2942">
        <v>616.1</v>
      </c>
    </row>
    <row r="49" spans="2:5" ht="15" thickBot="1">
      <c r="B49" s="3332"/>
      <c r="C49" s="2942" t="s">
        <v>3077</v>
      </c>
      <c r="D49" s="2942">
        <v>90</v>
      </c>
      <c r="E49" s="2943">
        <v>9241.5</v>
      </c>
    </row>
    <row r="50" spans="2:5" ht="15" thickBot="1">
      <c r="B50" s="3333"/>
      <c r="C50" s="2942" t="s">
        <v>3078</v>
      </c>
      <c r="D50" s="2942">
        <v>6</v>
      </c>
      <c r="E50" s="2942">
        <v>616.1</v>
      </c>
    </row>
    <row r="51" spans="2:5" ht="15" thickBot="1">
      <c r="B51" s="3328" t="s">
        <v>3090</v>
      </c>
      <c r="C51" s="2942" t="s">
        <v>3088</v>
      </c>
      <c r="D51" s="2942">
        <v>6</v>
      </c>
      <c r="E51" s="2942">
        <v>616.1</v>
      </c>
    </row>
    <row r="52" spans="2:5" ht="15" thickBot="1">
      <c r="B52" s="3329"/>
      <c r="C52" s="2942" t="s">
        <v>3077</v>
      </c>
      <c r="D52" s="2942">
        <v>90</v>
      </c>
      <c r="E52" s="2943">
        <v>9241.5</v>
      </c>
    </row>
    <row r="53" spans="2:5" ht="15" thickBot="1">
      <c r="B53" s="3330"/>
      <c r="C53" s="2942" t="s">
        <v>3078</v>
      </c>
      <c r="D53" s="2942">
        <v>6</v>
      </c>
      <c r="E53" s="2942">
        <v>616.1</v>
      </c>
    </row>
    <row r="54" spans="2:5" ht="15" thickBot="1">
      <c r="B54" s="3328" t="s">
        <v>3091</v>
      </c>
      <c r="C54" s="2942" t="s">
        <v>3088</v>
      </c>
      <c r="D54" s="2942">
        <v>2</v>
      </c>
      <c r="E54" s="2942">
        <v>252.01</v>
      </c>
    </row>
    <row r="55" spans="2:5" ht="15" thickBot="1">
      <c r="B55" s="3329"/>
      <c r="C55" s="2942" t="s">
        <v>3077</v>
      </c>
      <c r="D55" s="2942">
        <v>89</v>
      </c>
      <c r="E55" s="2943">
        <v>10681.27</v>
      </c>
    </row>
    <row r="56" spans="2:5" ht="15" thickBot="1">
      <c r="B56" s="3330"/>
      <c r="C56" s="2942" t="s">
        <v>3078</v>
      </c>
      <c r="D56" s="2942">
        <v>6</v>
      </c>
      <c r="E56" s="2942">
        <v>711.24</v>
      </c>
    </row>
    <row r="57" spans="2:5" ht="15" thickBot="1">
      <c r="B57" s="3328" t="s">
        <v>3092</v>
      </c>
      <c r="C57" s="2942" t="s">
        <v>3088</v>
      </c>
      <c r="D57" s="2942">
        <v>6</v>
      </c>
      <c r="E57" s="2942">
        <v>697.48</v>
      </c>
    </row>
    <row r="58" spans="2:5" ht="15" thickBot="1">
      <c r="B58" s="3329"/>
      <c r="C58" s="2942" t="s">
        <v>3077</v>
      </c>
      <c r="D58" s="2942">
        <v>48</v>
      </c>
      <c r="E58" s="2943">
        <v>5579.84</v>
      </c>
    </row>
    <row r="59" spans="2:5" ht="15" thickBot="1">
      <c r="B59" s="3330"/>
      <c r="C59" s="2942" t="s">
        <v>3078</v>
      </c>
      <c r="D59" s="2942">
        <v>6</v>
      </c>
      <c r="E59" s="2942">
        <v>697.48</v>
      </c>
    </row>
    <row r="60" spans="2:5" ht="15" thickBot="1">
      <c r="B60" s="2944"/>
      <c r="C60" s="2942" t="s">
        <v>3093</v>
      </c>
      <c r="D60" s="2942">
        <v>65</v>
      </c>
      <c r="E60" s="2943">
        <v>7617.73</v>
      </c>
    </row>
    <row r="61" spans="2:5" ht="15" thickBot="1">
      <c r="B61" s="2944"/>
      <c r="C61" s="2942" t="s">
        <v>3094</v>
      </c>
      <c r="D61" s="2942">
        <v>579</v>
      </c>
      <c r="E61" s="2943">
        <v>65292.9</v>
      </c>
    </row>
    <row r="62" spans="2:5" ht="15" thickBot="1">
      <c r="B62" s="2944"/>
      <c r="C62" s="2942" t="s">
        <v>3095</v>
      </c>
      <c r="D62" s="2942">
        <v>65</v>
      </c>
      <c r="E62" s="2943">
        <v>7252.85</v>
      </c>
    </row>
    <row r="63" spans="2:5" ht="15" thickBot="1">
      <c r="B63" s="2944"/>
      <c r="C63" s="2942" t="s">
        <v>3096</v>
      </c>
      <c r="D63" s="2942"/>
      <c r="E63" s="2943">
        <v>80163.48</v>
      </c>
    </row>
    <row r="64" spans="2:5" ht="15" thickBot="1">
      <c r="B64" s="2944"/>
      <c r="C64" s="2945" t="s">
        <v>3097</v>
      </c>
      <c r="D64" s="2946">
        <v>47</v>
      </c>
      <c r="E64" s="2947">
        <v>5462.14</v>
      </c>
    </row>
    <row r="65" spans="2:5" ht="15" thickBot="1">
      <c r="B65" s="2944"/>
      <c r="C65" s="2945" t="s">
        <v>3098</v>
      </c>
      <c r="D65" s="2946">
        <v>501</v>
      </c>
      <c r="E65" s="2947">
        <v>56498.8</v>
      </c>
    </row>
    <row r="66" spans="2:5" ht="15" thickBot="1">
      <c r="B66" s="2944"/>
      <c r="C66" s="2945" t="s">
        <v>3099</v>
      </c>
      <c r="D66" s="2946">
        <v>49</v>
      </c>
      <c r="E66" s="2947">
        <v>5484.65</v>
      </c>
    </row>
    <row r="67" spans="2:5" ht="15" thickBot="1">
      <c r="B67" s="2944"/>
      <c r="C67" s="2946" t="s">
        <v>3100</v>
      </c>
      <c r="D67" s="2946">
        <v>597</v>
      </c>
      <c r="E67" s="2947">
        <v>67445.59</v>
      </c>
    </row>
    <row r="68" spans="2:5" ht="15" thickBot="1">
      <c r="B68" s="2944"/>
      <c r="C68" s="2948" t="s">
        <v>3101</v>
      </c>
      <c r="D68" s="2942"/>
      <c r="E68" s="2948">
        <v>22</v>
      </c>
    </row>
    <row r="69" spans="2:5" ht="15" thickBot="1">
      <c r="B69" s="2944"/>
      <c r="C69" s="2948" t="s">
        <v>3102</v>
      </c>
      <c r="D69" s="2942"/>
      <c r="E69" s="2948">
        <v>180</v>
      </c>
    </row>
    <row r="70" spans="2:5" ht="15" thickBot="1">
      <c r="B70" s="2944"/>
      <c r="C70" s="2948" t="s">
        <v>3102</v>
      </c>
      <c r="D70" s="2942"/>
      <c r="E70" s="2948">
        <v>297</v>
      </c>
    </row>
    <row r="71" spans="2:5" ht="15" thickBot="1">
      <c r="B71" s="2944"/>
      <c r="C71" s="2948" t="s">
        <v>3103</v>
      </c>
      <c r="D71" s="2942"/>
      <c r="E71" s="2948">
        <v>499</v>
      </c>
    </row>
  </sheetData>
  <mergeCells count="13">
    <mergeCell ref="B36:B38"/>
    <mergeCell ref="B21:B23"/>
    <mergeCell ref="B24:B26"/>
    <mergeCell ref="B27:B29"/>
    <mergeCell ref="B30:B32"/>
    <mergeCell ref="B33:B35"/>
    <mergeCell ref="B57:B59"/>
    <mergeCell ref="B39:B41"/>
    <mergeCell ref="B42:B44"/>
    <mergeCell ref="B45:B47"/>
    <mergeCell ref="B48:B50"/>
    <mergeCell ref="B51:B53"/>
    <mergeCell ref="B54:B56"/>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1"/>
      <c r="C1" s="1834" t="s">
        <v>48</v>
      </c>
      <c r="D1" s="1817" t="s">
        <v>70</v>
      </c>
      <c r="E1" s="1818" t="s">
        <v>1387</v>
      </c>
      <c r="F1" s="1281">
        <f ca="1">J53</f>
        <v>42</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2327</v>
      </c>
      <c r="C2" s="1842" t="s">
        <v>1516</v>
      </c>
      <c r="D2" s="1842"/>
      <c r="E2" s="1843"/>
      <c r="F2" s="1844"/>
      <c r="G2" s="1845"/>
      <c r="H2" s="1837"/>
      <c r="I2" s="1837"/>
      <c r="J2" s="1837"/>
      <c r="K2" s="1838"/>
      <c r="L2" s="1837"/>
      <c r="M2" s="1837"/>
    </row>
    <row r="3" spans="1:37" ht="18" customHeight="1" thickBot="1">
      <c r="A3" s="1846" t="s">
        <v>1517</v>
      </c>
      <c r="B3" s="1847">
        <f ca="1">IF(ISERROR(B2*10000/F43),0,ROUND(B2*10000/F43,0))</f>
        <v>7308</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125</v>
      </c>
      <c r="D5" s="1819" t="s">
        <v>1402</v>
      </c>
      <c r="E5" s="1291"/>
      <c r="F5" s="1292"/>
      <c r="G5" s="1848"/>
      <c r="H5" s="344">
        <v>1</v>
      </c>
      <c r="I5" s="345" t="s">
        <v>1401</v>
      </c>
      <c r="J5" s="1290">
        <f ca="1">J6+J10+J12</f>
        <v>0</v>
      </c>
      <c r="K5" s="1819" t="s">
        <v>1402</v>
      </c>
      <c r="L5" s="1291"/>
      <c r="M5" s="1292"/>
    </row>
    <row r="6" spans="1:37" ht="18" customHeight="1">
      <c r="A6" s="1289" t="s">
        <v>1035</v>
      </c>
      <c r="B6" s="3235" t="s">
        <v>1403</v>
      </c>
      <c r="C6" s="1294">
        <f ca="1">ROUND(F6*F8*F7*(1-F9)/10000,0)</f>
        <v>125</v>
      </c>
      <c r="D6" s="164" t="s">
        <v>3030</v>
      </c>
      <c r="E6" s="347" t="s">
        <v>1405</v>
      </c>
      <c r="F6" s="348">
        <f ca="1">INDIRECT("'数据-取费表'!u"&amp;$G$1)</f>
        <v>1500</v>
      </c>
      <c r="G6" s="1848"/>
      <c r="H6" s="1289" t="s">
        <v>1035</v>
      </c>
      <c r="I6" s="3235" t="s">
        <v>1403</v>
      </c>
      <c r="J6" s="346">
        <f ca="1">ROUND(M6*M8*M7*(1-M9)/10000,0)</f>
        <v>0</v>
      </c>
      <c r="K6" s="164" t="s">
        <v>3029</v>
      </c>
      <c r="L6" s="347" t="s">
        <v>1405</v>
      </c>
      <c r="M6" s="348">
        <f ca="1">INDIRECT("'数据-取费表'!z"&amp;$G$1)</f>
        <v>0</v>
      </c>
    </row>
    <row r="7" spans="1:37" ht="18" customHeight="1">
      <c r="A7" s="1293"/>
      <c r="B7" s="3236"/>
      <c r="C7" s="1295"/>
      <c r="D7" s="352"/>
      <c r="E7" s="2992" t="s">
        <v>1406</v>
      </c>
      <c r="F7" s="348">
        <f ca="1">IF(INDIRECT("'数据-取费表'!ah"&amp;$G$1)="",INDIRECT("'数据-取费表'!k"&amp;$G$1),INDIRECT("'数据-取费表'!ah"&amp;$G$1))</f>
        <v>77</v>
      </c>
      <c r="G7" s="1848"/>
      <c r="H7" s="349"/>
      <c r="I7" s="3236"/>
      <c r="J7" s="351"/>
      <c r="K7" s="352"/>
      <c r="L7" s="347" t="s">
        <v>1406</v>
      </c>
      <c r="M7" s="348">
        <f ca="1">F7</f>
        <v>77</v>
      </c>
    </row>
    <row r="8" spans="1:37" ht="18" customHeight="1">
      <c r="A8" s="349"/>
      <c r="B8" s="3236"/>
      <c r="C8" s="351"/>
      <c r="D8" s="352"/>
      <c r="E8" s="347" t="s">
        <v>1407</v>
      </c>
      <c r="F8" s="348">
        <f ca="1">INDIRECT("'数据-取费表'!ai"&amp;$G$1)</f>
        <v>12</v>
      </c>
      <c r="G8" s="1848"/>
      <c r="H8" s="349"/>
      <c r="I8" s="3236"/>
      <c r="J8" s="351"/>
      <c r="K8" s="352"/>
      <c r="L8" s="347" t="s">
        <v>1407</v>
      </c>
      <c r="M8" s="348">
        <f ca="1">INDIRECT("'数据-取费表'!ai"&amp;$G$1)</f>
        <v>12</v>
      </c>
    </row>
    <row r="9" spans="1:37" ht="18" customHeight="1">
      <c r="A9" s="349"/>
      <c r="B9" s="3237"/>
      <c r="C9" s="351"/>
      <c r="D9" s="352"/>
      <c r="E9" s="347" t="s">
        <v>1408</v>
      </c>
      <c r="F9" s="357">
        <f ca="1">INDIRECT("'数据-取费表'!w"&amp;$G$1)</f>
        <v>0.1</v>
      </c>
      <c r="G9" s="1848"/>
      <c r="H9" s="349"/>
      <c r="I9" s="3237"/>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3039</v>
      </c>
      <c r="E10" s="358" t="s">
        <v>1410</v>
      </c>
      <c r="F10" s="1364"/>
      <c r="G10" s="1848"/>
      <c r="H10" s="1289" t="s">
        <v>1039</v>
      </c>
      <c r="I10" s="1820" t="s">
        <v>1409</v>
      </c>
      <c r="J10" s="346">
        <f ca="1">ROUND(IF(M10="押一",J6/12*M11,IF(M10="押二",J6/12*2*M11,IF(M10="押三",J6/12*3*M11,J11*M11))),0)</f>
        <v>0</v>
      </c>
      <c r="K10" s="1821" t="s">
        <v>3038</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7"/>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1278</v>
      </c>
      <c r="D13" s="1329" t="s">
        <v>1415</v>
      </c>
      <c r="E13" s="1329" t="s">
        <v>1416</v>
      </c>
      <c r="F13" s="1330">
        <f ca="1">INDIRECT("'数据-取费表'!y"&amp;$G$1)</f>
        <v>0.95</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955</v>
      </c>
      <c r="D14" s="2980" t="s">
        <v>1418</v>
      </c>
      <c r="E14" s="2975"/>
      <c r="F14" s="364"/>
      <c r="G14" s="1848"/>
      <c r="H14" s="1199" t="s">
        <v>1035</v>
      </c>
      <c r="I14" s="347" t="s">
        <v>1419</v>
      </c>
      <c r="J14" s="24">
        <f ca="1">C29</f>
        <v>1345</v>
      </c>
      <c r="K14" s="2991"/>
      <c r="L14" s="977"/>
      <c r="M14" s="978"/>
    </row>
    <row r="15" spans="1:37" s="1855" customFormat="1" ht="18" customHeight="1" thickBot="1">
      <c r="A15" s="1199" t="s">
        <v>1036</v>
      </c>
      <c r="B15" s="347" t="s">
        <v>1420</v>
      </c>
      <c r="C15" s="24">
        <f ca="1">ROUND(C14*F15,0)</f>
        <v>29</v>
      </c>
      <c r="D15" s="365" t="s">
        <v>1421</v>
      </c>
      <c r="E15" s="365" t="s">
        <v>1422</v>
      </c>
      <c r="F15" s="366">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32</v>
      </c>
      <c r="K16" s="1335" t="s">
        <v>1425</v>
      </c>
      <c r="L16" s="2982"/>
      <c r="M16" s="1292"/>
    </row>
    <row r="17" spans="1:37" s="1855" customFormat="1" ht="18" customHeight="1">
      <c r="A17" s="1199" t="s">
        <v>1390</v>
      </c>
      <c r="B17" s="347" t="s">
        <v>1426</v>
      </c>
      <c r="C17" s="24">
        <f ca="1">ROUND(F17*(F43+INDIRECT("'数据-取费表'!S"&amp;$G$1))/10000,0)</f>
        <v>64</v>
      </c>
      <c r="D17" s="347" t="s">
        <v>1427</v>
      </c>
      <c r="E17" s="347" t="s">
        <v>1428</v>
      </c>
      <c r="F17" s="26">
        <f>'数据-取费表'!B35</f>
        <v>200</v>
      </c>
      <c r="G17" s="1851"/>
      <c r="H17" s="1199" t="s">
        <v>1035</v>
      </c>
      <c r="I17" s="347" t="s">
        <v>1429</v>
      </c>
      <c r="J17" s="24">
        <f ca="1">ROUND(IF(项目基本情况!B11="自然人",J5*M17,J18+J19+J20),1)</f>
        <v>11.3</v>
      </c>
      <c r="K17" s="2980" t="s">
        <v>1430</v>
      </c>
      <c r="L17" s="297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14</v>
      </c>
      <c r="D18" s="347" t="s">
        <v>1421</v>
      </c>
      <c r="E18" s="347" t="s">
        <v>1422</v>
      </c>
      <c r="F18" s="367">
        <f>'数据-取费表'!B36</f>
        <v>1.4999999999999999E-2</v>
      </c>
      <c r="G18" s="1851"/>
      <c r="H18" s="1199" t="s">
        <v>1034</v>
      </c>
      <c r="I18" s="347" t="s">
        <v>1433</v>
      </c>
      <c r="J18" s="24">
        <f ca="1">ROUND(J5*M18/(1+'数据-取费表'!C42),2)</f>
        <v>0</v>
      </c>
      <c r="K18" s="297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1062</v>
      </c>
      <c r="D19" s="140" t="s">
        <v>1436</v>
      </c>
      <c r="E19" s="2989"/>
      <c r="F19" s="26"/>
      <c r="G19" s="1848"/>
      <c r="H19" s="1199" t="s">
        <v>1036</v>
      </c>
      <c r="I19" s="347" t="s">
        <v>1437</v>
      </c>
      <c r="J19" s="24">
        <f ca="1">IF(K19="按租金收入计税",ROUND(J5*M19,2),ROUND(C29*M19*0.7,2))</f>
        <v>11.3</v>
      </c>
      <c r="K19" s="1825" t="s">
        <v>1438</v>
      </c>
      <c r="L19" s="347" t="s">
        <v>1422</v>
      </c>
      <c r="M19" s="367">
        <f>IF(K19="按租金收入计税",'数据-取费表'!B51,'数据-取费表'!B50)</f>
        <v>1.2E-2</v>
      </c>
    </row>
    <row r="20" spans="1:37" s="1855" customFormat="1" ht="18" customHeight="1">
      <c r="A20" s="1199" t="s">
        <v>1039</v>
      </c>
      <c r="B20" s="347" t="s">
        <v>1439</v>
      </c>
      <c r="C20" s="24">
        <f ca="1">ROUND(C19*F20,0)</f>
        <v>21</v>
      </c>
      <c r="D20" s="369" t="s">
        <v>1440</v>
      </c>
      <c r="E20" s="347" t="s">
        <v>1422</v>
      </c>
      <c r="F20" s="367">
        <f>'数据-取费表'!B37</f>
        <v>0.02</v>
      </c>
      <c r="G20" s="1851"/>
      <c r="H20" s="1199" t="s">
        <v>1389</v>
      </c>
      <c r="I20" s="164" t="s">
        <v>1441</v>
      </c>
      <c r="J20" s="25">
        <f ca="1">ROUND(M20*M21/10000,2)</f>
        <v>0</v>
      </c>
      <c r="K20" s="370" t="s">
        <v>1442</v>
      </c>
      <c r="L20" s="347" t="s">
        <v>1443</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89"/>
      <c r="F22" s="26"/>
      <c r="G22" s="1848"/>
      <c r="H22" s="1199" t="s">
        <v>1039</v>
      </c>
      <c r="I22" s="347" t="s">
        <v>1449</v>
      </c>
      <c r="J22" s="24">
        <f ca="1">ROUND(J14*M22,1)</f>
        <v>20.2</v>
      </c>
      <c r="K22" s="2978"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1452</v>
      </c>
      <c r="F23" s="371">
        <f>'数据-取费表'!B20</f>
        <v>2</v>
      </c>
      <c r="G23" s="1851"/>
      <c r="H23" s="1199" t="s">
        <v>1075</v>
      </c>
      <c r="I23" s="347" t="s">
        <v>1453</v>
      </c>
      <c r="J23" s="24">
        <f ca="1">ROUND(J13*M23,1)</f>
        <v>0</v>
      </c>
      <c r="K23" s="2978"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89"/>
      <c r="F25" s="26"/>
      <c r="G25" s="1848"/>
      <c r="H25" s="1327" t="s">
        <v>1031</v>
      </c>
      <c r="I25" s="1342" t="s">
        <v>1463</v>
      </c>
      <c r="J25" s="355">
        <f ca="1">J5-J16</f>
        <v>-32</v>
      </c>
      <c r="K25" s="1343" t="s">
        <v>1464</v>
      </c>
      <c r="L25" s="1344"/>
      <c r="M25" s="1345"/>
    </row>
    <row r="26" spans="1:37">
      <c r="A26" s="1199" t="s">
        <v>1034</v>
      </c>
      <c r="B26" s="347" t="s">
        <v>1465</v>
      </c>
      <c r="C26" s="24">
        <f ca="1">ROUND((C19+C20)*F26,0)</f>
        <v>108</v>
      </c>
      <c r="D26" s="369" t="s">
        <v>1466</v>
      </c>
      <c r="E26" s="358" t="s">
        <v>1467</v>
      </c>
      <c r="F26" s="357">
        <f ca="1">INDIRECT("'数据-取费表'!q"&amp;$G$1)</f>
        <v>0.1</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9" t="s">
        <v>1036</v>
      </c>
      <c r="B27" s="347" t="s">
        <v>1471</v>
      </c>
      <c r="C27" s="24">
        <f ca="1">ROUND(F21*F26,4)</f>
        <v>2E-3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1345</v>
      </c>
      <c r="D29" s="1340"/>
      <c r="E29" s="1338"/>
      <c r="F29" s="1341"/>
      <c r="G29" s="1851"/>
      <c r="H29" s="380" t="s">
        <v>1033</v>
      </c>
      <c r="I29" s="381" t="s">
        <v>1479</v>
      </c>
      <c r="J29" s="382">
        <f ca="1">ROUND(J26/(1+F40)^F41,0)</f>
        <v>0</v>
      </c>
      <c r="K29" s="383" t="s">
        <v>1480</v>
      </c>
      <c r="L29" s="384"/>
      <c r="M29" s="385">
        <f ca="1">INDIRECT("'数据-取费表'!k"&amp;$G$1)</f>
        <v>3184.2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41</v>
      </c>
      <c r="D30" s="1335" t="s">
        <v>1425</v>
      </c>
      <c r="E30" s="2982"/>
      <c r="F30" s="1292"/>
      <c r="G30" s="1848"/>
      <c r="H30" s="744"/>
      <c r="I30" s="745"/>
      <c r="J30" s="746"/>
      <c r="K30" s="747"/>
      <c r="L30" s="748"/>
      <c r="M30" s="749"/>
    </row>
    <row r="31" spans="1:37" ht="18" customHeight="1">
      <c r="A31" s="1199" t="s">
        <v>1035</v>
      </c>
      <c r="B31" s="347" t="s">
        <v>1429</v>
      </c>
      <c r="C31" s="24">
        <f ca="1">ROUND(IF(项目基本情况!B11="自然人",C5*F31,C32+C33+C34),1)</f>
        <v>18</v>
      </c>
      <c r="D31" s="2980" t="s">
        <v>1430</v>
      </c>
      <c r="E31" s="2978"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1433</v>
      </c>
      <c r="C32" s="24">
        <f ca="1">IF(项目基本情况!B11="自然人","——",ROUND(C5*F32/(1+'数据-取费表'!C42),2))</f>
        <v>6.67</v>
      </c>
      <c r="D32" s="2978" t="s">
        <v>1434</v>
      </c>
      <c r="E32" s="347" t="s">
        <v>1422</v>
      </c>
      <c r="F32" s="377">
        <f>'数据-取费表'!B41</f>
        <v>5.6000000000000001E-2</v>
      </c>
      <c r="G32" s="1848"/>
      <c r="H32" s="744"/>
      <c r="I32" s="745"/>
      <c r="J32" s="746"/>
      <c r="K32" s="747"/>
      <c r="L32" s="748"/>
      <c r="M32" s="749"/>
    </row>
    <row r="33" spans="1:18" ht="18" customHeight="1">
      <c r="A33" s="1199" t="s">
        <v>1036</v>
      </c>
      <c r="B33" s="347" t="s">
        <v>1437</v>
      </c>
      <c r="C33" s="24">
        <f ca="1">IF(项目基本情况!B11="自然人","——",IF(D33="按租金收入计税",ROUND(C5*F33,2),IF(D33="按房产原值计税",ROUND(C29*F33*0.7,2),INDIRECT("'数据-取费表'!Aj"&amp;$G$1))))</f>
        <v>11.3</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IF(项目基本情况!B11="自然人","——",ROUND(F34*F35/10000,2))</f>
        <v>0</v>
      </c>
      <c r="D34" s="370" t="s">
        <v>1442</v>
      </c>
      <c r="E34" s="347" t="s">
        <v>1443</v>
      </c>
      <c r="F34" s="371">
        <f>'数据-取费表'!B52</f>
        <v>18</v>
      </c>
      <c r="G34" s="1848"/>
      <c r="H34" s="744"/>
      <c r="I34" s="1857"/>
      <c r="J34" s="1858"/>
      <c r="K34" s="1860"/>
      <c r="L34" s="1861"/>
      <c r="M34" s="1861"/>
    </row>
    <row r="35" spans="1:18" ht="18" customHeight="1">
      <c r="A35" s="1351"/>
      <c r="B35" s="1349"/>
      <c r="C35" s="29"/>
      <c r="D35" s="373"/>
      <c r="E35" s="347" t="s">
        <v>1447</v>
      </c>
      <c r="F35" s="348">
        <f ca="1">INDIRECT("'数据-取费表'!r"&amp;$G$1)</f>
        <v>0</v>
      </c>
      <c r="G35" s="1848"/>
      <c r="H35" s="744"/>
      <c r="I35" s="1857"/>
      <c r="J35" s="1858"/>
      <c r="K35" s="1859"/>
      <c r="L35" s="1856"/>
      <c r="M35" s="1856"/>
    </row>
    <row r="36" spans="1:18" ht="18" customHeight="1">
      <c r="A36" s="1350" t="s">
        <v>1039</v>
      </c>
      <c r="B36" s="347" t="s">
        <v>1449</v>
      </c>
      <c r="C36" s="24">
        <f ca="1">ROUND(C29*F36,1)</f>
        <v>20.2</v>
      </c>
      <c r="D36" s="2978" t="s">
        <v>1482</v>
      </c>
      <c r="E36" s="347" t="s">
        <v>1422</v>
      </c>
      <c r="F36" s="374">
        <f ca="1">INDIRECT("'数据-取费表'!Ak"&amp;$G$1)</f>
        <v>1.4999999999999999E-2</v>
      </c>
      <c r="G36" s="1848"/>
      <c r="H36" s="1856"/>
      <c r="I36" s="1857"/>
      <c r="J36" s="1858"/>
      <c r="K36" s="750"/>
      <c r="L36" s="1856"/>
      <c r="M36" s="1856"/>
    </row>
    <row r="37" spans="1:18" ht="18" customHeight="1">
      <c r="A37" s="1199" t="s">
        <v>1075</v>
      </c>
      <c r="B37" s="347" t="s">
        <v>1453</v>
      </c>
      <c r="C37" s="24">
        <f ca="1">ROUND(C13*F37,1)</f>
        <v>1.9</v>
      </c>
      <c r="D37" s="2978" t="s">
        <v>1454</v>
      </c>
      <c r="E37" s="347" t="s">
        <v>1455</v>
      </c>
      <c r="F37" s="376">
        <f ca="1">INDIRECT("'数据-取费表'!Al"&amp;$G$1)</f>
        <v>1.5E-3</v>
      </c>
      <c r="G37" s="1848"/>
      <c r="H37" s="1856"/>
      <c r="I37" s="1857"/>
      <c r="J37" s="1858"/>
      <c r="K37" s="750"/>
      <c r="L37" s="1856"/>
      <c r="M37" s="1856"/>
    </row>
    <row r="38" spans="1:18" ht="18" customHeight="1" thickBot="1">
      <c r="A38" s="1337" t="s">
        <v>1393</v>
      </c>
      <c r="B38" s="1338" t="s">
        <v>1439</v>
      </c>
      <c r="C38" s="1339">
        <f ca="1">ROUND(C5*F38,1)</f>
        <v>1.3</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84</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2327</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42</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ROUND(C40*10000/F43,0)</f>
        <v>7308</v>
      </c>
      <c r="D43" s="383" t="s">
        <v>1488</v>
      </c>
      <c r="E43" s="384" t="s">
        <v>1489</v>
      </c>
      <c r="F43" s="385">
        <f ca="1">INDIRECT("'数据-取费表'!k"&amp;$G$1)</f>
        <v>3184.2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-2902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1"/>
      <c r="I47" s="1877" t="s">
        <v>1526</v>
      </c>
      <c r="J47" s="1878" t="s">
        <v>3265</v>
      </c>
      <c r="K47" s="1879" t="s">
        <v>1527</v>
      </c>
      <c r="L47" s="1880">
        <f ca="1">INDIRECT("'数据-取费表'!d"&amp;$G$1)</f>
        <v>50</v>
      </c>
      <c r="M47" s="1835" t="str">
        <f>IF(ISNUMBER(FIND("住宅",C1)),"住宅","非住宅")</f>
        <v>非住宅</v>
      </c>
      <c r="O47" s="1881" t="s">
        <v>1040</v>
      </c>
      <c r="P47" s="1882" t="s">
        <v>1528</v>
      </c>
      <c r="Q47" s="1883">
        <f ca="1">C40+J29</f>
        <v>2327</v>
      </c>
      <c r="R47" s="1883" t="s">
        <v>1529</v>
      </c>
    </row>
    <row r="48" spans="1:18" s="1839" customFormat="1" ht="28.5" thickBot="1">
      <c r="A48" s="1358" t="s">
        <v>1135</v>
      </c>
      <c r="B48" s="345" t="s">
        <v>1401</v>
      </c>
      <c r="C48" s="2988">
        <f ca="1">C49+C53+C55</f>
        <v>0</v>
      </c>
      <c r="D48" s="1360"/>
      <c r="E48" s="1361"/>
      <c r="F48" s="1179"/>
      <c r="G48" s="791"/>
      <c r="H48" s="792"/>
      <c r="I48" s="1884" t="s">
        <v>1530</v>
      </c>
      <c r="J48" s="1885" t="s">
        <v>3266</v>
      </c>
      <c r="K48" s="1886" t="s">
        <v>1531</v>
      </c>
      <c r="L48" s="1887">
        <f ca="1">INDIRECT("'数据-取费表'!f"&amp;$G$1)</f>
        <v>42</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3031</v>
      </c>
      <c r="E49" s="1827" t="s">
        <v>1491</v>
      </c>
      <c r="F49" s="1279"/>
      <c r="G49" s="1888"/>
      <c r="H49" s="792"/>
      <c r="I49" s="1884" t="s">
        <v>1534</v>
      </c>
      <c r="J49" s="1889">
        <v>2014</v>
      </c>
      <c r="K49" s="1886" t="s">
        <v>1535</v>
      </c>
      <c r="L49" s="1890"/>
      <c r="O49" s="1891" t="s">
        <v>1042</v>
      </c>
      <c r="P49" s="1882" t="s">
        <v>1536</v>
      </c>
      <c r="Q49" s="1883">
        <f ca="1">C29</f>
        <v>1345</v>
      </c>
      <c r="R49" s="1883" t="s">
        <v>1529</v>
      </c>
    </row>
    <row r="50" spans="1:18" s="1839" customFormat="1" ht="13.5" thickBot="1">
      <c r="A50" s="1193"/>
      <c r="B50" s="1196"/>
      <c r="C50" s="1366"/>
      <c r="D50" s="1170"/>
      <c r="E50" s="1275" t="s">
        <v>1406</v>
      </c>
      <c r="F50" s="1276">
        <f ca="1">F7</f>
        <v>77</v>
      </c>
      <c r="H50" s="792"/>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12</v>
      </c>
      <c r="I51" s="1895" t="s">
        <v>1540</v>
      </c>
      <c r="J51" s="1896">
        <f>IF(J49="",J50,J49+J50-YEAR('数据-取费表'!B2))</f>
        <v>55</v>
      </c>
      <c r="K51" s="1897" t="s">
        <v>1541</v>
      </c>
      <c r="L51" s="1898">
        <f ca="1">ROUND(-PV(INDIRECT("'数据-取费表'!h"&amp;$G$1),L48,(C39-C13*C76),0),0)</f>
        <v>-342</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f ca="1">J53</f>
        <v>42</v>
      </c>
      <c r="R52" s="1883" t="s">
        <v>1546</v>
      </c>
    </row>
    <row r="53" spans="1:18" s="1839" customFormat="1" ht="24.75" thickBot="1">
      <c r="A53" s="1403" t="s">
        <v>1137</v>
      </c>
      <c r="B53" s="1828" t="s">
        <v>1409</v>
      </c>
      <c r="C53" s="361">
        <f ca="1">ROUND(IF(F53="押一",C49/12*F11,IF(F53="押二",C49/12*2*F11,IF(F53="押三",C49/12*3*F11,C54*F11))),0)</f>
        <v>0</v>
      </c>
      <c r="D53" s="1821" t="s">
        <v>3038</v>
      </c>
      <c r="E53" s="358" t="s">
        <v>1410</v>
      </c>
      <c r="F53" s="1364"/>
      <c r="I53" s="1902" t="s">
        <v>1547</v>
      </c>
      <c r="J53" s="1903">
        <f ca="1">IF(M47="住宅",IF(D1="——",MAX(J51,L48),IF(D1="在建（套用方法）",MAX(J51,L48-'数据-取费表'!B24),MAX(J51,L48-'数据-取费表'!B20))),IF(D1="——",MIN(J51,L48),IF(D1="在建（套用方法）",MIN(J51,L48-'数据-取费表'!B24),IF(D1="土地（套用方法）",MIN(J51,L48-'数据-取费表'!B20)))))</f>
        <v>42</v>
      </c>
      <c r="K53" s="3238" t="s">
        <v>1548</v>
      </c>
      <c r="L53" s="3239"/>
      <c r="O53" s="1881" t="s">
        <v>1046</v>
      </c>
      <c r="P53" s="1882" t="s">
        <v>1549</v>
      </c>
      <c r="Q53" s="1883">
        <f ca="1">Q47+Q48</f>
        <v>2327</v>
      </c>
      <c r="R53" s="1883" t="s">
        <v>1047</v>
      </c>
    </row>
    <row r="54" spans="1:18" s="1839" customFormat="1" ht="13.5" thickBot="1">
      <c r="A54" s="1404"/>
      <c r="B54" s="1822" t="s">
        <v>1388</v>
      </c>
      <c r="C54" s="1176"/>
      <c r="D54" s="1821"/>
      <c r="E54" s="2984"/>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84"/>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1278</v>
      </c>
      <c r="D56" s="1911"/>
      <c r="E56" s="1912"/>
      <c r="F56" s="1904"/>
      <c r="I56" s="1913" t="s">
        <v>1554</v>
      </c>
      <c r="J56" s="1914" t="s">
        <v>3107</v>
      </c>
      <c r="K56" s="1884" t="s">
        <v>1555</v>
      </c>
      <c r="L56" s="1887" t="str">
        <f ca="1">IF(L48&lt;J51,"——",L48-J53)</f>
        <v>——</v>
      </c>
      <c r="O56" s="1881" t="s">
        <v>1040</v>
      </c>
      <c r="P56" s="1882" t="s">
        <v>1528</v>
      </c>
      <c r="Q56" s="1883">
        <f ca="1">C40+J29</f>
        <v>2327</v>
      </c>
      <c r="R56" s="1883" t="s">
        <v>1529</v>
      </c>
    </row>
    <row r="57" spans="1:18" s="1839" customFormat="1" ht="24.75" thickBot="1">
      <c r="A57" s="1915"/>
      <c r="B57" s="1167" t="s">
        <v>1478</v>
      </c>
      <c r="C57" s="282">
        <f ca="1">C29</f>
        <v>1345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33</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11.3</v>
      </c>
      <c r="D59" s="1180" t="s">
        <v>1430</v>
      </c>
      <c r="E59" s="1181"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11.3</v>
      </c>
      <c r="D61" s="1825" t="s">
        <v>1438</v>
      </c>
      <c r="E61" s="1167" t="s">
        <v>1494</v>
      </c>
      <c r="F61" s="367">
        <f t="shared" si="0"/>
        <v>1.2E-2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71">
        <f t="shared" si="0"/>
        <v>18</v>
      </c>
      <c r="I62" s="1926" t="s">
        <v>1570</v>
      </c>
      <c r="J62" s="1927" t="s">
        <v>1571</v>
      </c>
      <c r="K62" s="1927" t="s">
        <v>1572</v>
      </c>
      <c r="L62" s="1927" t="s">
        <v>1573</v>
      </c>
      <c r="M62" s="1928" t="s">
        <v>1574</v>
      </c>
      <c r="O62" s="1881" t="s">
        <v>1046</v>
      </c>
      <c r="P62" s="1882" t="s">
        <v>1575</v>
      </c>
      <c r="Q62" s="1883">
        <f ca="1">Q56+Q57</f>
        <v>2327</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20.2</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1.9</v>
      </c>
      <c r="D65" s="1181" t="s">
        <v>1454</v>
      </c>
      <c r="E65" s="1167" t="s">
        <v>1455</v>
      </c>
      <c r="F65" s="376">
        <f t="shared" ca="1" si="0"/>
        <v>1.5E-3</v>
      </c>
      <c r="I65" s="1926" t="s">
        <v>1579</v>
      </c>
      <c r="J65" s="1927">
        <v>40</v>
      </c>
      <c r="K65" s="1927">
        <v>30</v>
      </c>
      <c r="L65" s="1927">
        <v>50</v>
      </c>
      <c r="M65" s="1929">
        <v>0.02</v>
      </c>
      <c r="O65" s="1881" t="s">
        <v>1040</v>
      </c>
      <c r="P65" s="1882" t="s">
        <v>1528</v>
      </c>
      <c r="Q65" s="1883">
        <f ca="1">C40+J29</f>
        <v>2327</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-33</v>
      </c>
      <c r="D67" s="1180" t="s">
        <v>1464</v>
      </c>
      <c r="E67" s="1185"/>
      <c r="F67" s="1186"/>
      <c r="O67" s="1891" t="s">
        <v>1042</v>
      </c>
      <c r="P67" s="1882" t="s">
        <v>1562</v>
      </c>
      <c r="Q67" s="1930">
        <f ca="1">L51</f>
        <v>-342</v>
      </c>
      <c r="R67" s="1883" t="s">
        <v>1582</v>
      </c>
    </row>
    <row r="68" spans="1:18" s="1839" customFormat="1" ht="16.5" thickBot="1">
      <c r="A68" s="1164" t="s">
        <v>1032</v>
      </c>
      <c r="B68" s="1165" t="s">
        <v>1485</v>
      </c>
      <c r="C68" s="346">
        <f ca="1">ROUND(C67*(1-((1+F70)/(1+F68))^F69)/(F68-F70),0)</f>
        <v>-575</v>
      </c>
      <c r="D68" s="1182" t="s">
        <v>1469</v>
      </c>
      <c r="E68" s="1167" t="s">
        <v>1470</v>
      </c>
      <c r="F68" s="357">
        <f ca="1">F40</f>
        <v>0.05</v>
      </c>
      <c r="O68" s="1891" t="s">
        <v>1043</v>
      </c>
      <c r="P68" s="1931" t="s">
        <v>1583</v>
      </c>
      <c r="Q68" s="1883">
        <f ca="1">ROUND(Q69-Q70*Q71,0)</f>
        <v>-18</v>
      </c>
      <c r="R68" s="1883" t="s">
        <v>1051</v>
      </c>
    </row>
    <row r="69" spans="1:18" s="1839" customFormat="1" ht="13.5" thickBot="1">
      <c r="A69" s="1168"/>
      <c r="B69" s="1169"/>
      <c r="C69" s="351"/>
      <c r="D69" s="1187" t="s">
        <v>1473</v>
      </c>
      <c r="E69" s="1167" t="s">
        <v>1474</v>
      </c>
      <c r="F69" s="379">
        <f ca="1">F41</f>
        <v>42</v>
      </c>
      <c r="O69" s="1891" t="s">
        <v>1048</v>
      </c>
      <c r="P69" s="1931" t="s">
        <v>1584</v>
      </c>
      <c r="Q69" s="1883">
        <f ca="1">C39</f>
        <v>84</v>
      </c>
      <c r="R69" s="1883" t="s">
        <v>1529</v>
      </c>
    </row>
    <row r="70" spans="1:18" s="1839" customFormat="1" ht="13.5" thickBot="1">
      <c r="A70" s="1171"/>
      <c r="B70" s="1172"/>
      <c r="C70" s="355"/>
      <c r="D70" s="1183"/>
      <c r="E70" s="1167" t="s">
        <v>1477</v>
      </c>
      <c r="F70" s="1273"/>
      <c r="O70" s="1891" t="s">
        <v>1049</v>
      </c>
      <c r="P70" s="1931" t="s">
        <v>1585</v>
      </c>
      <c r="Q70" s="1883">
        <f ca="1">C13</f>
        <v>1278</v>
      </c>
      <c r="R70" s="1883" t="s">
        <v>1529</v>
      </c>
    </row>
    <row r="71" spans="1:18" s="1839" customFormat="1" ht="13.5" thickBot="1">
      <c r="A71" s="1188" t="s">
        <v>1033</v>
      </c>
      <c r="B71" s="1189" t="s">
        <v>1487</v>
      </c>
      <c r="C71" s="382">
        <f ca="1">ROUND(C68*10000/F71,0)</f>
        <v>-1806</v>
      </c>
      <c r="D71" s="1190" t="s">
        <v>1488</v>
      </c>
      <c r="E71" s="1191" t="s">
        <v>1489</v>
      </c>
      <c r="F71" s="385">
        <f ca="1">F43</f>
        <v>3184.2</v>
      </c>
      <c r="O71" s="1891" t="s">
        <v>1050</v>
      </c>
      <c r="P71" s="1931" t="s">
        <v>1586</v>
      </c>
      <c r="Q71" s="1894">
        <f ca="1">C76</f>
        <v>0.08</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102</v>
      </c>
      <c r="D75" s="1839"/>
      <c r="E75" s="1839"/>
      <c r="F75" s="1839"/>
      <c r="K75" s="1865"/>
      <c r="L75" s="1839"/>
      <c r="O75" s="1881" t="s">
        <v>1046</v>
      </c>
      <c r="P75" s="1882" t="s">
        <v>1549</v>
      </c>
      <c r="Q75" s="1883">
        <f ca="1">Q65+Q66</f>
        <v>2327</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-0.21399999999999997</v>
      </c>
    </row>
    <row r="80" spans="1:18">
      <c r="B80" s="386" t="s">
        <v>1511</v>
      </c>
      <c r="C80" s="318">
        <f ca="1">ROUND(C75/C39,3)</f>
        <v>1.214</v>
      </c>
    </row>
    <row r="81" spans="2:3">
      <c r="B81" s="314" t="s">
        <v>1512</v>
      </c>
      <c r="C81" s="282"/>
    </row>
    <row r="82" spans="2:3">
      <c r="B82" s="317" t="s">
        <v>1513</v>
      </c>
      <c r="C82" s="319">
        <f ca="1">1-C83</f>
        <v>0.45099999999999996</v>
      </c>
    </row>
    <row r="83" spans="2:3">
      <c r="B83" s="317" t="s">
        <v>1514</v>
      </c>
      <c r="C83" s="318">
        <f ca="1">ROUND(C13/C40,3)</f>
        <v>0.54900000000000004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1641</v>
      </c>
      <c r="B2" s="3015" t="s">
        <v>1642</v>
      </c>
      <c r="C2" s="3015" t="s">
        <v>1643</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1042" t="s">
        <v>1638</v>
      </c>
      <c r="E3" s="1042" t="s">
        <v>1644</v>
      </c>
      <c r="F3" s="1042" t="s">
        <v>1638</v>
      </c>
      <c r="G3" s="1042" t="s">
        <v>1639</v>
      </c>
      <c r="H3" s="1042" t="s">
        <v>1638</v>
      </c>
      <c r="I3" s="1042" t="s">
        <v>1639</v>
      </c>
    </row>
    <row r="4" spans="1:9" ht="45">
      <c r="A4" s="1970" t="str">
        <f>项目基本情况!S2</f>
        <v>北京市诺德中心三期出让国有建设用地使用权及在建建筑物房地产</v>
      </c>
      <c r="B4" s="1042">
        <f>项目基本情况!C17</f>
        <v>22318.329999999998</v>
      </c>
      <c r="C4" s="1042">
        <f>项目基本情况!C18</f>
        <v>0</v>
      </c>
      <c r="D4" s="1042" t="e">
        <f ca="1">结果表!D118</f>
        <v>#DIV/0!</v>
      </c>
      <c r="E4" s="1042" t="e">
        <f ca="1">结果表!E118</f>
        <v>#DIV/0!</v>
      </c>
      <c r="F4" s="1042" t="e">
        <f ca="1">结果表!F118</f>
        <v>#DIV/0!</v>
      </c>
      <c r="G4" s="1042" t="e">
        <f ca="1">结果表!G118</f>
        <v>#DIV/0!</v>
      </c>
      <c r="H4" s="1042" t="e">
        <f ca="1">结果表!H118</f>
        <v>#DIV/0!</v>
      </c>
      <c r="I4" s="1042" t="e">
        <f ca="1">结果表!I118</f>
        <v>#DIV/0!</v>
      </c>
    </row>
    <row r="5" spans="1:9" ht="30" customHeight="1">
      <c r="A5" s="3016" t="s">
        <v>1640</v>
      </c>
      <c r="B5" s="3016"/>
      <c r="C5" s="3016"/>
      <c r="D5" s="3017" t="e">
        <f ca="1">结果表!D119</f>
        <v>#DIV/0!</v>
      </c>
      <c r="E5" s="3017"/>
      <c r="F5" s="3017" t="e">
        <f ca="1">结果表!F119</f>
        <v>#DIV/0!</v>
      </c>
      <c r="G5" s="3017"/>
      <c r="H5" s="3017" t="e">
        <f ca="1">结果表!H119</f>
        <v>#DIV/0!</v>
      </c>
      <c r="I5" s="3017"/>
    </row>
    <row r="6" spans="1:9" ht="15.75">
      <c r="A6" s="3018" t="str">
        <f>结果表!A120</f>
        <v>估价师知悉的法定优先受偿款</v>
      </c>
      <c r="B6" s="3018"/>
      <c r="C6" s="3018"/>
      <c r="D6" s="3018">
        <f>结果表!D120</f>
        <v>0</v>
      </c>
      <c r="E6" s="3018"/>
      <c r="F6" s="3018"/>
      <c r="G6" s="3018"/>
      <c r="H6" s="3018"/>
      <c r="I6" s="3018"/>
    </row>
    <row r="7" spans="1:9" ht="15">
      <c r="A7" s="3016" t="s">
        <v>1640</v>
      </c>
      <c r="B7" s="3016"/>
      <c r="C7" s="3016"/>
      <c r="D7" s="3019" t="str">
        <f>结果表!D121</f>
        <v>零元整</v>
      </c>
      <c r="E7" s="3020"/>
      <c r="F7" s="3020"/>
      <c r="G7" s="3020"/>
      <c r="H7" s="3020"/>
      <c r="I7" s="3021"/>
    </row>
    <row r="8" spans="1:9" ht="15.75">
      <c r="A8" s="3018" t="str">
        <f>结果表!A122</f>
        <v>房地产抵押价值</v>
      </c>
      <c r="B8" s="3018"/>
      <c r="C8" s="3018"/>
      <c r="D8" s="3018" t="e">
        <f ca="1">结果表!D122</f>
        <v>#DIV/0!</v>
      </c>
      <c r="E8" s="3018"/>
      <c r="F8" s="3018"/>
      <c r="G8" s="3018"/>
      <c r="H8" s="3018"/>
      <c r="I8" s="3018"/>
    </row>
    <row r="9" spans="1:9" ht="15">
      <c r="A9" s="3016" t="s">
        <v>1640</v>
      </c>
      <c r="B9" s="3016"/>
      <c r="C9" s="3016"/>
      <c r="D9" s="3017" t="e">
        <f ca="1">结果表!D123</f>
        <v>#DIV/0!</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1640</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1640</v>
      </c>
      <c r="B13" s="3022"/>
      <c r="C13" s="3022"/>
      <c r="D13" s="3023" t="e">
        <f>结果表!D127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4"/>
  <sheetViews>
    <sheetView topLeftCell="Z1" workbookViewId="0">
      <selection activeCell="AJ20" sqref="AJ20"/>
    </sheetView>
  </sheetViews>
  <sheetFormatPr defaultRowHeight="13.5"/>
  <cols>
    <col min="2" max="2" width="8.75" customWidth="1"/>
    <col min="3" max="3" width="11.875" customWidth="1"/>
    <col min="12" max="12" width="30" customWidth="1"/>
    <col min="13" max="22" width="3.625" customWidth="1"/>
    <col min="30" max="30" width="11.875" customWidth="1"/>
    <col min="31" max="31" width="0" hidden="1" customWidth="1"/>
    <col min="32" max="32" width="17.25" bestFit="1" customWidth="1"/>
    <col min="38" max="38" width="0" hidden="1" customWidth="1"/>
    <col min="39" max="39" width="29" hidden="1" customWidth="1"/>
  </cols>
  <sheetData>
    <row r="1" spans="1:46" s="1632" customFormat="1">
      <c r="A1" s="1632" t="s">
        <v>3108</v>
      </c>
      <c r="B1" s="1632" t="s">
        <v>3109</v>
      </c>
      <c r="C1" s="1632" t="s">
        <v>3110</v>
      </c>
      <c r="D1" s="1632" t="s">
        <v>3111</v>
      </c>
      <c r="E1" s="1632" t="s">
        <v>3112</v>
      </c>
      <c r="F1" s="1632" t="s">
        <v>3113</v>
      </c>
      <c r="G1" s="1632" t="s">
        <v>3114</v>
      </c>
      <c r="H1" s="1632" t="s">
        <v>3115</v>
      </c>
      <c r="I1" s="1632" t="s">
        <v>3116</v>
      </c>
      <c r="J1" s="1632" t="s">
        <v>3117</v>
      </c>
      <c r="K1" s="1632" t="s">
        <v>3118</v>
      </c>
      <c r="L1" s="1632" t="s">
        <v>3119</v>
      </c>
      <c r="M1" s="1632" t="s">
        <v>3120</v>
      </c>
      <c r="N1" s="1632" t="s">
        <v>3121</v>
      </c>
      <c r="O1" s="1632" t="s">
        <v>3122</v>
      </c>
      <c r="P1" s="1632" t="s">
        <v>3123</v>
      </c>
      <c r="Q1" s="1632" t="s">
        <v>3124</v>
      </c>
      <c r="R1" s="1632" t="s">
        <v>3125</v>
      </c>
      <c r="S1" s="1632" t="s">
        <v>3126</v>
      </c>
      <c r="T1" s="1632" t="s">
        <v>3127</v>
      </c>
      <c r="U1" s="1632" t="s">
        <v>3128</v>
      </c>
      <c r="V1" s="1632" t="s">
        <v>3129</v>
      </c>
      <c r="W1" s="1632" t="s">
        <v>3130</v>
      </c>
      <c r="X1" s="1632" t="s">
        <v>3131</v>
      </c>
      <c r="Y1" s="1632" t="s">
        <v>3132</v>
      </c>
      <c r="Z1" s="1632" t="s">
        <v>3133</v>
      </c>
      <c r="AA1" s="1632" t="s">
        <v>3134</v>
      </c>
      <c r="AB1" s="1632" t="s">
        <v>3135</v>
      </c>
      <c r="AC1" s="1632" t="s">
        <v>3136</v>
      </c>
      <c r="AD1" s="1632" t="s">
        <v>3137</v>
      </c>
      <c r="AE1" s="1632" t="s">
        <v>3138</v>
      </c>
      <c r="AF1" s="1632" t="s">
        <v>3139</v>
      </c>
      <c r="AG1" s="1632" t="s">
        <v>3140</v>
      </c>
      <c r="AH1" s="1632" t="s">
        <v>3141</v>
      </c>
      <c r="AI1" s="1632" t="s">
        <v>3142</v>
      </c>
      <c r="AJ1" s="1632" t="s">
        <v>3143</v>
      </c>
      <c r="AK1" s="2952" t="s">
        <v>3144</v>
      </c>
      <c r="AL1" s="2952" t="s">
        <v>3145</v>
      </c>
      <c r="AM1" s="2952" t="s">
        <v>3146</v>
      </c>
      <c r="AN1" s="2952" t="s">
        <v>3147</v>
      </c>
      <c r="AO1" s="1632" t="s">
        <v>3148</v>
      </c>
      <c r="AP1" s="1632" t="s">
        <v>3149</v>
      </c>
      <c r="AQ1" s="1632" t="s">
        <v>3150</v>
      </c>
      <c r="AR1" s="1632" t="s">
        <v>3151</v>
      </c>
      <c r="AS1" s="1632" t="s">
        <v>3220</v>
      </c>
      <c r="AT1" s="2969" t="s">
        <v>3221</v>
      </c>
    </row>
    <row r="2" spans="1:46" s="2952" customFormat="1">
      <c r="A2" s="2968" t="s">
        <v>3190</v>
      </c>
      <c r="B2" s="2952" t="s">
        <v>3175</v>
      </c>
      <c r="C2" s="2952" t="s">
        <v>3152</v>
      </c>
      <c r="D2" s="2952" t="s">
        <v>3177</v>
      </c>
      <c r="E2" s="2952" t="s">
        <v>1331</v>
      </c>
      <c r="F2" s="2952" t="s">
        <v>3191</v>
      </c>
      <c r="G2" s="2952" t="s">
        <v>3178</v>
      </c>
      <c r="H2" s="2952" t="s">
        <v>3192</v>
      </c>
      <c r="I2" s="2952" t="s">
        <v>3193</v>
      </c>
      <c r="J2" s="2952">
        <v>45352.7</v>
      </c>
      <c r="K2" s="2952">
        <v>90705.4</v>
      </c>
      <c r="L2" s="2952" t="s">
        <v>3194</v>
      </c>
      <c r="M2" s="2952" t="s">
        <v>1331</v>
      </c>
      <c r="N2" s="2952" t="s">
        <v>3195</v>
      </c>
      <c r="O2" s="2952" t="s">
        <v>3196</v>
      </c>
      <c r="P2" s="2952" t="s">
        <v>1331</v>
      </c>
      <c r="Q2" s="2952" t="s">
        <v>1331</v>
      </c>
      <c r="R2" s="2952" t="s">
        <v>1331</v>
      </c>
      <c r="S2" s="2952" t="s">
        <v>1331</v>
      </c>
      <c r="T2" s="2952" t="s">
        <v>1331</v>
      </c>
      <c r="U2" s="2952" t="s">
        <v>1331</v>
      </c>
      <c r="V2" s="2952" t="s">
        <v>1331</v>
      </c>
      <c r="W2" s="2952" t="s">
        <v>3197</v>
      </c>
      <c r="X2" s="2952" t="s">
        <v>3198</v>
      </c>
      <c r="Y2" s="2952" t="s">
        <v>3199</v>
      </c>
      <c r="Z2" s="2952" t="s">
        <v>3199</v>
      </c>
      <c r="AA2" s="2952" t="s">
        <v>3199</v>
      </c>
      <c r="AB2" s="2952" t="s">
        <v>3200</v>
      </c>
      <c r="AC2" s="2952" t="s">
        <v>3154</v>
      </c>
      <c r="AD2" s="2952" t="s">
        <v>3201</v>
      </c>
      <c r="AE2" s="2952">
        <v>14300</v>
      </c>
      <c r="AF2" s="2952">
        <v>23810</v>
      </c>
      <c r="AG2" s="2952">
        <v>24831</v>
      </c>
      <c r="AH2" s="2952">
        <v>350</v>
      </c>
      <c r="AI2" s="2952">
        <v>365.01</v>
      </c>
      <c r="AJ2" s="2952">
        <v>2624.98</v>
      </c>
      <c r="AK2" s="2952">
        <v>2737.53</v>
      </c>
      <c r="AL2" s="2952" t="s">
        <v>1331</v>
      </c>
      <c r="AM2" s="2952" t="s">
        <v>1331</v>
      </c>
      <c r="AN2" s="2952">
        <v>4.29</v>
      </c>
      <c r="AO2" s="2952" t="s">
        <v>3155</v>
      </c>
      <c r="AP2" s="2952" t="s">
        <v>1331</v>
      </c>
      <c r="AQ2" s="2952" t="s">
        <v>1331</v>
      </c>
      <c r="AR2" s="2952" t="s">
        <v>1331</v>
      </c>
      <c r="AS2" s="2952" t="s">
        <v>3202</v>
      </c>
      <c r="AT2" s="2953">
        <f t="shared" ref="AT2:AT4" si="0">AG2/J2*10000</f>
        <v>5475.0874810099513</v>
      </c>
    </row>
    <row r="3" spans="1:46" s="2952" customFormat="1">
      <c r="A3" s="2968" t="s">
        <v>3203</v>
      </c>
      <c r="B3" s="2952" t="s">
        <v>3175</v>
      </c>
      <c r="C3" s="2952" t="s">
        <v>3152</v>
      </c>
      <c r="D3" s="2952" t="s">
        <v>3177</v>
      </c>
      <c r="E3" s="2952" t="s">
        <v>1331</v>
      </c>
      <c r="F3" s="2952" t="s">
        <v>3204</v>
      </c>
      <c r="G3" s="2952" t="s">
        <v>3178</v>
      </c>
      <c r="H3" s="2952" t="s">
        <v>3205</v>
      </c>
      <c r="I3" s="2952" t="s">
        <v>3193</v>
      </c>
      <c r="J3" s="2952">
        <v>60420</v>
      </c>
      <c r="K3" s="2952">
        <v>108756</v>
      </c>
      <c r="L3" s="2952" t="s">
        <v>3206</v>
      </c>
      <c r="M3" s="2952" t="s">
        <v>1331</v>
      </c>
      <c r="N3" s="2952" t="s">
        <v>3207</v>
      </c>
      <c r="O3" s="2952" t="s">
        <v>3196</v>
      </c>
      <c r="P3" s="2952" t="s">
        <v>1331</v>
      </c>
      <c r="Q3" s="2952" t="s">
        <v>1331</v>
      </c>
      <c r="R3" s="2952" t="s">
        <v>1331</v>
      </c>
      <c r="S3" s="2952" t="s">
        <v>1331</v>
      </c>
      <c r="T3" s="2952" t="s">
        <v>1331</v>
      </c>
      <c r="U3" s="2952" t="s">
        <v>1331</v>
      </c>
      <c r="V3" s="2952" t="s">
        <v>1331</v>
      </c>
      <c r="W3" s="2952" t="s">
        <v>3153</v>
      </c>
      <c r="X3" s="2952" t="s">
        <v>3208</v>
      </c>
      <c r="Y3" s="2952" t="s">
        <v>3209</v>
      </c>
      <c r="Z3" s="2952" t="s">
        <v>3209</v>
      </c>
      <c r="AA3" s="2952" t="s">
        <v>3209</v>
      </c>
      <c r="AB3" s="2952" t="s">
        <v>3210</v>
      </c>
      <c r="AC3" s="2952" t="s">
        <v>3154</v>
      </c>
      <c r="AD3" s="2952" t="s">
        <v>3211</v>
      </c>
      <c r="AE3" s="2952">
        <v>9000</v>
      </c>
      <c r="AF3" s="2952">
        <v>19033</v>
      </c>
      <c r="AG3" s="2952">
        <v>26150</v>
      </c>
      <c r="AH3" s="2952">
        <v>210.01</v>
      </c>
      <c r="AI3" s="2952">
        <v>288.54000000000002</v>
      </c>
      <c r="AJ3" s="2952">
        <v>1750.06</v>
      </c>
      <c r="AK3" s="2952">
        <v>2404.46</v>
      </c>
      <c r="AL3" s="2952" t="s">
        <v>1331</v>
      </c>
      <c r="AM3" s="2952" t="s">
        <v>1331</v>
      </c>
      <c r="AN3" s="2952">
        <v>37.39</v>
      </c>
      <c r="AO3" s="2952" t="s">
        <v>3155</v>
      </c>
      <c r="AP3" s="2952" t="s">
        <v>1331</v>
      </c>
      <c r="AQ3" s="2952" t="s">
        <v>1331</v>
      </c>
      <c r="AR3" s="2952" t="s">
        <v>1331</v>
      </c>
      <c r="AS3" s="2952" t="s">
        <v>3202</v>
      </c>
      <c r="AT3" s="2953">
        <f t="shared" si="0"/>
        <v>4328.0370738166166</v>
      </c>
    </row>
    <row r="4" spans="1:46" s="2952" customFormat="1">
      <c r="A4" s="2968" t="s">
        <v>3212</v>
      </c>
      <c r="B4" s="2952" t="s">
        <v>3175</v>
      </c>
      <c r="C4" s="2952" t="s">
        <v>3152</v>
      </c>
      <c r="D4" s="2952" t="s">
        <v>3177</v>
      </c>
      <c r="E4" s="2952" t="s">
        <v>1331</v>
      </c>
      <c r="F4" s="2952" t="s">
        <v>3213</v>
      </c>
      <c r="G4" s="2952" t="s">
        <v>3178</v>
      </c>
      <c r="H4" s="2952" t="s">
        <v>3214</v>
      </c>
      <c r="I4" s="2952" t="s">
        <v>3193</v>
      </c>
      <c r="J4" s="2952">
        <v>53565.9</v>
      </c>
      <c r="K4" s="2952">
        <v>117844.98</v>
      </c>
      <c r="L4" s="2952" t="s">
        <v>3215</v>
      </c>
      <c r="M4" s="2952" t="s">
        <v>1331</v>
      </c>
      <c r="N4" s="2952" t="s">
        <v>3216</v>
      </c>
      <c r="O4" s="2952" t="s">
        <v>3196</v>
      </c>
      <c r="P4" s="2952" t="s">
        <v>1331</v>
      </c>
      <c r="Q4" s="2952" t="s">
        <v>1331</v>
      </c>
      <c r="R4" s="2952" t="s">
        <v>1331</v>
      </c>
      <c r="S4" s="2952" t="s">
        <v>1331</v>
      </c>
      <c r="T4" s="2952" t="s">
        <v>1331</v>
      </c>
      <c r="U4" s="2952" t="s">
        <v>1331</v>
      </c>
      <c r="V4" s="2952" t="s">
        <v>1331</v>
      </c>
      <c r="W4" s="2952" t="s">
        <v>3153</v>
      </c>
      <c r="X4" s="2952" t="s">
        <v>3217</v>
      </c>
      <c r="Y4" s="2952" t="s">
        <v>3218</v>
      </c>
      <c r="Z4" s="2952" t="s">
        <v>3218</v>
      </c>
      <c r="AA4" s="2952" t="s">
        <v>3218</v>
      </c>
      <c r="AB4" s="2952" t="s">
        <v>3219</v>
      </c>
      <c r="AC4" s="2952" t="s">
        <v>3154</v>
      </c>
      <c r="AD4" s="2952" t="s">
        <v>3211</v>
      </c>
      <c r="AE4" s="2952">
        <v>8800</v>
      </c>
      <c r="AF4" s="2952">
        <v>17676.740000000002</v>
      </c>
      <c r="AG4" s="2952">
        <v>25000</v>
      </c>
      <c r="AH4" s="2952">
        <v>220</v>
      </c>
      <c r="AI4" s="2952">
        <v>311.14</v>
      </c>
      <c r="AJ4" s="2952">
        <v>1499.99</v>
      </c>
      <c r="AK4" s="2952">
        <v>2121.42</v>
      </c>
      <c r="AL4" s="2952" t="s">
        <v>1331</v>
      </c>
      <c r="AM4" s="2952" t="s">
        <v>1331</v>
      </c>
      <c r="AN4" s="2952">
        <v>41.43</v>
      </c>
      <c r="AO4" s="2952" t="s">
        <v>3155</v>
      </c>
      <c r="AP4" s="2952" t="s">
        <v>1331</v>
      </c>
      <c r="AQ4" s="2952" t="s">
        <v>1331</v>
      </c>
      <c r="AR4" s="2952" t="s">
        <v>1331</v>
      </c>
      <c r="AS4" s="2952" t="s">
        <v>3202</v>
      </c>
      <c r="AT4" s="2953">
        <f t="shared" si="0"/>
        <v>4667.1483163729163</v>
      </c>
    </row>
    <row r="5" spans="1:46" s="2953" customFormat="1">
      <c r="A5" s="2953" t="s">
        <v>3174</v>
      </c>
      <c r="B5" s="2953" t="s">
        <v>3175</v>
      </c>
      <c r="C5" s="2953" t="s">
        <v>3176</v>
      </c>
      <c r="D5" s="2953" t="s">
        <v>3177</v>
      </c>
      <c r="E5" s="2953" t="s">
        <v>1331</v>
      </c>
      <c r="F5" s="2953" t="s">
        <v>3174</v>
      </c>
      <c r="G5" s="2953" t="s">
        <v>3178</v>
      </c>
      <c r="H5" s="2953" t="s">
        <v>3179</v>
      </c>
      <c r="I5" s="2953" t="s">
        <v>3180</v>
      </c>
      <c r="J5" s="2953">
        <v>66875.039999999994</v>
      </c>
      <c r="K5" s="2953">
        <v>153812.6</v>
      </c>
      <c r="L5" s="2953" t="s">
        <v>3181</v>
      </c>
      <c r="M5" s="2953" t="s">
        <v>1331</v>
      </c>
      <c r="N5" s="2953" t="s">
        <v>3182</v>
      </c>
      <c r="O5" s="2953" t="s">
        <v>3183</v>
      </c>
      <c r="P5" s="2953" t="s">
        <v>1331</v>
      </c>
      <c r="Q5" s="2953" t="s">
        <v>1331</v>
      </c>
      <c r="R5" s="2953" t="s">
        <v>1331</v>
      </c>
      <c r="S5" s="2953" t="s">
        <v>1331</v>
      </c>
      <c r="T5" s="2953" t="s">
        <v>1331</v>
      </c>
      <c r="U5" s="2953" t="s">
        <v>1331</v>
      </c>
      <c r="V5" s="2953" t="s">
        <v>1331</v>
      </c>
      <c r="W5" s="2953" t="s">
        <v>3153</v>
      </c>
      <c r="X5" s="2953" t="s">
        <v>3184</v>
      </c>
      <c r="Y5" s="2953" t="s">
        <v>3185</v>
      </c>
      <c r="Z5" s="2953" t="s">
        <v>3185</v>
      </c>
      <c r="AA5" s="2953" t="s">
        <v>3185</v>
      </c>
      <c r="AB5" s="2953" t="s">
        <v>3186</v>
      </c>
      <c r="AC5" s="2953" t="s">
        <v>3154</v>
      </c>
      <c r="AD5" s="2953" t="s">
        <v>3187</v>
      </c>
      <c r="AE5" s="2953">
        <v>11500</v>
      </c>
      <c r="AF5" s="2953">
        <v>22571</v>
      </c>
      <c r="AG5" s="2953">
        <v>52500</v>
      </c>
      <c r="AH5" s="2953">
        <v>225.01</v>
      </c>
      <c r="AI5" s="2953">
        <v>523.36</v>
      </c>
      <c r="AJ5" s="2953">
        <v>1467.43</v>
      </c>
      <c r="AK5" s="2953">
        <v>3413.23</v>
      </c>
      <c r="AL5" s="2953" t="s">
        <v>1331</v>
      </c>
      <c r="AM5" s="2953" t="s">
        <v>1331</v>
      </c>
      <c r="AN5" s="2953">
        <v>132.6</v>
      </c>
      <c r="AO5" s="2953" t="s">
        <v>3188</v>
      </c>
      <c r="AP5" s="2953" t="s">
        <v>1331</v>
      </c>
      <c r="AQ5" s="2953" t="s">
        <v>1331</v>
      </c>
      <c r="AR5" s="2953" t="s">
        <v>1331</v>
      </c>
      <c r="AS5" s="2953" t="s">
        <v>3189</v>
      </c>
      <c r="AT5" s="2953">
        <f>AG5/J5*10000</f>
        <v>7850.462594115832</v>
      </c>
    </row>
    <row r="9" spans="1:46" ht="12.75" customHeight="1" thickBot="1">
      <c r="AB9" s="3000" t="s">
        <v>3282</v>
      </c>
      <c r="AC9" s="3000"/>
      <c r="AD9" s="3000" t="s">
        <v>3283</v>
      </c>
      <c r="AE9" s="3001" t="s">
        <v>3284</v>
      </c>
      <c r="AF9" s="3001" t="s">
        <v>3285</v>
      </c>
    </row>
    <row r="10" spans="1:46" ht="12.75" customHeight="1" thickBot="1">
      <c r="B10" s="2970" t="s">
        <v>3222</v>
      </c>
      <c r="C10" s="3334" t="s">
        <v>3223</v>
      </c>
      <c r="D10" s="3335"/>
      <c r="AB10" s="3000" t="s">
        <v>27</v>
      </c>
      <c r="AC10" s="3000" t="s">
        <v>3239</v>
      </c>
      <c r="AD10" s="3000">
        <v>511.82999999999993</v>
      </c>
      <c r="AE10" s="3000">
        <f ca="1">典型户型修正!R26</f>
        <v>41189</v>
      </c>
      <c r="AF10" s="3000">
        <f ca="1">ROUND(AD10*AE10/10000,0)</f>
        <v>2108</v>
      </c>
    </row>
    <row r="11" spans="1:46" ht="12.75" customHeight="1" thickBot="1">
      <c r="B11" s="3336" t="s">
        <v>3224</v>
      </c>
      <c r="C11" s="2971" t="s">
        <v>3225</v>
      </c>
      <c r="D11" s="2971">
        <v>9366.7900000000009</v>
      </c>
      <c r="AB11" s="3000" t="s">
        <v>27</v>
      </c>
      <c r="AC11" s="3000" t="s">
        <v>3240</v>
      </c>
      <c r="AD11" s="3000">
        <v>936.87999999999988</v>
      </c>
      <c r="AE11" s="3000">
        <f ca="1">AE10</f>
        <v>41189</v>
      </c>
      <c r="AF11" s="3000">
        <f t="shared" ref="AF11:AF23" ca="1" si="1">ROUND(AD11*AE11/10000,0)</f>
        <v>3859</v>
      </c>
    </row>
    <row r="12" spans="1:46" ht="12.75" customHeight="1" thickBot="1">
      <c r="B12" s="3337"/>
      <c r="C12" s="2971" t="s">
        <v>3069</v>
      </c>
      <c r="D12" s="2971">
        <v>56682.17</v>
      </c>
      <c r="AB12" s="3000" t="s">
        <v>27</v>
      </c>
      <c r="AC12" s="3000" t="s">
        <v>3241</v>
      </c>
      <c r="AD12" s="3000">
        <v>1620.9599999999998</v>
      </c>
      <c r="AE12" s="3000">
        <f ca="1">AE11</f>
        <v>41189</v>
      </c>
      <c r="AF12" s="3000">
        <f t="shared" ca="1" si="1"/>
        <v>6677</v>
      </c>
    </row>
    <row r="13" spans="1:46" ht="12.75" customHeight="1" thickBot="1">
      <c r="B13" s="3337"/>
      <c r="C13" s="2971" t="s">
        <v>1377</v>
      </c>
      <c r="D13" s="2971">
        <v>961.72</v>
      </c>
      <c r="AB13" s="3000" t="s">
        <v>27</v>
      </c>
      <c r="AC13" s="3000" t="s">
        <v>3242</v>
      </c>
      <c r="AD13" s="3000">
        <v>1620.9599999999998</v>
      </c>
      <c r="AE13" s="3000">
        <f ca="1">AE12</f>
        <v>41189</v>
      </c>
      <c r="AF13" s="3000">
        <f t="shared" ca="1" si="1"/>
        <v>6677</v>
      </c>
    </row>
    <row r="14" spans="1:46" ht="12.75" customHeight="1" thickBot="1">
      <c r="B14" s="3337"/>
      <c r="C14" s="2971" t="s">
        <v>3226</v>
      </c>
      <c r="D14" s="2971">
        <v>265.23</v>
      </c>
      <c r="AB14" s="3000" t="s">
        <v>27</v>
      </c>
      <c r="AC14" s="3000" t="s">
        <v>3243</v>
      </c>
      <c r="AD14" s="3000">
        <v>1620.9599999999998</v>
      </c>
      <c r="AE14" s="3000">
        <f ca="1">典型户型修正!R25</f>
        <v>42047</v>
      </c>
      <c r="AF14" s="3000">
        <f t="shared" ca="1" si="1"/>
        <v>6816</v>
      </c>
    </row>
    <row r="15" spans="1:46" ht="12.75" customHeight="1" thickBot="1">
      <c r="B15" s="3337"/>
      <c r="C15" s="2971" t="s">
        <v>3227</v>
      </c>
      <c r="D15" s="2971">
        <v>133.35</v>
      </c>
      <c r="J15" s="2966"/>
      <c r="L15" s="2967"/>
      <c r="AB15" s="3000" t="s">
        <v>27</v>
      </c>
      <c r="AC15" s="3000" t="s">
        <v>3244</v>
      </c>
      <c r="AD15" s="3000">
        <v>1620.9599999999998</v>
      </c>
      <c r="AE15" s="3000">
        <f ca="1">AE14</f>
        <v>42047</v>
      </c>
      <c r="AF15" s="3000">
        <f t="shared" ca="1" si="1"/>
        <v>6816</v>
      </c>
    </row>
    <row r="16" spans="1:46" ht="12.75" customHeight="1" thickBot="1">
      <c r="B16" s="3338"/>
      <c r="C16" s="2971" t="s">
        <v>3228</v>
      </c>
      <c r="D16" s="2971">
        <v>272.18</v>
      </c>
      <c r="J16" s="2966"/>
      <c r="L16" s="2967"/>
      <c r="AB16" s="3000" t="s">
        <v>27</v>
      </c>
      <c r="AC16" s="3000" t="s">
        <v>3245</v>
      </c>
      <c r="AD16" s="3000">
        <v>1620.9599999999998</v>
      </c>
      <c r="AE16" s="3000">
        <f ca="1">AE15</f>
        <v>42047</v>
      </c>
      <c r="AF16" s="3000">
        <f t="shared" ca="1" si="1"/>
        <v>6816</v>
      </c>
    </row>
    <row r="17" spans="2:32" ht="12.75" customHeight="1" thickBot="1">
      <c r="B17" s="3339" t="s">
        <v>3229</v>
      </c>
      <c r="C17" s="2971" t="s">
        <v>3230</v>
      </c>
      <c r="D17" s="2971">
        <v>1004.63</v>
      </c>
      <c r="J17" s="2966"/>
      <c r="L17" s="2967"/>
      <c r="AB17" s="3000" t="s">
        <v>27</v>
      </c>
      <c r="AC17" s="3000" t="s">
        <v>3246</v>
      </c>
      <c r="AD17" s="3000">
        <v>1532.1299999999997</v>
      </c>
      <c r="AE17" s="3000">
        <f ca="1">AE16</f>
        <v>42047</v>
      </c>
      <c r="AF17" s="3000">
        <f t="shared" ca="1" si="1"/>
        <v>6442</v>
      </c>
    </row>
    <row r="18" spans="2:32" ht="12.75" customHeight="1" thickBot="1">
      <c r="B18" s="3340"/>
      <c r="C18" s="2971" t="s">
        <v>3231</v>
      </c>
      <c r="D18" s="2971">
        <v>19741.72</v>
      </c>
      <c r="J18" s="2966"/>
      <c r="L18" s="2967"/>
      <c r="AB18" s="3000" t="s">
        <v>27</v>
      </c>
      <c r="AC18" s="3000" t="s">
        <v>3247</v>
      </c>
      <c r="AD18" s="3000">
        <v>1532.29</v>
      </c>
      <c r="AE18" s="3000">
        <f ca="1">典型户型修正!R24</f>
        <v>42905</v>
      </c>
      <c r="AF18" s="3000">
        <f t="shared" ca="1" si="1"/>
        <v>6574</v>
      </c>
    </row>
    <row r="19" spans="2:32" ht="12.75" customHeight="1">
      <c r="AB19" s="3000" t="s">
        <v>27</v>
      </c>
      <c r="AC19" s="3000" t="s">
        <v>3248</v>
      </c>
      <c r="AD19" s="3000">
        <v>1532.29</v>
      </c>
      <c r="AE19" s="3000">
        <f ca="1">AE18</f>
        <v>42905</v>
      </c>
      <c r="AF19" s="3000">
        <f t="shared" ca="1" si="1"/>
        <v>6574</v>
      </c>
    </row>
    <row r="20" spans="2:32" ht="12.75" customHeight="1">
      <c r="AB20" s="3000" t="s">
        <v>27</v>
      </c>
      <c r="AC20" s="3000" t="s">
        <v>3249</v>
      </c>
      <c r="AD20" s="3000">
        <v>1532.29</v>
      </c>
      <c r="AE20" s="3000">
        <f ca="1">AE19</f>
        <v>42905</v>
      </c>
      <c r="AF20" s="3000">
        <f t="shared" ca="1" si="1"/>
        <v>6574</v>
      </c>
    </row>
    <row r="21" spans="2:32" ht="12.75" customHeight="1">
      <c r="AB21" s="3000" t="s">
        <v>27</v>
      </c>
      <c r="AC21" s="3000" t="s">
        <v>3250</v>
      </c>
      <c r="AD21" s="3000">
        <v>1434.4800000000002</v>
      </c>
      <c r="AE21" s="3000">
        <f ca="1">AE20</f>
        <v>42905</v>
      </c>
      <c r="AF21" s="3000">
        <f t="shared" ca="1" si="1"/>
        <v>6155</v>
      </c>
    </row>
    <row r="22" spans="2:32" ht="12.75" customHeight="1">
      <c r="AB22" s="3000" t="s">
        <v>1377</v>
      </c>
      <c r="AC22" s="3000" t="s">
        <v>3251</v>
      </c>
      <c r="AD22" s="3000">
        <v>2017.1399999999996</v>
      </c>
      <c r="AE22" s="3002">
        <f>22128*0.95</f>
        <v>21021.599999999999</v>
      </c>
      <c r="AF22" s="3000">
        <f t="shared" si="1"/>
        <v>4240</v>
      </c>
    </row>
    <row r="23" spans="2:32" ht="12.75" customHeight="1">
      <c r="AB23" s="3000" t="s">
        <v>3252</v>
      </c>
      <c r="AC23" s="3000" t="s">
        <v>3251</v>
      </c>
      <c r="AD23" s="3000">
        <v>3184.2</v>
      </c>
      <c r="AE23" s="3000">
        <f ca="1">结果表车!G20</f>
        <v>7504</v>
      </c>
      <c r="AF23" s="3000">
        <f t="shared" ca="1" si="1"/>
        <v>2389</v>
      </c>
    </row>
    <row r="24" spans="2:32" ht="12.75" customHeight="1">
      <c r="AB24" s="3000"/>
      <c r="AC24" s="3000"/>
      <c r="AD24" s="3000">
        <v>22318.329999999998</v>
      </c>
      <c r="AE24" s="3000"/>
      <c r="AF24" s="3000">
        <f ca="1">SUM(AF10:AF23)</f>
        <v>78717</v>
      </c>
    </row>
  </sheetData>
  <mergeCells count="3">
    <mergeCell ref="C10:D10"/>
    <mergeCell ref="B11:B16"/>
    <mergeCell ref="B17:B18"/>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25" t="s">
        <v>1662</v>
      </c>
      <c r="B1" s="3025"/>
      <c r="C1" s="3025"/>
      <c r="D1" s="3025"/>
    </row>
    <row r="2" spans="1:4" ht="18">
      <c r="A2" s="3026" t="s">
        <v>1646</v>
      </c>
      <c r="B2" s="3026"/>
      <c r="C2" s="3026"/>
      <c r="D2" s="3026"/>
    </row>
    <row r="3" spans="1:4" ht="18.75">
      <c r="A3" s="1974" t="s">
        <v>1647</v>
      </c>
      <c r="B3" s="1974" t="s">
        <v>1648</v>
      </c>
      <c r="C3" s="1974" t="s">
        <v>1649</v>
      </c>
      <c r="D3" s="1974" t="s">
        <v>1650</v>
      </c>
    </row>
    <row r="4" spans="1:4" ht="56.25" customHeight="1">
      <c r="A4" s="1975" t="str">
        <f>项目基本情况!B4</f>
        <v>吴薇</v>
      </c>
      <c r="B4" s="1976">
        <f ca="1">项目基本情况!C4</f>
        <v>1419970001</v>
      </c>
      <c r="C4" s="1977"/>
      <c r="D4" s="1978" t="s">
        <v>1651</v>
      </c>
    </row>
    <row r="5" spans="1:4" ht="56.25" customHeight="1">
      <c r="A5" s="1975" t="str">
        <f>项目基本情况!D4</f>
        <v>崔锴</v>
      </c>
      <c r="B5" s="1976">
        <f ca="1">项目基本情况!E4</f>
        <v>1120100036</v>
      </c>
      <c r="C5" s="1979"/>
      <c r="D5" s="1978" t="s">
        <v>1651</v>
      </c>
    </row>
    <row r="6" spans="1:4" ht="18">
      <c r="A6" s="3026" t="s">
        <v>1652</v>
      </c>
      <c r="B6" s="3026"/>
      <c r="C6" s="3026"/>
      <c r="D6" s="3026"/>
    </row>
    <row r="7" spans="1:4" ht="18.75">
      <c r="A7" s="1974" t="s">
        <v>1647</v>
      </c>
      <c r="B7" s="1976" t="s">
        <v>1653</v>
      </c>
      <c r="C7" s="1974" t="s">
        <v>1649</v>
      </c>
      <c r="D7" s="1974" t="s">
        <v>1650</v>
      </c>
    </row>
    <row r="8" spans="1:4" ht="56.25" customHeight="1">
      <c r="A8" s="1980" t="s">
        <v>869</v>
      </c>
      <c r="B8" s="1980" t="s">
        <v>1</v>
      </c>
      <c r="C8" s="1977"/>
      <c r="D8" s="1978" t="s">
        <v>1651</v>
      </c>
    </row>
    <row r="9" spans="1:4">
      <c r="A9" s="727"/>
      <c r="B9" s="727"/>
      <c r="C9" s="727"/>
      <c r="D9" s="727"/>
    </row>
    <row r="10" spans="1:4" ht="18.75">
      <c r="A10" s="1981" t="s">
        <v>1654</v>
      </c>
      <c r="B10" s="727"/>
      <c r="C10" s="727"/>
      <c r="D10" s="727"/>
    </row>
    <row r="11" spans="1:4" ht="30" customHeight="1">
      <c r="A11" s="3027"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1656</v>
      </c>
      <c r="B16" s="3031"/>
      <c r="C16" s="3031"/>
      <c r="D16" s="3031"/>
    </row>
    <row r="17" spans="1:4" ht="144" customHeight="1">
      <c r="A17" s="3031" t="s">
        <v>1657</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1658</v>
      </c>
      <c r="B22" s="3033"/>
      <c r="C22" s="3033"/>
      <c r="D22" s="3033"/>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39" t="s">
        <v>1669</v>
      </c>
      <c r="B15" s="3034" t="s">
        <v>136</v>
      </c>
      <c r="C15" s="3035"/>
    </row>
    <row r="16" spans="1:7" ht="13.5">
      <c r="A16" s="3040"/>
      <c r="B16" s="3034" t="s">
        <v>69</v>
      </c>
      <c r="C16" s="3035"/>
    </row>
    <row r="17" spans="1:3" ht="13.5">
      <c r="A17" s="3040"/>
      <c r="B17" s="3037" t="s">
        <v>1670</v>
      </c>
      <c r="C17" s="1997" t="s">
        <v>1669</v>
      </c>
    </row>
    <row r="18" spans="1:3" ht="13.5">
      <c r="A18" s="3040"/>
      <c r="B18" s="3037"/>
      <c r="C18" s="1997" t="s">
        <v>1671</v>
      </c>
    </row>
    <row r="19" spans="1:3" ht="13.5">
      <c r="A19" s="3040"/>
      <c r="B19" s="3037"/>
      <c r="C19" s="1997" t="s">
        <v>1672</v>
      </c>
    </row>
    <row r="20" spans="1:3" ht="13.5">
      <c r="A20" s="3041"/>
      <c r="B20" s="3036" t="s">
        <v>1673</v>
      </c>
      <c r="C20" s="3035"/>
    </row>
    <row r="21" spans="1:3" ht="13.5">
      <c r="A21" s="1998" t="s">
        <v>1674</v>
      </c>
      <c r="B21" s="1999"/>
      <c r="C21" s="2000"/>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1997" t="s">
        <v>1680</v>
      </c>
    </row>
    <row r="26" spans="1:3" ht="13.5">
      <c r="A26" s="3038"/>
      <c r="B26" s="3037"/>
      <c r="C26" s="1997" t="s">
        <v>1681</v>
      </c>
    </row>
    <row r="27" spans="1:3" ht="13.5">
      <c r="A27" s="3038"/>
      <c r="B27" s="3037"/>
      <c r="C27" s="1997" t="s">
        <v>1682</v>
      </c>
    </row>
    <row r="28" spans="1:3" ht="13.5">
      <c r="A28" s="3038"/>
      <c r="B28" s="3037"/>
      <c r="C28" s="1997" t="s">
        <v>1683</v>
      </c>
    </row>
    <row r="29" spans="1:3" ht="13.5">
      <c r="A29" s="3038"/>
      <c r="B29" s="3037"/>
      <c r="C29" s="1997" t="s">
        <v>1684</v>
      </c>
    </row>
    <row r="30" spans="1:3" ht="13.5">
      <c r="A30" s="3038"/>
      <c r="B30" s="3037"/>
      <c r="C30" s="1997" t="s">
        <v>1685</v>
      </c>
    </row>
    <row r="31" spans="1:3" ht="13.5">
      <c r="A31" s="3038"/>
      <c r="B31" s="3037"/>
      <c r="C31" s="1997" t="s">
        <v>1686</v>
      </c>
    </row>
    <row r="32" spans="1:3" ht="13.5">
      <c r="A32" s="3038"/>
      <c r="B32" s="3037"/>
      <c r="C32" s="1997" t="s">
        <v>1687</v>
      </c>
    </row>
    <row r="33" spans="1:3" ht="13.5">
      <c r="A33" s="3038"/>
      <c r="B33" s="3037"/>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43542</v>
      </c>
      <c r="C2" s="1017" t="s">
        <v>826</v>
      </c>
      <c r="D2" s="1017"/>
    </row>
    <row r="3" spans="1:6" ht="24" customHeight="1">
      <c r="A3" s="1018" t="s">
        <v>827</v>
      </c>
      <c r="B3" s="1019" t="s">
        <v>828</v>
      </c>
      <c r="C3" s="2339" t="s">
        <v>829</v>
      </c>
      <c r="D3" s="2342" t="s">
        <v>830</v>
      </c>
      <c r="E3" s="1020" t="s">
        <v>831</v>
      </c>
      <c r="F3" s="1019" t="s">
        <v>829</v>
      </c>
    </row>
    <row r="4" spans="1:6" ht="24" customHeight="1">
      <c r="A4" s="1699" t="s">
        <v>832</v>
      </c>
      <c r="B4" s="1020">
        <f ca="1">IF(C4&lt;B2,"已过期",1119970066)</f>
        <v>1119970066</v>
      </c>
      <c r="C4" s="2340">
        <v>43849</v>
      </c>
      <c r="D4" s="2343" t="s">
        <v>832</v>
      </c>
      <c r="E4" s="1020">
        <f ca="1">IF(F4&lt;B2,"已过期",96010014)</f>
        <v>96010014</v>
      </c>
      <c r="F4" s="1028">
        <v>47118</v>
      </c>
    </row>
    <row r="5" spans="1:6" ht="24" customHeight="1">
      <c r="A5" s="1699" t="s">
        <v>833</v>
      </c>
      <c r="B5" s="1020">
        <f ca="1">IF(C5&lt;B2,"已过期",1119970074)</f>
        <v>1119970074</v>
      </c>
      <c r="C5" s="2340">
        <v>43849</v>
      </c>
      <c r="D5" s="2343" t="s">
        <v>833</v>
      </c>
      <c r="E5" s="1020">
        <f ca="1">IF(F5&lt;B2,"已过期",2002110027)</f>
        <v>2002110027</v>
      </c>
      <c r="F5" s="1028">
        <v>46752</v>
      </c>
    </row>
    <row r="6" spans="1:6" ht="24" customHeight="1">
      <c r="A6" s="1699" t="s">
        <v>834</v>
      </c>
      <c r="B6" s="1020">
        <f ca="1">IF(C6&lt;B2,"已过期",1119970111)</f>
        <v>1119970111</v>
      </c>
      <c r="C6" s="2340">
        <v>43849</v>
      </c>
      <c r="D6" s="2343" t="s">
        <v>834</v>
      </c>
      <c r="E6" s="1020">
        <f ca="1">IF(F6&lt;B2,"已过期",94010078)</f>
        <v>94010078</v>
      </c>
      <c r="F6" s="1028">
        <v>46387</v>
      </c>
    </row>
    <row r="7" spans="1:6" ht="24" customHeight="1">
      <c r="A7" s="1699" t="s">
        <v>835</v>
      </c>
      <c r="B7" s="1020">
        <f ca="1">IF(C7&lt;B2,"已过期",1120050019)</f>
        <v>1120050019</v>
      </c>
      <c r="C7" s="2340">
        <v>44395</v>
      </c>
      <c r="D7" s="2343" t="s">
        <v>835</v>
      </c>
      <c r="E7" s="1020">
        <f ca="1">IF(F7&lt;B2,"已过期",2002110030)</f>
        <v>2002110030</v>
      </c>
      <c r="F7" s="1028">
        <v>46387</v>
      </c>
    </row>
    <row r="8" spans="1:6" ht="24" customHeight="1">
      <c r="A8" s="1699" t="s">
        <v>836</v>
      </c>
      <c r="B8" s="1020">
        <f ca="1">IF(C8&lt;B2,"已过期",1120000080)</f>
        <v>1120000080</v>
      </c>
      <c r="C8" s="2340">
        <v>43849</v>
      </c>
      <c r="D8" s="2343" t="s">
        <v>836</v>
      </c>
      <c r="E8" s="1020">
        <f ca="1">IF(F8&lt;B2,"已过期",2000110082)</f>
        <v>2000110082</v>
      </c>
      <c r="F8" s="1028">
        <v>46387</v>
      </c>
    </row>
    <row r="9" spans="1:6" ht="24" customHeight="1">
      <c r="A9" s="1699" t="s">
        <v>837</v>
      </c>
      <c r="B9" s="1020">
        <f ca="1">IF(C9&lt;B2,"已过期",1419970001)</f>
        <v>1419970001</v>
      </c>
      <c r="C9" s="2340">
        <v>43867</v>
      </c>
      <c r="D9" s="2343" t="s">
        <v>837</v>
      </c>
      <c r="E9" s="1020">
        <f ca="1">IF(F9&lt;B2,"已过期",2002110125)</f>
        <v>2002110125</v>
      </c>
      <c r="F9" s="1028">
        <v>47118</v>
      </c>
    </row>
    <row r="10" spans="1:6" ht="24" customHeight="1">
      <c r="A10" s="1699" t="s">
        <v>838</v>
      </c>
      <c r="B10" s="1020" t="str">
        <f ca="1">IF(C10&lt;B2,"已过期",1120060040)</f>
        <v>已过期</v>
      </c>
      <c r="C10" s="2340">
        <v>43483</v>
      </c>
      <c r="D10" s="2343" t="s">
        <v>838</v>
      </c>
      <c r="E10" s="1020">
        <f ca="1">IF(F10&lt;B2,"已过期",2004110096)</f>
        <v>2004110096</v>
      </c>
      <c r="F10" s="1028">
        <v>47118</v>
      </c>
    </row>
    <row r="11" spans="1:6" ht="24" customHeight="1">
      <c r="A11" s="1699" t="s">
        <v>839</v>
      </c>
      <c r="B11" s="1020">
        <f ca="1">IF(C11&lt;B2,"已过期",1120100036)</f>
        <v>1120100036</v>
      </c>
      <c r="C11" s="2340">
        <v>43622</v>
      </c>
      <c r="D11" s="2343" t="s">
        <v>839</v>
      </c>
      <c r="E11" s="1020">
        <f ca="1">IF(F11&lt;B2,"已过期",2010110070)</f>
        <v>2010110070</v>
      </c>
      <c r="F11" s="1028">
        <v>47907</v>
      </c>
    </row>
    <row r="12" spans="1:6" ht="24" customHeight="1">
      <c r="A12" s="1699" t="s">
        <v>3042</v>
      </c>
      <c r="B12" s="1020">
        <v>1120110054</v>
      </c>
      <c r="C12" s="2935">
        <v>43937</v>
      </c>
      <c r="D12" s="1699" t="s">
        <v>3042</v>
      </c>
      <c r="E12" s="1020">
        <v>2008110060</v>
      </c>
      <c r="F12" s="1028">
        <v>47177</v>
      </c>
    </row>
    <row r="13" spans="1:6" ht="24" customHeight="1">
      <c r="A13" s="1699" t="s">
        <v>840</v>
      </c>
      <c r="B13" s="1020">
        <f ca="1">IF(C13&lt;B2,"已过期",1120070131)</f>
        <v>1120070131</v>
      </c>
      <c r="C13" s="2340">
        <v>43814</v>
      </c>
      <c r="D13" s="2343" t="s">
        <v>840</v>
      </c>
      <c r="E13" s="1020">
        <v>2014110011</v>
      </c>
      <c r="F13" s="1028">
        <v>49302</v>
      </c>
    </row>
    <row r="14" spans="1:6" ht="24" customHeight="1">
      <c r="A14" s="1699" t="s">
        <v>841</v>
      </c>
      <c r="B14" s="1020">
        <f ca="1">IF(C14&lt;B2,"已过期",1120130020)</f>
        <v>1120130020</v>
      </c>
      <c r="C14" s="2340">
        <v>43622</v>
      </c>
      <c r="D14" s="2343"/>
      <c r="E14" s="1020"/>
      <c r="F14" s="1020"/>
    </row>
    <row r="15" spans="1:6" ht="24" customHeight="1">
      <c r="A15" s="1700" t="s">
        <v>1149</v>
      </c>
      <c r="B15" s="1020">
        <v>1120070085</v>
      </c>
      <c r="C15" s="2340">
        <v>43814</v>
      </c>
      <c r="D15" s="2344" t="s">
        <v>1149</v>
      </c>
      <c r="E15" s="1020">
        <v>2004110128</v>
      </c>
      <c r="F15" s="1021">
        <v>47118</v>
      </c>
    </row>
    <row r="16" spans="1:6" ht="24" customHeight="1">
      <c r="A16" s="1699" t="s">
        <v>842</v>
      </c>
      <c r="B16" s="1020">
        <f ca="1">IF(C16&lt;B2,"已过期",1120140022)</f>
        <v>1120140022</v>
      </c>
      <c r="C16" s="2340">
        <v>44029</v>
      </c>
      <c r="D16" s="2343" t="s">
        <v>842</v>
      </c>
      <c r="E16" s="1020">
        <f ca="1">IF(F16&lt;B2,"已过期",2008110059)</f>
        <v>2008110059</v>
      </c>
      <c r="F16" s="1028">
        <v>47177</v>
      </c>
    </row>
    <row r="17" spans="1:7" ht="24" customHeight="1">
      <c r="A17" s="1699"/>
      <c r="B17" s="1020"/>
      <c r="C17" s="2340"/>
      <c r="D17" s="2343"/>
      <c r="E17" s="1020"/>
      <c r="F17" s="1028"/>
    </row>
    <row r="18" spans="1:7" ht="24" customHeight="1">
      <c r="A18" s="1699"/>
      <c r="B18" s="1020"/>
      <c r="C18" s="2340"/>
      <c r="D18" s="2343"/>
      <c r="E18" s="1020"/>
      <c r="F18" s="1028"/>
    </row>
    <row r="19" spans="1:7" ht="24" customHeight="1">
      <c r="A19" s="1699"/>
      <c r="B19" s="1020"/>
      <c r="C19" s="2340"/>
      <c r="D19" s="2343"/>
      <c r="E19" s="1020"/>
      <c r="F19" s="1020"/>
    </row>
    <row r="20" spans="1:7" ht="24" customHeight="1">
      <c r="A20" s="1699"/>
      <c r="B20" s="1020"/>
      <c r="C20" s="2340"/>
      <c r="D20" s="2343"/>
      <c r="E20" s="1020"/>
      <c r="F20" s="1020"/>
    </row>
    <row r="21" spans="1:7" ht="24" customHeight="1">
      <c r="A21" s="1699"/>
      <c r="B21" s="1020"/>
      <c r="C21" s="2340"/>
      <c r="D21" s="2343" t="s">
        <v>843</v>
      </c>
      <c r="E21" s="1020">
        <f ca="1">IF(F21&lt;B2,"已过期",2011110090)</f>
        <v>2011110090</v>
      </c>
      <c r="F21" s="1028">
        <v>48302</v>
      </c>
    </row>
    <row r="22" spans="1:7" ht="24" customHeight="1">
      <c r="A22" s="1699" t="s">
        <v>844</v>
      </c>
      <c r="B22" s="1020">
        <f ca="1">IF(C22&lt;B2,"已过期",1120020033)</f>
        <v>1120020033</v>
      </c>
      <c r="C22" s="2935">
        <v>44339</v>
      </c>
      <c r="D22" s="2343" t="s">
        <v>844</v>
      </c>
      <c r="E22" s="1020">
        <f ca="1">IF(F22&lt;B2,"已过期",2000110137)</f>
        <v>2000110137</v>
      </c>
      <c r="F22" s="1028">
        <v>46387</v>
      </c>
    </row>
    <row r="23" spans="1:7" ht="24" customHeight="1">
      <c r="A23" s="1699" t="s">
        <v>845</v>
      </c>
      <c r="B23" s="1020">
        <f ca="1">IF(C23&lt;B2,"已过期",1120130048)</f>
        <v>1120130048</v>
      </c>
      <c r="C23" s="2340">
        <v>43686</v>
      </c>
      <c r="D23" s="2343"/>
      <c r="E23" s="1020"/>
      <c r="F23" s="1020"/>
    </row>
    <row r="24" spans="1:7" s="1022" customFormat="1" ht="24" customHeight="1">
      <c r="A24" s="1700" t="s">
        <v>1333</v>
      </c>
      <c r="B24" s="1700" t="s">
        <v>1333</v>
      </c>
      <c r="C24" s="2341" t="s">
        <v>1333</v>
      </c>
      <c r="D24" s="2344" t="s">
        <v>1333</v>
      </c>
      <c r="E24" s="1700" t="s">
        <v>1333</v>
      </c>
      <c r="F24" s="1700" t="s">
        <v>1333</v>
      </c>
    </row>
    <row r="25" spans="1:7" ht="24" customHeight="1">
      <c r="A25" s="3042" t="s">
        <v>846</v>
      </c>
      <c r="B25" s="3042"/>
      <c r="C25" s="3042"/>
      <c r="D25" s="3042"/>
      <c r="E25" s="3042"/>
      <c r="F25" s="3042"/>
      <c r="G25" s="3042"/>
    </row>
    <row r="26" spans="1:7" s="1023" customFormat="1" ht="24" customHeight="1">
      <c r="A26" s="3043" t="s">
        <v>847</v>
      </c>
      <c r="B26" s="3043"/>
      <c r="C26" s="3044"/>
      <c r="D26" s="3045" t="s">
        <v>848</v>
      </c>
      <c r="E26" s="3043"/>
      <c r="F26" s="3043"/>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收益法商</vt:lpstr>
      <vt:lpstr>结果表办</vt:lpstr>
      <vt:lpstr>比较法-办公</vt:lpstr>
      <vt:lpstr>比较法-工业</vt:lpstr>
      <vt:lpstr>收益法办</vt:lpstr>
      <vt:lpstr>典型户型修正</vt:lpstr>
      <vt:lpstr>结果表车</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收益法车</vt:lpstr>
      <vt:lpstr>Sheet2</vt:lpstr>
      <vt:lpstr>估价师及机构信息!Print_Area</vt:lpstr>
      <vt:lpstr>'收益法 (元)'!Print_Area</vt:lpstr>
      <vt:lpstr>收益法办!Print_Area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2019-03-18T01:59:54Z</dcterms:modified>
</cp:coreProperties>
</file>