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租金比较法" sheetId="21" state="hidden" r:id="rId20"/>
    <sheet name="成本法" sheetId="68" state="hidden" r:id="rId21"/>
    <sheet name="成本法 (元)" sheetId="69" r:id="rId22"/>
    <sheet name="假设开发法" sheetId="12" state="hidden" r:id="rId23"/>
    <sheet name="基准地价修正" sheetId="43" r:id="rId24"/>
    <sheet name="收益法 (元)" sheetId="67" state="hidden" r:id="rId25"/>
    <sheet name="收益法（汇总）" sheetId="70" state="hidden" r:id="rId26"/>
    <sheet name="酒店收入计算" sheetId="66" state="hidden" r:id="rId27"/>
    <sheet name="收益法" sheetId="15"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19" hidden="1">租金比较法!$A$1:$L$49</definedName>
    <definedName name="_xlnm.Print_Area" localSheetId="8">估价师及机构信息!$A$1:$F$29</definedName>
    <definedName name="_xlnm.Print_Area" localSheetId="27">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租金比较法!$B$88:$M$88</definedName>
    <definedName name="住宅房型">租金比较法!$B$118:$M$118</definedName>
    <definedName name="住宅公共部分装修">租金比较法!$B$109:$M$109</definedName>
    <definedName name="住宅基础设施水平">租金比较法!$B$116:$M$116</definedName>
    <definedName name="住宅建筑结构">租金比较法!$B$105:$M$105</definedName>
    <definedName name="住宅建筑类型">租金比较法!$B$100:$M$100</definedName>
    <definedName name="住宅建筑品质">租金比较法!$B$107:$M$107</definedName>
    <definedName name="住宅交易情况">租金比较法!$A$61:$M$61</definedName>
    <definedName name="住宅楼层">租金比较法!$B$86:$M$86</definedName>
    <definedName name="住宅内部装修">租金比较法!$B$122:$M$122</definedName>
    <definedName name="住宅物业管理">租金比较法!$B$114:$M$114</definedName>
    <definedName name="住宅用途">租金比较法!$B$63:$M$63</definedName>
    <definedName name="住宅主力户型面积">租金比较法!$B$120:$M$120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I15" i="4" l="1"/>
  <c r="I20" i="43"/>
  <c r="D82" i="43"/>
  <c r="D84" i="43"/>
  <c r="G3" i="43"/>
  <c r="E22" i="43" s="1"/>
  <c r="C30" i="37"/>
  <c r="R6" i="1"/>
  <c r="G19" i="43"/>
  <c r="C19" i="43"/>
  <c r="D86" i="43"/>
  <c r="D5" i="43"/>
  <c r="F7" i="68"/>
  <c r="G1" i="68"/>
  <c r="E9" i="68"/>
  <c r="E10" i="68"/>
  <c r="E19" i="68"/>
  <c r="F20" i="68"/>
  <c r="E1" i="73"/>
  <c r="F21" i="68"/>
  <c r="C21" i="68"/>
  <c r="F30" i="68"/>
  <c r="C30" i="68"/>
  <c r="F34" i="68"/>
  <c r="F35" i="68"/>
  <c r="E37" i="68"/>
  <c r="F38" i="68"/>
  <c r="C40" i="68"/>
  <c r="C48" i="68"/>
  <c r="F50" i="68"/>
  <c r="D5" i="9"/>
  <c r="G26" i="78"/>
  <c r="G24" i="78"/>
  <c r="G12" i="78"/>
  <c r="G13" i="78"/>
  <c r="G14" i="78"/>
  <c r="G15" i="78"/>
  <c r="C1" i="73"/>
  <c r="J1" i="73"/>
  <c r="D15" i="4"/>
  <c r="H15" i="4"/>
  <c r="J20" i="43"/>
  <c r="B2" i="1"/>
  <c r="I19" i="43"/>
  <c r="G2" i="43"/>
  <c r="G17" i="43" s="1"/>
  <c r="J17" i="43"/>
  <c r="I2" i="43"/>
  <c r="M7" i="43" s="1"/>
  <c r="C6" i="43" s="1"/>
  <c r="C18" i="43"/>
  <c r="M81" i="43"/>
  <c r="D81" i="43"/>
  <c r="K83" i="43"/>
  <c r="D83" i="43"/>
  <c r="D85" i="43"/>
  <c r="K86" i="43"/>
  <c r="K87" i="43"/>
  <c r="D87" i="43"/>
  <c r="K88" i="43"/>
  <c r="D88" i="43"/>
  <c r="F33" i="43"/>
  <c r="F35" i="43"/>
  <c r="F37" i="43"/>
  <c r="F39" i="43"/>
  <c r="F19" i="6"/>
  <c r="N6" i="71"/>
  <c r="AH5" i="71"/>
  <c r="AG5" i="71"/>
  <c r="AE5" i="71"/>
  <c r="AF5" i="71"/>
  <c r="AD5" i="71"/>
  <c r="Q6" i="71"/>
  <c r="P6" i="71"/>
  <c r="O6" i="71"/>
  <c r="N5" i="71"/>
  <c r="Q5" i="71"/>
  <c r="P5" i="71"/>
  <c r="O5" i="71"/>
  <c r="F6" i="71"/>
  <c r="F5" i="71"/>
  <c r="E6" i="71"/>
  <c r="E5" i="71"/>
  <c r="M19" i="43"/>
  <c r="D8" i="71"/>
  <c r="AH6" i="71"/>
  <c r="AG6" i="71"/>
  <c r="AE6" i="71"/>
  <c r="AF6" i="71"/>
  <c r="AD6" i="71"/>
  <c r="L3" i="71"/>
  <c r="K3" i="71"/>
  <c r="I3" i="71"/>
  <c r="J3" i="71"/>
  <c r="AD7" i="71"/>
  <c r="AG7" i="71"/>
  <c r="AH7" i="71"/>
  <c r="AE7" i="71"/>
  <c r="AF7" i="71"/>
  <c r="N7" i="71"/>
  <c r="Q7" i="71"/>
  <c r="P7" i="71"/>
  <c r="O7" i="71"/>
  <c r="C7" i="71"/>
  <c r="C6" i="71"/>
  <c r="Q8" i="71"/>
  <c r="F7" i="71"/>
  <c r="P8" i="71"/>
  <c r="E7" i="71"/>
  <c r="O8" i="71"/>
  <c r="N8" i="71"/>
  <c r="B7" i="71"/>
  <c r="B6" i="71"/>
  <c r="B5" i="71"/>
  <c r="V7" i="71"/>
  <c r="A2" i="53"/>
  <c r="B19" i="72"/>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B65" i="7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59" i="72"/>
  <c r="B58" i="72"/>
  <c r="B66" i="72"/>
  <c r="B12" i="72"/>
  <c r="B10" i="72"/>
  <c r="C53" i="10"/>
  <c r="B51" i="10"/>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C42" i="71"/>
  <c r="N40" i="71"/>
  <c r="B41" i="71"/>
  <c r="B42" i="71"/>
  <c r="B43" i="71"/>
  <c r="S43" i="71"/>
  <c r="D40" i="71"/>
  <c r="Q39" i="71"/>
  <c r="P39" i="71"/>
  <c r="O39" i="71"/>
  <c r="N39" i="71"/>
  <c r="Q38" i="71"/>
  <c r="P38" i="71"/>
  <c r="O38" i="71"/>
  <c r="N38" i="71"/>
  <c r="Q37" i="71"/>
  <c r="P37" i="71"/>
  <c r="O37" i="71"/>
  <c r="N37" i="71"/>
  <c r="C37" i="71"/>
  <c r="C38"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F34" i="71"/>
  <c r="P32" i="71"/>
  <c r="E33" i="71"/>
  <c r="E34" i="71"/>
  <c r="E35" i="71"/>
  <c r="U35" i="71"/>
  <c r="O32" i="71"/>
  <c r="C33" i="71"/>
  <c r="C34"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D25" i="71"/>
  <c r="N24" i="71"/>
  <c r="B25" i="71"/>
  <c r="B26" i="71"/>
  <c r="B27" i="71"/>
  <c r="S27" i="71"/>
  <c r="D24" i="71"/>
  <c r="Q23" i="71"/>
  <c r="P23" i="71"/>
  <c r="O23" i="71"/>
  <c r="N23" i="71"/>
  <c r="AB22" i="71"/>
  <c r="Q22" i="71"/>
  <c r="P22" i="71"/>
  <c r="O22" i="71"/>
  <c r="Y22" i="71"/>
  <c r="Z22" i="71"/>
  <c r="N22" i="71"/>
  <c r="X22" i="71"/>
  <c r="Q21" i="71"/>
  <c r="AB21" i="71"/>
  <c r="P21" i="71"/>
  <c r="O21" i="71"/>
  <c r="Y21" i="71"/>
  <c r="Z21" i="71"/>
  <c r="N21" i="71"/>
  <c r="Q20" i="71"/>
  <c r="F21" i="71"/>
  <c r="F22" i="71"/>
  <c r="F23" i="71"/>
  <c r="V23" i="71"/>
  <c r="P20" i="71"/>
  <c r="O20" i="71"/>
  <c r="C21" i="71"/>
  <c r="D21" i="71"/>
  <c r="N20" i="71"/>
  <c r="D20" i="71"/>
  <c r="Q19" i="71"/>
  <c r="AB19" i="71"/>
  <c r="P19" i="71"/>
  <c r="O19" i="71"/>
  <c r="N19" i="71"/>
  <c r="Q18" i="71"/>
  <c r="AB18" i="71"/>
  <c r="P18" i="71"/>
  <c r="O18" i="71"/>
  <c r="N18" i="71"/>
  <c r="Q17" i="71"/>
  <c r="AB17" i="71"/>
  <c r="P17" i="71"/>
  <c r="O17" i="71"/>
  <c r="Y17" i="71"/>
  <c r="Z17" i="71"/>
  <c r="N17" i="71"/>
  <c r="Q16" i="71"/>
  <c r="F17" i="71"/>
  <c r="F18" i="71"/>
  <c r="F19" i="71"/>
  <c r="V19" i="71"/>
  <c r="P16" i="71"/>
  <c r="O16" i="71"/>
  <c r="N16" i="71"/>
  <c r="D16" i="71"/>
  <c r="Q15" i="71"/>
  <c r="P15" i="71"/>
  <c r="O15" i="71"/>
  <c r="N15" i="71"/>
  <c r="Q14" i="71"/>
  <c r="AB14" i="71"/>
  <c r="P14" i="71"/>
  <c r="O14" i="71"/>
  <c r="N14" i="71"/>
  <c r="X12" i="71"/>
  <c r="Q13" i="71"/>
  <c r="AB13" i="71"/>
  <c r="P13" i="71"/>
  <c r="O13" i="71"/>
  <c r="Y13" i="71"/>
  <c r="Z13" i="71"/>
  <c r="N13" i="71"/>
  <c r="Q12" i="71"/>
  <c r="P12" i="71"/>
  <c r="O12" i="71"/>
  <c r="N12" i="71"/>
  <c r="D12" i="71"/>
  <c r="O11" i="71"/>
  <c r="N11" i="71"/>
  <c r="B13" i="71"/>
  <c r="B14" i="71"/>
  <c r="E13" i="71"/>
  <c r="E14" i="71"/>
  <c r="E15" i="71"/>
  <c r="U15" i="71"/>
  <c r="AA12" i="71"/>
  <c r="B17" i="71"/>
  <c r="B18" i="71"/>
  <c r="B19" i="71"/>
  <c r="S19" i="71"/>
  <c r="B21" i="71"/>
  <c r="B22" i="71"/>
  <c r="B23" i="71"/>
  <c r="S23" i="71"/>
  <c r="X20" i="71"/>
  <c r="E21" i="71"/>
  <c r="E22" i="71"/>
  <c r="E23" i="71"/>
  <c r="U23" i="71"/>
  <c r="N51" i="71"/>
  <c r="E17" i="71"/>
  <c r="E18" i="71"/>
  <c r="E19" i="71"/>
  <c r="U19" i="71"/>
  <c r="C13" i="71"/>
  <c r="X13" i="71"/>
  <c r="X14" i="71"/>
  <c r="X15" i="71"/>
  <c r="C17" i="71"/>
  <c r="Y16" i="71"/>
  <c r="Z16" i="71"/>
  <c r="AB16" i="71"/>
  <c r="AA17" i="71"/>
  <c r="AA18" i="71"/>
  <c r="X19" i="71"/>
  <c r="AA19" i="71"/>
  <c r="Y20" i="71"/>
  <c r="Z20" i="71"/>
  <c r="AB20" i="71"/>
  <c r="X21" i="71"/>
  <c r="AA21" i="71"/>
  <c r="F35" i="71"/>
  <c r="V35" i="71"/>
  <c r="C11" i="71"/>
  <c r="X8" i="71"/>
  <c r="X10" i="71"/>
  <c r="X11" i="71"/>
  <c r="D13" i="71"/>
  <c r="C22" i="71"/>
  <c r="C26" i="71"/>
  <c r="C30" i="71"/>
  <c r="D30" i="71"/>
  <c r="D29" i="71"/>
  <c r="D33" i="71"/>
  <c r="P11" i="71"/>
  <c r="E38" i="71"/>
  <c r="E39" i="71"/>
  <c r="U39" i="71"/>
  <c r="E43" i="71"/>
  <c r="U43" i="71"/>
  <c r="E46" i="71"/>
  <c r="E47" i="71"/>
  <c r="U47" i="71"/>
  <c r="U51" i="71"/>
  <c r="Q11" i="71"/>
  <c r="D37"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F11" i="71"/>
  <c r="F10" i="71"/>
  <c r="F9" i="71"/>
  <c r="AB3" i="71"/>
  <c r="AB8" i="71"/>
  <c r="AB9" i="71"/>
  <c r="AB10" i="71"/>
  <c r="AB11" i="71"/>
  <c r="E11" i="71"/>
  <c r="E10" i="71"/>
  <c r="E9" i="71"/>
  <c r="AA3" i="71"/>
  <c r="AA8" i="71"/>
  <c r="AA9" i="71"/>
  <c r="AA10" i="71"/>
  <c r="AA11" i="71"/>
  <c r="D11" i="71"/>
  <c r="U11" i="71"/>
  <c r="C49" i="71"/>
  <c r="O50" i="71"/>
  <c r="D50" i="71"/>
  <c r="C47" i="71"/>
  <c r="D47" i="71"/>
  <c r="D46" i="71"/>
  <c r="D66" i="71"/>
  <c r="C65" i="71"/>
  <c r="D65" i="71"/>
  <c r="D58" i="71"/>
  <c r="C57" i="71"/>
  <c r="D57" i="71"/>
  <c r="N48" i="71"/>
  <c r="N49" i="71"/>
  <c r="D70" i="71"/>
  <c r="C69" i="71"/>
  <c r="D69" i="71"/>
  <c r="D62" i="71"/>
  <c r="C61" i="71"/>
  <c r="D61" i="71"/>
  <c r="D54" i="71"/>
  <c r="C53" i="71"/>
  <c r="D53" i="71"/>
  <c r="C43" i="71"/>
  <c r="D42" i="71"/>
  <c r="C39" i="71"/>
  <c r="D38" i="71"/>
  <c r="C35" i="71"/>
  <c r="D34" i="71"/>
  <c r="C27" i="71"/>
  <c r="D26" i="71"/>
  <c r="C23" i="71"/>
  <c r="D22" i="71"/>
  <c r="C9" i="71"/>
  <c r="D9" i="71"/>
  <c r="D10" i="71"/>
  <c r="V11" i="71"/>
  <c r="O49" i="71"/>
  <c r="D49" i="71"/>
  <c r="O48" i="71"/>
  <c r="T23" i="71"/>
  <c r="D23" i="71"/>
  <c r="T27" i="71"/>
  <c r="D27" i="71"/>
  <c r="T35" i="71"/>
  <c r="D35" i="71"/>
  <c r="T39" i="71"/>
  <c r="D39" i="71"/>
  <c r="T43" i="71"/>
  <c r="D43"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F83" i="33"/>
  <c r="H21" i="33"/>
  <c r="U21" i="33"/>
  <c r="F21" i="33"/>
  <c r="E83" i="21"/>
  <c r="F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AC21" i="37"/>
  <c r="AC21" i="34"/>
  <c r="AC21" i="33"/>
  <c r="AB21" i="21"/>
  <c r="G83" i="21"/>
  <c r="J21" i="21"/>
  <c r="C40" i="69"/>
  <c r="F36" i="68"/>
  <c r="W21" i="21"/>
  <c r="AC21" i="21"/>
  <c r="Q72" i="67"/>
  <c r="Q59" i="67"/>
  <c r="Q58" i="67"/>
  <c r="Q51" i="67"/>
  <c r="J50" i="67"/>
  <c r="M47" i="67"/>
  <c r="J51" i="67"/>
  <c r="D46" i="67"/>
  <c r="F33" i="67"/>
  <c r="F61" i="67"/>
  <c r="F23"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67" i="43"/>
  <c r="D60" i="43"/>
  <c r="D61" i="43"/>
  <c r="D62" i="43"/>
  <c r="D63" i="43"/>
  <c r="D64" i="43"/>
  <c r="D65" i="43"/>
  <c r="D66" i="43"/>
  <c r="D59" i="43"/>
  <c r="E59" i="43" s="1"/>
  <c r="B57" i="43" s="1"/>
  <c r="M88" i="43"/>
  <c r="N88" i="43"/>
  <c r="J88" i="43"/>
  <c r="M87" i="43"/>
  <c r="N87" i="43"/>
  <c r="J87" i="43"/>
  <c r="M86" i="43"/>
  <c r="N86" i="43"/>
  <c r="J86" i="43"/>
  <c r="M85" i="43"/>
  <c r="N85" i="43"/>
  <c r="K85" i="43"/>
  <c r="J85" i="43"/>
  <c r="M84" i="43"/>
  <c r="N84" i="43"/>
  <c r="K84" i="43"/>
  <c r="J84" i="43"/>
  <c r="M83" i="43"/>
  <c r="N83" i="43"/>
  <c r="J83" i="43"/>
  <c r="M82" i="43"/>
  <c r="N82" i="43"/>
  <c r="K82" i="43"/>
  <c r="J82" i="43"/>
  <c r="N81" i="43"/>
  <c r="K81" i="43"/>
  <c r="J81" i="43"/>
  <c r="M78" i="43"/>
  <c r="N78" i="43" s="1"/>
  <c r="K78" i="43"/>
  <c r="J78" i="43" s="1"/>
  <c r="D78" i="43"/>
  <c r="M77" i="43"/>
  <c r="N77" i="43"/>
  <c r="K77" i="43"/>
  <c r="J77" i="43"/>
  <c r="D77" i="43"/>
  <c r="M76" i="43"/>
  <c r="N76" i="43" s="1"/>
  <c r="K76" i="43"/>
  <c r="J76" i="43" s="1"/>
  <c r="D76" i="43"/>
  <c r="M75" i="43"/>
  <c r="N75" i="43"/>
  <c r="K75" i="43"/>
  <c r="J75" i="43"/>
  <c r="D75" i="43" s="1"/>
  <c r="E70" i="43" s="1"/>
  <c r="B68"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G1" i="15"/>
  <c r="J50" i="15"/>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G15" i="4"/>
  <c r="E15" i="4"/>
  <c r="F7" i="1"/>
  <c r="G7" i="1" s="1"/>
  <c r="L21" i="4"/>
  <c r="F19" i="4"/>
  <c r="F2" i="52"/>
  <c r="B50" i="72"/>
  <c r="D2" i="52"/>
  <c r="B46" i="72"/>
  <c r="B8" i="53"/>
  <c r="B23" i="72"/>
  <c r="L4" i="9"/>
  <c r="B17" i="72"/>
  <c r="B15" i="72"/>
  <c r="A3" i="51"/>
  <c r="C8" i="11"/>
  <c r="B2" i="49"/>
  <c r="B22" i="49" s="1"/>
  <c r="B40" i="48"/>
  <c r="B3" i="72"/>
  <c r="N1" i="43"/>
  <c r="F35" i="4"/>
  <c r="J55" i="39"/>
  <c r="H34" i="43"/>
  <c r="H35" i="43"/>
  <c r="H36" i="43"/>
  <c r="H37" i="43"/>
  <c r="H38" i="43"/>
  <c r="H39" i="43"/>
  <c r="H33"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P15" i="3"/>
  <c r="BL15" i="3"/>
  <c r="BN16" i="3"/>
  <c r="BN17" i="3"/>
  <c r="BP13" i="3"/>
  <c r="BP14" i="3"/>
  <c r="BP16" i="3"/>
  <c r="BP17" i="3"/>
  <c r="E19" i="6"/>
  <c r="E20" i="6"/>
  <c r="E21" i="6"/>
  <c r="K8" i="1"/>
  <c r="M8" i="1"/>
  <c r="O8" i="1"/>
  <c r="P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F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s="1"/>
  <c r="H9" i="37"/>
  <c r="AB9" i="37" s="1"/>
  <c r="F9" i="37"/>
  <c r="S9" i="37" s="1"/>
  <c r="J12" i="37"/>
  <c r="W12" i="37"/>
  <c r="H12" i="37"/>
  <c r="AB12" i="37"/>
  <c r="F12" i="37"/>
  <c r="S12"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B5" i="3"/>
  <c r="E15" i="6"/>
  <c r="BR5" i="3"/>
  <c r="G28" i="6"/>
  <c r="AZ384" i="3"/>
  <c r="AZ388" i="3"/>
  <c r="AZ392" i="3"/>
  <c r="AZ396" i="3"/>
  <c r="AZ394" i="3"/>
  <c r="AZ499" i="3"/>
  <c r="AZ509" i="3"/>
  <c r="E8" i="6"/>
  <c r="F27" i="6"/>
  <c r="G509" i="3"/>
  <c r="BL493" i="3"/>
  <c r="AZ493" i="3"/>
  <c r="AZ491" i="3"/>
  <c r="AZ376" i="3"/>
  <c r="AZ382" i="3"/>
  <c r="U36" i="40"/>
  <c r="N4" i="43"/>
  <c r="N7" i="43"/>
  <c r="F81" i="43"/>
  <c r="H83" i="43" s="1"/>
  <c r="H113" i="43"/>
  <c r="F48" i="43"/>
  <c r="H52" i="43" s="1"/>
  <c r="F70" i="43"/>
  <c r="H73" i="43" s="1"/>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G30" i="6"/>
  <c r="G31" i="6"/>
  <c r="J56" i="9"/>
  <c r="J57" i="9"/>
  <c r="A24" i="51"/>
  <c r="B18" i="72"/>
  <c r="U29" i="34"/>
  <c r="E14" i="6"/>
  <c r="E64" i="39"/>
  <c r="E5" i="6"/>
  <c r="D9" i="11"/>
  <c r="C9" i="11" s="1"/>
  <c r="P10" i="1"/>
  <c r="E32" i="6"/>
  <c r="L19" i="6"/>
  <c r="K1" i="12"/>
  <c r="E28" i="6"/>
  <c r="E57" i="40"/>
  <c r="AR12" i="1"/>
  <c r="AQ12" i="1"/>
  <c r="T12" i="1"/>
  <c r="AR10" i="1"/>
  <c r="T10" i="1"/>
  <c r="E19" i="69"/>
  <c r="E19" i="11"/>
  <c r="G41" i="69"/>
  <c r="G22" i="69"/>
  <c r="G41" i="68"/>
  <c r="G22" i="68"/>
  <c r="G27" i="12"/>
  <c r="G26" i="12"/>
  <c r="G41" i="11"/>
  <c r="G22" i="11"/>
  <c r="G25" i="12"/>
  <c r="C100" i="43"/>
  <c r="E11" i="43"/>
  <c r="E10" i="43"/>
  <c r="E9" i="43"/>
  <c r="E8" i="43"/>
  <c r="C7" i="43"/>
  <c r="E48" i="43"/>
  <c r="B46" i="43"/>
  <c r="F100" i="43"/>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T35" i="4"/>
  <c r="A19" i="51"/>
  <c r="B14" i="72"/>
  <c r="C46" i="36"/>
  <c r="D46" i="36"/>
  <c r="E46" i="36"/>
  <c r="C59" i="34"/>
  <c r="D59" i="34"/>
  <c r="C52" i="37"/>
  <c r="D52" i="37"/>
  <c r="A4" i="51"/>
  <c r="B6" i="72"/>
  <c r="C48" i="35"/>
  <c r="D48" i="35"/>
  <c r="C94" i="9"/>
  <c r="C4" i="12"/>
  <c r="F31" i="12"/>
  <c r="C31" i="12"/>
  <c r="C92" i="9"/>
  <c r="H62" i="43"/>
  <c r="H66" i="43"/>
  <c r="H61" i="43"/>
  <c r="H65" i="43"/>
  <c r="H60" i="43"/>
  <c r="H64" i="43"/>
  <c r="H59" i="43"/>
  <c r="H63" i="43"/>
  <c r="H67" i="43"/>
  <c r="H55" i="43"/>
  <c r="H51" i="43"/>
  <c r="H56" i="43"/>
  <c r="H76" i="43"/>
  <c r="H72" i="43"/>
  <c r="H77" i="43"/>
  <c r="L20" i="6"/>
  <c r="E62" i="39"/>
  <c r="E56" i="39"/>
  <c r="E51" i="40"/>
  <c r="B6" i="1"/>
  <c r="E6" i="1"/>
  <c r="S8" i="1"/>
  <c r="K11" i="1"/>
  <c r="M11" i="1"/>
  <c r="AP6" i="1"/>
  <c r="B9" i="1"/>
  <c r="E9" i="1"/>
  <c r="K7" i="1"/>
  <c r="H16"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8" i="49"/>
  <c r="AQ13" i="1"/>
  <c r="AZ13" i="3"/>
  <c r="M6" i="1"/>
  <c r="O6" i="1"/>
  <c r="F30" i="11"/>
  <c r="C48" i="11"/>
  <c r="F28" i="67"/>
  <c r="C28" i="67"/>
  <c r="F52" i="9"/>
  <c r="M18" i="67"/>
  <c r="F32" i="67"/>
  <c r="F60" i="67"/>
  <c r="F30" i="69"/>
  <c r="C48" i="69"/>
  <c r="F32" i="15"/>
  <c r="F60" i="15"/>
  <c r="M18" i="15"/>
  <c r="F28" i="15"/>
  <c r="C28" i="15"/>
  <c r="T11" i="1"/>
  <c r="D19" i="12"/>
  <c r="C19" i="12" s="1"/>
  <c r="AQ9" i="1"/>
  <c r="AR11" i="1"/>
  <c r="E59" i="40"/>
  <c r="D68" i="39"/>
  <c r="D70" i="39"/>
  <c r="T9" i="1"/>
  <c r="T13" i="1"/>
  <c r="C77" i="9"/>
  <c r="C74" i="9"/>
  <c r="C30" i="69"/>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W17" i="33"/>
  <c r="AC17" i="33"/>
  <c r="U10" i="33"/>
  <c r="AB10" i="33"/>
  <c r="AC10" i="33"/>
  <c r="W10" i="33"/>
  <c r="AC37" i="21"/>
  <c r="U33" i="21"/>
  <c r="S37" i="21"/>
  <c r="AA23" i="21"/>
  <c r="AB15" i="21"/>
  <c r="J23" i="21"/>
  <c r="W23" i="21"/>
  <c r="F85" i="21"/>
  <c r="G85" i="21"/>
  <c r="H23" i="21"/>
  <c r="S13" i="21"/>
  <c r="D6" i="52"/>
  <c r="D121" i="9"/>
  <c r="D7" i="52"/>
  <c r="K120" i="9"/>
  <c r="J22" i="43"/>
  <c r="K14" i="1"/>
  <c r="M14" i="1"/>
  <c r="J59" i="9"/>
  <c r="J61" i="9"/>
  <c r="BA5" i="3"/>
  <c r="E27" i="6"/>
  <c r="K19" i="6"/>
  <c r="S6" i="1"/>
  <c r="AQ6" i="1"/>
  <c r="AR8" i="1"/>
  <c r="AQ8" i="1"/>
  <c r="T8" i="1"/>
  <c r="AQ7" i="1"/>
  <c r="R22" i="31"/>
  <c r="B21" i="31"/>
  <c r="O19" i="43"/>
  <c r="E52" i="37"/>
  <c r="F52" i="37"/>
  <c r="G52" i="37"/>
  <c r="F46" i="36"/>
  <c r="G46" i="36"/>
  <c r="E58" i="21"/>
  <c r="F58" i="21"/>
  <c r="E48" i="35"/>
  <c r="F48" i="35"/>
  <c r="E59" i="34"/>
  <c r="F59" i="34"/>
  <c r="G59" i="34"/>
  <c r="C65" i="40"/>
  <c r="D63" i="40"/>
  <c r="E63" i="40"/>
  <c r="L27" i="6"/>
  <c r="AP7" i="1"/>
  <c r="M7" i="1"/>
  <c r="O7" i="1"/>
  <c r="P7" i="1"/>
  <c r="Q16" i="1"/>
  <c r="AB45" i="21"/>
  <c r="AC33" i="21"/>
  <c r="W33" i="21"/>
  <c r="S33" i="21"/>
  <c r="AA33" i="21"/>
  <c r="W32" i="21"/>
  <c r="AC32" i="21"/>
  <c r="AB9" i="21"/>
  <c r="U9" i="21"/>
  <c r="AA32" i="21"/>
  <c r="S32" i="21"/>
  <c r="W9" i="21"/>
  <c r="AC9" i="21"/>
  <c r="AB32" i="21"/>
  <c r="U32" i="21"/>
  <c r="AA10" i="21"/>
  <c r="S10" i="21"/>
  <c r="T7" i="1"/>
  <c r="AR7" i="1"/>
  <c r="C30" i="11"/>
  <c r="E6" i="70"/>
  <c r="A18" i="62"/>
  <c r="B64" i="72"/>
  <c r="U32" i="39"/>
  <c r="AB32" i="39"/>
  <c r="AC32" i="39"/>
  <c r="W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D65" i="40"/>
  <c r="E68" i="39"/>
  <c r="F68" i="39"/>
  <c r="G68" i="39"/>
  <c r="W11" i="37"/>
  <c r="W11" i="34"/>
  <c r="AC11" i="34"/>
  <c r="R7" i="1"/>
  <c r="P6" i="1"/>
  <c r="C13" i="12"/>
  <c r="F34" i="11"/>
  <c r="C36" i="11"/>
  <c r="F11" i="12"/>
  <c r="C23" i="12" s="1"/>
  <c r="E70" i="39"/>
  <c r="F70" i="39"/>
  <c r="R8" i="1"/>
  <c r="E2" i="70"/>
  <c r="S16" i="1"/>
  <c r="AE7" i="1"/>
  <c r="AE8" i="1"/>
  <c r="AG6" i="1"/>
  <c r="H109" i="9"/>
  <c r="M49" i="9"/>
  <c r="H110" i="9"/>
  <c r="D18" i="53"/>
  <c r="B35" i="72"/>
  <c r="D16" i="53"/>
  <c r="B34" i="72"/>
  <c r="J7" i="33"/>
  <c r="W7" i="33"/>
  <c r="F7" i="33"/>
  <c r="S7" i="33"/>
  <c r="H7" i="33"/>
  <c r="AB7" i="33"/>
  <c r="T48" i="33"/>
  <c r="G48" i="33"/>
  <c r="AA7" i="33"/>
  <c r="R48" i="33"/>
  <c r="E48" i="33"/>
  <c r="U7" i="33"/>
  <c r="AC7" i="33"/>
  <c r="V48" i="33"/>
  <c r="I48" i="33"/>
  <c r="H112" i="9"/>
  <c r="D21" i="53"/>
  <c r="B39" i="72"/>
  <c r="H111" i="9"/>
  <c r="D126" i="9"/>
  <c r="D59" i="9"/>
  <c r="M55" i="9"/>
  <c r="AD3" i="71"/>
  <c r="P21" i="43"/>
  <c r="P22" i="43"/>
  <c r="P23" i="43"/>
  <c r="B71" i="39"/>
  <c r="P24" i="43"/>
  <c r="B66" i="40"/>
  <c r="P25" i="43"/>
  <c r="H52" i="37"/>
  <c r="I52" i="37"/>
  <c r="J52" i="37"/>
  <c r="K52" i="37"/>
  <c r="L52" i="37"/>
  <c r="M52" i="37"/>
  <c r="N52" i="37"/>
  <c r="O52" i="37"/>
  <c r="F7" i="37"/>
  <c r="AA7" i="37"/>
  <c r="D3" i="37"/>
  <c r="F31" i="67"/>
  <c r="L1" i="73"/>
  <c r="F27" i="11"/>
  <c r="BL18" i="3"/>
  <c r="BL5" i="3"/>
  <c r="F28" i="12"/>
  <c r="C29" i="12" s="1"/>
  <c r="D28" i="12" s="1"/>
  <c r="T6" i="1"/>
  <c r="AR6" i="1"/>
  <c r="E56" i="40"/>
  <c r="AZ19" i="3"/>
  <c r="E60" i="40"/>
  <c r="E65" i="39"/>
  <c r="E13" i="6"/>
  <c r="E58" i="40" s="1"/>
  <c r="G5" i="3"/>
  <c r="B3" i="3"/>
  <c r="I14" i="74"/>
  <c r="B8" i="74"/>
  <c r="D12" i="52"/>
  <c r="D127" i="9"/>
  <c r="D13" i="52"/>
  <c r="H68" i="39"/>
  <c r="G70" i="39"/>
  <c r="G58" i="21"/>
  <c r="H58" i="21"/>
  <c r="I58" i="21"/>
  <c r="J58" i="21"/>
  <c r="K58" i="21"/>
  <c r="L58" i="21"/>
  <c r="M58" i="21"/>
  <c r="N58" i="21"/>
  <c r="O58" i="21"/>
  <c r="J7" i="21"/>
  <c r="H7" i="21"/>
  <c r="J7" i="37"/>
  <c r="O14" i="1"/>
  <c r="P14" i="1"/>
  <c r="M16" i="1"/>
  <c r="T16" i="1"/>
  <c r="I52" i="33"/>
  <c r="J52" i="33"/>
  <c r="I53" i="33"/>
  <c r="J53" i="33"/>
  <c r="E53" i="33"/>
  <c r="F53" i="33"/>
  <c r="E52" i="33"/>
  <c r="F52" i="33"/>
  <c r="G52" i="33"/>
  <c r="H52" i="33"/>
  <c r="G53" i="33"/>
  <c r="H53" i="33"/>
  <c r="L67" i="9"/>
  <c r="M67" i="9"/>
  <c r="L68" i="9"/>
  <c r="M68" i="9"/>
  <c r="L65" i="9"/>
  <c r="M65" i="9"/>
  <c r="L66" i="9"/>
  <c r="M66" i="9"/>
  <c r="L64" i="9"/>
  <c r="M64" i="9"/>
  <c r="L63" i="9"/>
  <c r="M63" i="9"/>
  <c r="M69" i="9"/>
  <c r="N69" i="9"/>
  <c r="E65" i="40"/>
  <c r="F63" i="40"/>
  <c r="H59" i="34"/>
  <c r="I59" i="34"/>
  <c r="J59" i="34"/>
  <c r="K59" i="34"/>
  <c r="L59" i="34"/>
  <c r="M59" i="34"/>
  <c r="N59" i="34"/>
  <c r="O59" i="34"/>
  <c r="F7" i="34"/>
  <c r="G48" i="35"/>
  <c r="H48" i="35"/>
  <c r="I48" i="35"/>
  <c r="J48" i="35"/>
  <c r="K48" i="35"/>
  <c r="L48" i="35"/>
  <c r="M48" i="35"/>
  <c r="N48" i="35"/>
  <c r="O48" i="35"/>
  <c r="H7" i="35"/>
  <c r="F7" i="35"/>
  <c r="H46" i="36"/>
  <c r="I46" i="36"/>
  <c r="J46" i="36"/>
  <c r="K46" i="36"/>
  <c r="L46" i="36"/>
  <c r="M46" i="36"/>
  <c r="N46" i="36"/>
  <c r="O46" i="36"/>
  <c r="H7" i="36"/>
  <c r="D19" i="53"/>
  <c r="R49" i="33"/>
  <c r="D17" i="53"/>
  <c r="B36" i="72"/>
  <c r="D124" i="9"/>
  <c r="H7" i="34"/>
  <c r="F7" i="21"/>
  <c r="J7" i="34"/>
  <c r="J7" i="36"/>
  <c r="J7" i="35"/>
  <c r="O11" i="1"/>
  <c r="P11" i="1"/>
  <c r="O12" i="1"/>
  <c r="P12" i="1"/>
  <c r="D9" i="53"/>
  <c r="B25" i="72"/>
  <c r="B24" i="72"/>
  <c r="K101" i="43"/>
  <c r="F101" i="43"/>
  <c r="N101" i="43"/>
  <c r="H22" i="43"/>
  <c r="D101" i="43"/>
  <c r="M101" i="43"/>
  <c r="I101" i="43"/>
  <c r="E101" i="43"/>
  <c r="B113" i="43"/>
  <c r="G101" i="43"/>
  <c r="C101" i="43"/>
  <c r="J101" i="43"/>
  <c r="N104" i="46"/>
  <c r="L101" i="43"/>
  <c r="H101" i="43"/>
  <c r="H102" i="43" s="1"/>
  <c r="AJ11" i="43"/>
  <c r="AJ13" i="43"/>
  <c r="AH11" i="43"/>
  <c r="AH13" i="43"/>
  <c r="AF11" i="43"/>
  <c r="AF13" i="43"/>
  <c r="AD11" i="43"/>
  <c r="AD13" i="43"/>
  <c r="AB11" i="43"/>
  <c r="AB13" i="43"/>
  <c r="Z11" i="43"/>
  <c r="Z13" i="43"/>
  <c r="Z7" i="43"/>
  <c r="AI11" i="43"/>
  <c r="AI13" i="43" s="1"/>
  <c r="AG11" i="43"/>
  <c r="AG13" i="43" s="1"/>
  <c r="AE11" i="43"/>
  <c r="AE13" i="43" s="1"/>
  <c r="AC11" i="43"/>
  <c r="AC13" i="43" s="1"/>
  <c r="AA11" i="43"/>
  <c r="AA13" i="43" s="1"/>
  <c r="Y11" i="43"/>
  <c r="Y13" i="43" s="1"/>
  <c r="AB31" i="21"/>
  <c r="U31" i="21"/>
  <c r="S12" i="34"/>
  <c r="AA12" i="34"/>
  <c r="E53" i="3"/>
  <c r="E125" i="3"/>
  <c r="E175" i="3"/>
  <c r="E217" i="3"/>
  <c r="E319" i="3"/>
  <c r="E366" i="3"/>
  <c r="E530" i="3"/>
  <c r="E526" i="3"/>
  <c r="E501" i="3"/>
  <c r="E553" i="3"/>
  <c r="E343" i="3"/>
  <c r="E268" i="3"/>
  <c r="E153" i="3"/>
  <c r="E282" i="3"/>
  <c r="E305" i="3"/>
  <c r="E322" i="3"/>
  <c r="E426" i="3"/>
  <c r="N6" i="3"/>
  <c r="E508" i="3"/>
  <c r="AJ6" i="3"/>
  <c r="E328" i="3"/>
  <c r="E239" i="3"/>
  <c r="E388" i="3"/>
  <c r="E29" i="6"/>
  <c r="F30" i="6"/>
  <c r="F31" i="6"/>
  <c r="AZ557" i="3"/>
  <c r="AC9" i="34"/>
  <c r="W9" i="34"/>
  <c r="AC24" i="35"/>
  <c r="W24" i="35"/>
  <c r="AC34" i="35"/>
  <c r="W34" i="35"/>
  <c r="AB36" i="35"/>
  <c r="U36" i="35"/>
  <c r="W17" i="21"/>
  <c r="U12" i="39"/>
  <c r="AA14" i="33"/>
  <c r="AA44" i="33"/>
  <c r="H9" i="34"/>
  <c r="F34" i="35"/>
  <c r="H34" i="35"/>
  <c r="J36" i="35"/>
  <c r="AZ409" i="3"/>
  <c r="AZ416" i="3"/>
  <c r="AZ425" i="3"/>
  <c r="AZ432" i="3"/>
  <c r="AZ464" i="3"/>
  <c r="AZ467" i="3"/>
  <c r="AZ474" i="3"/>
  <c r="AZ480" i="3"/>
  <c r="AZ482" i="3"/>
  <c r="AZ486" i="3"/>
  <c r="AZ488" i="3"/>
  <c r="AZ316" i="3"/>
  <c r="AZ332" i="3"/>
  <c r="AZ399" i="3"/>
  <c r="AZ404" i="3"/>
  <c r="AZ414" i="3"/>
  <c r="AZ421" i="3"/>
  <c r="AZ440" i="3"/>
  <c r="AZ449" i="3"/>
  <c r="AZ453" i="3"/>
  <c r="AZ455" i="3"/>
  <c r="AZ460" i="3"/>
  <c r="AZ471" i="3"/>
  <c r="AZ476" i="3"/>
  <c r="AZ208" i="3"/>
  <c r="AZ211" i="3"/>
  <c r="AZ219" i="3"/>
  <c r="AZ236" i="3"/>
  <c r="AZ252" i="3"/>
  <c r="AZ221" i="3"/>
  <c r="AZ262" i="3"/>
  <c r="AZ267" i="3"/>
  <c r="AZ278" i="3"/>
  <c r="AZ284" i="3"/>
  <c r="AZ292" i="3"/>
  <c r="AZ302" i="3"/>
  <c r="AZ113" i="3"/>
  <c r="AZ126" i="3"/>
  <c r="AZ129" i="3"/>
  <c r="AZ141" i="3"/>
  <c r="AZ205" i="3"/>
  <c r="AZ18" i="3"/>
  <c r="AZ5" i="3"/>
  <c r="AZ23" i="3"/>
  <c r="AZ27" i="3"/>
  <c r="AZ52" i="3"/>
  <c r="AZ56" i="3"/>
  <c r="AZ60" i="3"/>
  <c r="AZ73" i="3"/>
  <c r="AZ78" i="3"/>
  <c r="AZ91" i="3"/>
  <c r="AZ98" i="3"/>
  <c r="AZ104" i="3"/>
  <c r="AZ108" i="3"/>
  <c r="M100" i="43"/>
  <c r="I100" i="43"/>
  <c r="E100" i="43"/>
  <c r="D24" i="67"/>
  <c r="D23" i="67"/>
  <c r="C14" i="71"/>
  <c r="B15" i="71"/>
  <c r="S15" i="71"/>
  <c r="B11" i="71"/>
  <c r="X9" i="71"/>
  <c r="X3" i="71"/>
  <c r="Y12" i="71"/>
  <c r="Z12" i="71"/>
  <c r="Y3" i="71"/>
  <c r="Z3" i="71"/>
  <c r="Y8" i="71"/>
  <c r="Z8" i="71"/>
  <c r="Y9" i="71"/>
  <c r="Z9" i="71"/>
  <c r="Y10" i="71"/>
  <c r="Z10" i="71"/>
  <c r="Y11" i="71"/>
  <c r="Z11" i="71"/>
  <c r="AB12" i="71"/>
  <c r="F13" i="71"/>
  <c r="F14" i="71"/>
  <c r="F15" i="71"/>
  <c r="V15" i="71"/>
  <c r="Y14" i="71"/>
  <c r="Z14" i="71"/>
  <c r="AA13" i="71"/>
  <c r="AA14" i="71"/>
  <c r="Y15" i="71"/>
  <c r="Z15" i="71"/>
  <c r="AB15" i="71"/>
  <c r="Y18" i="71"/>
  <c r="Z18" i="71"/>
  <c r="AA16" i="71"/>
  <c r="AA15" i="71"/>
  <c r="Y19" i="71"/>
  <c r="Z19" i="71"/>
  <c r="P51" i="71"/>
  <c r="E50" i="71"/>
  <c r="Y7" i="71"/>
  <c r="Z7" i="71"/>
  <c r="Y5" i="71"/>
  <c r="Z5" i="71"/>
  <c r="AA6" i="71"/>
  <c r="AB5" i="71"/>
  <c r="C18" i="71"/>
  <c r="D17" i="71"/>
  <c r="X16" i="71"/>
  <c r="X17" i="71"/>
  <c r="X18" i="71"/>
  <c r="AA22" i="71"/>
  <c r="AA20" i="71"/>
  <c r="V51" i="71"/>
  <c r="F50" i="71"/>
  <c r="X6" i="71"/>
  <c r="C5" i="71"/>
  <c r="D5" i="71"/>
  <c r="D6" i="71"/>
  <c r="AA5" i="71"/>
  <c r="X5" i="71"/>
  <c r="AA7" i="71"/>
  <c r="AB7" i="71"/>
  <c r="D7" i="71"/>
  <c r="U7" i="71"/>
  <c r="S7" i="71"/>
  <c r="T7" i="71"/>
  <c r="X7" i="71"/>
  <c r="Y6" i="71"/>
  <c r="Z6" i="71"/>
  <c r="AB6" i="71"/>
  <c r="M17" i="15"/>
  <c r="F59" i="67"/>
  <c r="M17" i="67"/>
  <c r="F31" i="15"/>
  <c r="C29" i="11"/>
  <c r="D27" i="11"/>
  <c r="C47" i="11"/>
  <c r="D45" i="11"/>
  <c r="E69" i="3"/>
  <c r="E114" i="3"/>
  <c r="E278" i="3"/>
  <c r="E415" i="3"/>
  <c r="E563" i="3"/>
  <c r="E395" i="3"/>
  <c r="E172" i="3"/>
  <c r="E260" i="3"/>
  <c r="E445" i="3"/>
  <c r="E550" i="3"/>
  <c r="E535"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304" i="3"/>
  <c r="E565" i="3"/>
  <c r="E213" i="3"/>
  <c r="E17" i="3"/>
  <c r="E302" i="3"/>
  <c r="E329"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261" i="3"/>
  <c r="E528" i="3"/>
  <c r="E183" i="3"/>
  <c r="E361" i="3"/>
  <c r="E503"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467"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6"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3" i="39"/>
  <c r="E66" i="39" s="1"/>
  <c r="E16" i="6"/>
  <c r="K21" i="6"/>
  <c r="M21" i="6"/>
  <c r="I21" i="6"/>
  <c r="S21" i="6"/>
  <c r="K20" i="6"/>
  <c r="M20" i="6"/>
  <c r="I20" i="6"/>
  <c r="S20" i="6"/>
  <c r="K24" i="6"/>
  <c r="M24" i="6"/>
  <c r="I24" i="6"/>
  <c r="S24" i="6"/>
  <c r="K26" i="6"/>
  <c r="M26" i="6"/>
  <c r="I26" i="6"/>
  <c r="S26" i="6"/>
  <c r="K25" i="6"/>
  <c r="M25" i="6"/>
  <c r="I25" i="6"/>
  <c r="S25" i="6"/>
  <c r="K23" i="6"/>
  <c r="M23" i="6"/>
  <c r="I23" i="6"/>
  <c r="S23" i="6"/>
  <c r="K22" i="6"/>
  <c r="M22" i="6"/>
  <c r="I22" i="6"/>
  <c r="S22" i="6"/>
  <c r="AY6" i="3"/>
  <c r="E3" i="6"/>
  <c r="B10" i="71"/>
  <c r="B9" i="71"/>
  <c r="S11" i="71"/>
  <c r="D14" i="71"/>
  <c r="C15" i="71"/>
  <c r="AC36" i="35"/>
  <c r="W36" i="35"/>
  <c r="Q50" i="71"/>
  <c r="F49" i="71"/>
  <c r="D18" i="71"/>
  <c r="C19" i="71"/>
  <c r="E49" i="71"/>
  <c r="P50"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F107" i="43"/>
  <c r="F106" i="43"/>
  <c r="F103" i="43"/>
  <c r="F109" i="43"/>
  <c r="F104" i="43"/>
  <c r="F102" i="43"/>
  <c r="F105" i="43"/>
  <c r="P16" i="1"/>
  <c r="C11" i="12"/>
  <c r="C12" i="12" s="1"/>
  <c r="S7" i="37"/>
  <c r="AC7" i="36"/>
  <c r="V36" i="36"/>
  <c r="I36" i="36"/>
  <c r="W7" i="36"/>
  <c r="U7" i="34"/>
  <c r="AB7" i="34"/>
  <c r="T49" i="34"/>
  <c r="G49" i="34"/>
  <c r="D20" i="53"/>
  <c r="B40" i="72"/>
  <c r="B38" i="72"/>
  <c r="F7" i="36"/>
  <c r="AA7" i="35"/>
  <c r="R38" i="35"/>
  <c r="S7" i="35"/>
  <c r="H7" i="37"/>
  <c r="U7" i="21"/>
  <c r="AB7" i="21"/>
  <c r="T48" i="21"/>
  <c r="G48" i="21"/>
  <c r="AA34" i="35"/>
  <c r="S34" i="35"/>
  <c r="E30" i="6"/>
  <c r="E31" i="6"/>
  <c r="K15" i="1"/>
  <c r="K16" i="1"/>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7" i="43"/>
  <c r="E105" i="43"/>
  <c r="E109" i="43"/>
  <c r="M109" i="43"/>
  <c r="M102" i="43"/>
  <c r="M106" i="43"/>
  <c r="M103" i="43"/>
  <c r="M104" i="43"/>
  <c r="M107" i="43"/>
  <c r="M105" i="43"/>
  <c r="N103" i="43"/>
  <c r="N106" i="43"/>
  <c r="N107" i="43"/>
  <c r="N109" i="43"/>
  <c r="N102" i="43"/>
  <c r="N105" i="43"/>
  <c r="N104" i="43"/>
  <c r="K107" i="43"/>
  <c r="K104" i="43"/>
  <c r="K106" i="43"/>
  <c r="K109" i="43"/>
  <c r="K103" i="43"/>
  <c r="K102" i="43"/>
  <c r="K105" i="43"/>
  <c r="O16" i="1"/>
  <c r="W7" i="35"/>
  <c r="AC7" i="35"/>
  <c r="V38" i="35"/>
  <c r="I38" i="35"/>
  <c r="AC7" i="34"/>
  <c r="V49" i="34"/>
  <c r="I49" i="34"/>
  <c r="W7" i="34"/>
  <c r="AA7" i="21"/>
  <c r="R48" i="21"/>
  <c r="S7" i="21"/>
  <c r="H14" i="74"/>
  <c r="B7" i="74"/>
  <c r="D10" i="52"/>
  <c r="D125" i="9"/>
  <c r="D11" i="52"/>
  <c r="C49" i="33"/>
  <c r="C48" i="33"/>
  <c r="AB7" i="36"/>
  <c r="T36" i="36"/>
  <c r="G36" i="36"/>
  <c r="U7" i="36"/>
  <c r="U7" i="35"/>
  <c r="AB7" i="35"/>
  <c r="T38" i="35"/>
  <c r="G38" i="35"/>
  <c r="S7" i="34"/>
  <c r="AA7" i="34"/>
  <c r="R49" i="34"/>
  <c r="F65" i="40"/>
  <c r="G63" i="40"/>
  <c r="N16" i="1"/>
  <c r="L16" i="1"/>
  <c r="AC7" i="37"/>
  <c r="W7" i="37"/>
  <c r="AC7" i="21"/>
  <c r="V48" i="21"/>
  <c r="I48" i="21"/>
  <c r="W7" i="21"/>
  <c r="I68" i="39"/>
  <c r="H70" i="39"/>
  <c r="C34" i="11"/>
  <c r="F59" i="15"/>
  <c r="M19" i="6"/>
  <c r="K27" i="6"/>
  <c r="AC6" i="3"/>
  <c r="H6" i="3"/>
  <c r="E6" i="3"/>
  <c r="I52" i="21"/>
  <c r="J52" i="21"/>
  <c r="H63" i="40"/>
  <c r="G65" i="40"/>
  <c r="R50" i="34"/>
  <c r="E49" i="34"/>
  <c r="G42" i="35"/>
  <c r="H42" i="35"/>
  <c r="G43" i="35"/>
  <c r="H43" i="35"/>
  <c r="R49" i="21"/>
  <c r="E48" i="21"/>
  <c r="I53" i="34"/>
  <c r="J53" i="34"/>
  <c r="I54" i="34"/>
  <c r="J54" i="34"/>
  <c r="C115" i="43"/>
  <c r="G52" i="21"/>
  <c r="H52" i="21"/>
  <c r="G53" i="21"/>
  <c r="H53" i="21"/>
  <c r="U7" i="37"/>
  <c r="AB7" i="37"/>
  <c r="AA7" i="36"/>
  <c r="R36" i="36"/>
  <c r="S7" i="36"/>
  <c r="I40" i="36"/>
  <c r="J40" i="36"/>
  <c r="T15"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J68" i="39"/>
  <c r="I70" i="39"/>
  <c r="F50" i="69"/>
  <c r="F50" i="11"/>
  <c r="G40" i="36"/>
  <c r="H40" i="36"/>
  <c r="G41" i="36"/>
  <c r="H41" i="36"/>
  <c r="I42" i="35"/>
  <c r="J42" i="35"/>
  <c r="E38" i="35"/>
  <c r="I43" i="35"/>
  <c r="J43" i="35"/>
  <c r="R39" i="35"/>
  <c r="G54" i="34"/>
  <c r="H54" i="34"/>
  <c r="G53" i="34"/>
  <c r="H53" i="34"/>
  <c r="P49" i="71"/>
  <c r="P48" i="71"/>
  <c r="T19" i="71"/>
  <c r="D19" i="71"/>
  <c r="M20" i="43"/>
  <c r="Q49" i="71"/>
  <c r="Q48" i="71"/>
  <c r="D3" i="34"/>
  <c r="D3" i="33"/>
  <c r="E6" i="6"/>
  <c r="C17" i="4"/>
  <c r="B4" i="52"/>
  <c r="B43" i="72"/>
  <c r="L18" i="9"/>
  <c r="D3" i="21"/>
  <c r="D19" i="11"/>
  <c r="C19" i="11"/>
  <c r="D37" i="11"/>
  <c r="C37" i="11"/>
  <c r="C33" i="11"/>
  <c r="C39" i="11" s="1"/>
  <c r="C46" i="11" s="1"/>
  <c r="C45" i="11" s="1"/>
  <c r="D14" i="12"/>
  <c r="D17" i="12" s="1"/>
  <c r="C17" i="12" s="1"/>
  <c r="M18" i="9"/>
  <c r="B118" i="9"/>
  <c r="B14" i="74"/>
  <c r="B1" i="74"/>
  <c r="C8" i="74"/>
  <c r="M27" i="6"/>
  <c r="I19" i="6"/>
  <c r="H19" i="6"/>
  <c r="D10" i="11"/>
  <c r="C10" i="11"/>
  <c r="D20" i="12"/>
  <c r="C20" i="12" s="1"/>
  <c r="C39" i="35"/>
  <c r="C38" i="35"/>
  <c r="K68" i="39"/>
  <c r="J70" i="39"/>
  <c r="E36" i="36"/>
  <c r="R37" i="36"/>
  <c r="C48" i="21"/>
  <c r="C49" i="21"/>
  <c r="B2" i="21"/>
  <c r="B3" i="21"/>
  <c r="C7" i="74"/>
  <c r="C49" i="34"/>
  <c r="C50" i="34"/>
  <c r="I63" i="40"/>
  <c r="H65" i="40"/>
  <c r="C20" i="11"/>
  <c r="E43" i="35"/>
  <c r="F43" i="35"/>
  <c r="E42" i="35"/>
  <c r="F42" i="35"/>
  <c r="H20" i="6"/>
  <c r="D25" i="6"/>
  <c r="D15" i="6"/>
  <c r="D22" i="6"/>
  <c r="D21" i="6"/>
  <c r="D24" i="6"/>
  <c r="D20" i="6"/>
  <c r="R20" i="6"/>
  <c r="D9" i="6"/>
  <c r="D10" i="6"/>
  <c r="L19" i="9"/>
  <c r="D29" i="6"/>
  <c r="H25" i="6"/>
  <c r="H22" i="6"/>
  <c r="H21" i="6"/>
  <c r="H24" i="6"/>
  <c r="M19" i="9"/>
  <c r="C118" i="9"/>
  <c r="B2" i="74"/>
  <c r="D19" i="6"/>
  <c r="D26" i="6"/>
  <c r="C18" i="4"/>
  <c r="D8" i="6"/>
  <c r="D23" i="6"/>
  <c r="D14" i="6"/>
  <c r="D5" i="6"/>
  <c r="D12" i="6"/>
  <c r="D11" i="6"/>
  <c r="D28" i="6"/>
  <c r="D30" i="6"/>
  <c r="E61" i="40"/>
  <c r="H23" i="6"/>
  <c r="H26" i="6"/>
  <c r="D6" i="6"/>
  <c r="E53" i="21"/>
  <c r="F53" i="21"/>
  <c r="E52" i="21"/>
  <c r="F52" i="21"/>
  <c r="E54" i="34"/>
  <c r="F54" i="34"/>
  <c r="E53" i="34"/>
  <c r="F53" i="34"/>
  <c r="I53" i="21"/>
  <c r="J53" i="21"/>
  <c r="H27" i="6"/>
  <c r="R21" i="6"/>
  <c r="I27" i="6"/>
  <c r="S19" i="6"/>
  <c r="S27" i="6"/>
  <c r="R26" i="6"/>
  <c r="D8" i="74"/>
  <c r="D7" i="74"/>
  <c r="R24" i="6"/>
  <c r="R22" i="6"/>
  <c r="R25" i="6"/>
  <c r="E41" i="36"/>
  <c r="F41" i="36"/>
  <c r="E40" i="36"/>
  <c r="F40" i="36"/>
  <c r="I41" i="36"/>
  <c r="J41" i="36"/>
  <c r="L68" i="39"/>
  <c r="K70" i="39"/>
  <c r="R23" i="6"/>
  <c r="A7" i="51"/>
  <c r="B7" i="72"/>
  <c r="C4" i="52"/>
  <c r="B45" i="72"/>
  <c r="A10" i="51"/>
  <c r="B9" i="72"/>
  <c r="D27" i="6"/>
  <c r="D31" i="6"/>
  <c r="R19" i="6"/>
  <c r="C28" i="11"/>
  <c r="C27" i="11"/>
  <c r="I65" i="40"/>
  <c r="J63" i="40"/>
  <c r="C37" i="36"/>
  <c r="C36" i="36"/>
  <c r="R27" i="6"/>
  <c r="K63" i="40"/>
  <c r="J65" i="40"/>
  <c r="M68" i="39"/>
  <c r="L70" i="39"/>
  <c r="I6" i="6"/>
  <c r="I5" i="6"/>
  <c r="N68" i="39"/>
  <c r="M70" i="39"/>
  <c r="L63" i="40"/>
  <c r="K65" i="40"/>
  <c r="M63" i="40"/>
  <c r="L65" i="40"/>
  <c r="O68" i="39"/>
  <c r="O70" i="39"/>
  <c r="N70" i="39"/>
  <c r="F7" i="39"/>
  <c r="H7" i="39"/>
  <c r="J7" i="39"/>
  <c r="S7" i="39"/>
  <c r="AA7" i="39"/>
  <c r="R47" i="39"/>
  <c r="E47" i="39" s="1"/>
  <c r="E51" i="39" s="1"/>
  <c r="F51" i="39" s="1"/>
  <c r="N63" i="40"/>
  <c r="M65" i="40"/>
  <c r="AC7" i="39"/>
  <c r="V47" i="39"/>
  <c r="I47" i="39" s="1"/>
  <c r="W7" i="39"/>
  <c r="O63" i="40"/>
  <c r="O65" i="40"/>
  <c r="N65" i="40"/>
  <c r="AB7" i="39"/>
  <c r="T47" i="39"/>
  <c r="G47" i="39" s="1"/>
  <c r="U7" i="39"/>
  <c r="F7" i="40"/>
  <c r="J7" i="40"/>
  <c r="H7" i="40"/>
  <c r="W7" i="40"/>
  <c r="AC7" i="40"/>
  <c r="V42" i="40"/>
  <c r="I42" i="40"/>
  <c r="AB7" i="40"/>
  <c r="T42" i="40"/>
  <c r="G42" i="40" s="1"/>
  <c r="U7" i="40"/>
  <c r="AA7" i="40"/>
  <c r="R42" i="40"/>
  <c r="R43" i="40" s="1"/>
  <c r="S7" i="40"/>
  <c r="E42" i="40"/>
  <c r="I46" i="40"/>
  <c r="J46" i="40" s="1"/>
  <c r="E46" i="40"/>
  <c r="F46" i="40" s="1"/>
  <c r="I47" i="40"/>
  <c r="J47" i="40" s="1"/>
  <c r="E11" i="76"/>
  <c r="F7" i="15"/>
  <c r="F36" i="67"/>
  <c r="C76" i="15"/>
  <c r="F9" i="15"/>
  <c r="F37" i="67"/>
  <c r="F40" i="67"/>
  <c r="M22" i="67"/>
  <c r="AO8" i="1"/>
  <c r="F35" i="67"/>
  <c r="F36" i="15"/>
  <c r="B9" i="76"/>
  <c r="F43" i="15"/>
  <c r="F27" i="69"/>
  <c r="L48" i="67"/>
  <c r="F38" i="67"/>
  <c r="D4" i="73"/>
  <c r="D5" i="73"/>
  <c r="F9" i="67"/>
  <c r="M27" i="15"/>
  <c r="J15" i="15"/>
  <c r="D9" i="69"/>
  <c r="M29" i="15"/>
  <c r="E9" i="76"/>
  <c r="M9" i="67"/>
  <c r="M21" i="67"/>
  <c r="M22" i="15"/>
  <c r="AO12" i="1"/>
  <c r="M28" i="15"/>
  <c r="AO7" i="1"/>
  <c r="M24" i="67"/>
  <c r="D7" i="73"/>
  <c r="F40" i="15"/>
  <c r="C36" i="69"/>
  <c r="M9" i="15"/>
  <c r="B7" i="76"/>
  <c r="D34" i="9"/>
  <c r="M26" i="67"/>
  <c r="E12" i="76"/>
  <c r="AO13" i="1"/>
  <c r="D6" i="73"/>
  <c r="L47" i="15"/>
  <c r="F35" i="15"/>
  <c r="D9" i="68"/>
  <c r="F6" i="15"/>
  <c r="F6" i="67"/>
  <c r="D10" i="69"/>
  <c r="F42" i="15"/>
  <c r="E10" i="76"/>
  <c r="C14" i="15"/>
  <c r="M6" i="15"/>
  <c r="F8" i="15"/>
  <c r="C34" i="69"/>
  <c r="F5" i="73"/>
  <c r="M28" i="67"/>
  <c r="J15" i="67"/>
  <c r="L47" i="67"/>
  <c r="B12" i="76"/>
  <c r="B8" i="76"/>
  <c r="F26" i="15"/>
  <c r="M8" i="67"/>
  <c r="F38" i="15"/>
  <c r="M27" i="67"/>
  <c r="M26" i="15"/>
  <c r="C76" i="67"/>
  <c r="B11" i="76"/>
  <c r="M24" i="15"/>
  <c r="F42" i="67"/>
  <c r="AO9" i="1"/>
  <c r="F3" i="73"/>
  <c r="B10" i="76"/>
  <c r="D3" i="73"/>
  <c r="D2" i="21"/>
  <c r="F7" i="67"/>
  <c r="L48" i="15"/>
  <c r="F27" i="68"/>
  <c r="F26" i="67"/>
  <c r="M29" i="67"/>
  <c r="F13" i="67"/>
  <c r="M23" i="15"/>
  <c r="E13" i="76"/>
  <c r="AO10" i="1"/>
  <c r="F16" i="67"/>
  <c r="B13" i="76"/>
  <c r="E8" i="76"/>
  <c r="F20" i="31"/>
  <c r="M8" i="15"/>
  <c r="C34" i="68"/>
  <c r="D2" i="33"/>
  <c r="D2" i="34"/>
  <c r="D2" i="36"/>
  <c r="E7" i="76"/>
  <c r="F37" i="15"/>
  <c r="F6" i="73"/>
  <c r="F7" i="73"/>
  <c r="D2" i="35"/>
  <c r="F4" i="73"/>
  <c r="D35" i="9"/>
  <c r="F8" i="67"/>
  <c r="F16" i="15"/>
  <c r="F43" i="67"/>
  <c r="M6" i="67"/>
  <c r="M23" i="67"/>
  <c r="C36" i="68"/>
  <c r="M21" i="15"/>
  <c r="F13" i="15"/>
  <c r="AO11" i="1"/>
  <c r="D10" i="68"/>
  <c r="D113" i="43" l="1"/>
  <c r="G22" i="43"/>
  <c r="H106" i="43"/>
  <c r="H109" i="43"/>
  <c r="H103" i="43"/>
  <c r="H105" i="43"/>
  <c r="H107" i="43"/>
  <c r="H104" i="43"/>
  <c r="I51" i="39"/>
  <c r="J51" i="39" s="1"/>
  <c r="I52" i="39"/>
  <c r="J52" i="39" s="1"/>
  <c r="R48" i="39"/>
  <c r="G16" i="1"/>
  <c r="C43" i="40"/>
  <c r="C42" i="40"/>
  <c r="G52" i="39"/>
  <c r="H52" i="39" s="1"/>
  <c r="G51" i="39"/>
  <c r="H51" i="39" s="1"/>
  <c r="E52" i="39"/>
  <c r="F52" i="39" s="1"/>
  <c r="H10" i="39"/>
  <c r="F10" i="39"/>
  <c r="J10" i="39"/>
  <c r="J10" i="40"/>
  <c r="H10" i="40"/>
  <c r="F10" i="40"/>
  <c r="G47" i="40"/>
  <c r="H47" i="40" s="1"/>
  <c r="E47" i="40"/>
  <c r="F47" i="40" s="1"/>
  <c r="G46" i="40"/>
  <c r="H46" i="40" s="1"/>
  <c r="D16" i="6"/>
  <c r="D13" i="6"/>
  <c r="H17" i="43"/>
  <c r="F22" i="43"/>
  <c r="D22" i="43" s="1"/>
  <c r="C21" i="43" s="1"/>
  <c r="F38" i="43"/>
  <c r="F36" i="43"/>
  <c r="F34" i="43"/>
  <c r="C17" i="43"/>
  <c r="C16" i="43" s="1"/>
  <c r="C5" i="43" s="1"/>
  <c r="I17" i="43"/>
  <c r="B8" i="49"/>
  <c r="E22" i="49"/>
  <c r="R42" i="37"/>
  <c r="E42" i="37" s="1"/>
  <c r="V42" i="37"/>
  <c r="I42" i="37" s="1"/>
  <c r="T42" i="37"/>
  <c r="G42" i="37" s="1"/>
  <c r="G46" i="37" s="1"/>
  <c r="H46" i="37" s="1"/>
  <c r="I46" i="37"/>
  <c r="J46" i="37" s="1"/>
  <c r="E81" i="43"/>
  <c r="B79" i="43" s="1"/>
  <c r="C24" i="43" s="1"/>
  <c r="E5" i="49"/>
  <c r="B9" i="49"/>
  <c r="B7" i="49"/>
  <c r="C18" i="12"/>
  <c r="C15" i="12"/>
  <c r="E11" i="49"/>
  <c r="B4" i="49"/>
  <c r="E10" i="49"/>
  <c r="E16" i="49"/>
  <c r="B5" i="49"/>
  <c r="B14" i="49"/>
  <c r="R16" i="1"/>
  <c r="C10" i="69"/>
  <c r="M59" i="15"/>
  <c r="N59" i="15"/>
  <c r="L58" i="15"/>
  <c r="L59" i="15"/>
  <c r="F68" i="67"/>
  <c r="C27" i="67"/>
  <c r="F66" i="67"/>
  <c r="L59" i="67"/>
  <c r="M59" i="67"/>
  <c r="L58" i="67"/>
  <c r="N59" i="67"/>
  <c r="B7" i="70"/>
  <c r="Q71" i="15"/>
  <c r="F50" i="67"/>
  <c r="M7" i="67"/>
  <c r="J6" i="67" s="1"/>
  <c r="B11" i="70"/>
  <c r="B8" i="70"/>
  <c r="B2" i="36"/>
  <c r="B3" i="36" s="1"/>
  <c r="J20" i="67"/>
  <c r="F64" i="67"/>
  <c r="C6" i="67"/>
  <c r="B10" i="70"/>
  <c r="B9" i="70"/>
  <c r="C6" i="15"/>
  <c r="C47" i="69"/>
  <c r="D45" i="69" s="1"/>
  <c r="C29" i="69"/>
  <c r="D27" i="69" s="1"/>
  <c r="C38" i="68"/>
  <c r="C35" i="68"/>
  <c r="F64" i="15"/>
  <c r="F63" i="15"/>
  <c r="C62" i="15" s="1"/>
  <c r="C34" i="15"/>
  <c r="C27" i="15"/>
  <c r="B2" i="35"/>
  <c r="B3" i="35" s="1"/>
  <c r="F63" i="67"/>
  <c r="C62" i="67" s="1"/>
  <c r="C34" i="67"/>
  <c r="B20" i="31"/>
  <c r="F71" i="67"/>
  <c r="F65" i="67"/>
  <c r="F51" i="67"/>
  <c r="B13" i="70"/>
  <c r="B2" i="34"/>
  <c r="B3" i="34" s="1"/>
  <c r="B2" i="33"/>
  <c r="B3" i="33" s="1"/>
  <c r="F70" i="67"/>
  <c r="Q71" i="67"/>
  <c r="B12" i="70"/>
  <c r="C35" i="69"/>
  <c r="C38" i="69"/>
  <c r="J53" i="15"/>
  <c r="L56" i="15" s="1"/>
  <c r="I54" i="15"/>
  <c r="J57" i="15"/>
  <c r="J55" i="15" s="1"/>
  <c r="J58" i="15" s="1"/>
  <c r="Q50" i="15" s="1"/>
  <c r="J60" i="15"/>
  <c r="Q48" i="15" s="1"/>
  <c r="J59" i="15"/>
  <c r="J53" i="67"/>
  <c r="J57" i="67"/>
  <c r="J55" i="67" s="1"/>
  <c r="J58" i="67" s="1"/>
  <c r="Q50" i="67" s="1"/>
  <c r="L56" i="67"/>
  <c r="I54" i="67"/>
  <c r="L57" i="67"/>
  <c r="L60" i="67"/>
  <c r="C9" i="68"/>
  <c r="D19" i="68"/>
  <c r="F65" i="15"/>
  <c r="F51" i="15"/>
  <c r="K1" i="73"/>
  <c r="I1" i="73"/>
  <c r="B39" i="1" s="1"/>
  <c r="M7" i="15"/>
  <c r="J6" i="15" s="1"/>
  <c r="F50" i="15"/>
  <c r="E20" i="43"/>
  <c r="C9" i="69"/>
  <c r="D19" i="69"/>
  <c r="C47" i="68"/>
  <c r="D45" i="68" s="1"/>
  <c r="C29" i="68"/>
  <c r="D27" i="68" s="1"/>
  <c r="C10" i="68"/>
  <c r="F66" i="15"/>
  <c r="F68" i="15"/>
  <c r="J20" i="15"/>
  <c r="F71" i="15"/>
  <c r="C18" i="15"/>
  <c r="C15" i="15"/>
  <c r="C14" i="12"/>
  <c r="C16" i="12" s="1"/>
  <c r="B23" i="49"/>
  <c r="B10" i="49"/>
  <c r="E4" i="4" s="1"/>
  <c r="B5" i="62" s="1"/>
  <c r="B73" i="72" s="1"/>
  <c r="B16" i="49"/>
  <c r="E7" i="49"/>
  <c r="E6" i="49"/>
  <c r="B13" i="49"/>
  <c r="B11" i="49"/>
  <c r="E21" i="49"/>
  <c r="E9" i="49"/>
  <c r="B6" i="49"/>
  <c r="C4" i="4" s="1"/>
  <c r="E4" i="49"/>
  <c r="C16" i="67"/>
  <c r="C16" i="15"/>
  <c r="C17" i="67"/>
  <c r="C14" i="67"/>
  <c r="C17" i="15"/>
  <c r="G1" i="73"/>
  <c r="S4" i="43" l="1"/>
  <c r="C23" i="43"/>
  <c r="S5" i="43"/>
  <c r="S2" i="43"/>
  <c r="S7" i="43"/>
  <c r="S3" i="43"/>
  <c r="S6" i="43"/>
  <c r="C47" i="39"/>
  <c r="C48" i="39"/>
  <c r="U10" i="40"/>
  <c r="AB10" i="40"/>
  <c r="W10" i="39"/>
  <c r="AC10" i="39"/>
  <c r="U10" i="39"/>
  <c r="AB10" i="39"/>
  <c r="S10" i="40"/>
  <c r="AA10" i="40"/>
  <c r="W10" i="40"/>
  <c r="AC10" i="40"/>
  <c r="AA10" i="39"/>
  <c r="S10" i="39"/>
  <c r="B59" i="40"/>
  <c r="F59" i="40" s="1"/>
  <c r="B52" i="40"/>
  <c r="F52" i="40" s="1"/>
  <c r="B56" i="40"/>
  <c r="F56" i="40" s="1"/>
  <c r="F61" i="40"/>
  <c r="B2" i="40" s="1"/>
  <c r="B3" i="40" s="1"/>
  <c r="B57" i="40"/>
  <c r="F57" i="40" s="1"/>
  <c r="B51" i="40"/>
  <c r="F51" i="40" s="1"/>
  <c r="B54" i="40"/>
  <c r="F54" i="40" s="1"/>
  <c r="B53" i="40"/>
  <c r="F53" i="40" s="1"/>
  <c r="B58" i="40"/>
  <c r="F58" i="40" s="1"/>
  <c r="B55" i="40"/>
  <c r="F55" i="40" s="1"/>
  <c r="B60" i="40"/>
  <c r="F60" i="40" s="1"/>
  <c r="I47" i="37"/>
  <c r="J47" i="37" s="1"/>
  <c r="G47" i="37"/>
  <c r="H47" i="37" s="1"/>
  <c r="R43" i="37"/>
  <c r="C42" i="37" s="1"/>
  <c r="C49" i="67"/>
  <c r="E47" i="37"/>
  <c r="F47" i="37" s="1"/>
  <c r="E46" i="37"/>
  <c r="F46" i="37" s="1"/>
  <c r="C43" i="37"/>
  <c r="C8" i="69"/>
  <c r="C21" i="12"/>
  <c r="C8" i="68"/>
  <c r="C19" i="15"/>
  <c r="B40" i="1"/>
  <c r="C15" i="67"/>
  <c r="C18" i="67"/>
  <c r="C22" i="12"/>
  <c r="C30" i="12" s="1"/>
  <c r="C28" i="12" s="1"/>
  <c r="K4" i="4"/>
  <c r="B46" i="48" s="1"/>
  <c r="B4" i="72" s="1"/>
  <c r="B4" i="62"/>
  <c r="B71" i="72" s="1"/>
  <c r="C19" i="69"/>
  <c r="D37" i="69"/>
  <c r="C37" i="69" s="1"/>
  <c r="C33" i="69" s="1"/>
  <c r="P17" i="43"/>
  <c r="O17" i="43"/>
  <c r="N17" i="43"/>
  <c r="M17" i="43"/>
  <c r="M11" i="15"/>
  <c r="J10" i="15" s="1"/>
  <c r="J5" i="15" s="1"/>
  <c r="F11" i="15"/>
  <c r="C10" i="15" s="1"/>
  <c r="C5" i="15" s="1"/>
  <c r="M11" i="67"/>
  <c r="J10" i="67" s="1"/>
  <c r="J5" i="67" s="1"/>
  <c r="F11" i="67"/>
  <c r="C10" i="67" s="1"/>
  <c r="C5" i="67" s="1"/>
  <c r="C49" i="15"/>
  <c r="D37" i="68"/>
  <c r="C37" i="68" s="1"/>
  <c r="C33" i="68" s="1"/>
  <c r="C19" i="68"/>
  <c r="Q57" i="67"/>
  <c r="Q66" i="67"/>
  <c r="F1" i="15"/>
  <c r="Q52" i="15"/>
  <c r="Q60" i="15"/>
  <c r="Q73" i="15"/>
  <c r="F1" i="67"/>
  <c r="Q52" i="67"/>
  <c r="Q60" i="67"/>
  <c r="Q73" i="67"/>
  <c r="Q61" i="67"/>
  <c r="Q74" i="67"/>
  <c r="Q61" i="15"/>
  <c r="Q74" i="15"/>
  <c r="B58" i="39" l="1"/>
  <c r="F58" i="39" s="1"/>
  <c r="B60" i="39"/>
  <c r="F60" i="39" s="1"/>
  <c r="B61" i="39"/>
  <c r="F61" i="39" s="1"/>
  <c r="B56" i="39"/>
  <c r="F56" i="39" s="1"/>
  <c r="F66" i="39" s="1"/>
  <c r="B2" i="39" s="1"/>
  <c r="B3" i="39" s="1"/>
  <c r="B62" i="39"/>
  <c r="F62" i="39" s="1"/>
  <c r="B57" i="39"/>
  <c r="F57" i="39" s="1"/>
  <c r="B64" i="39"/>
  <c r="F64" i="39" s="1"/>
  <c r="B63" i="39"/>
  <c r="F63" i="39" s="1"/>
  <c r="B65" i="39"/>
  <c r="F65" i="39" s="1"/>
  <c r="B59" i="39"/>
  <c r="F59" i="39" s="1"/>
  <c r="G20" i="43"/>
  <c r="C20" i="43" s="1"/>
  <c r="C33" i="43" s="1"/>
  <c r="C53" i="67"/>
  <c r="C48" i="67" s="1"/>
  <c r="C60" i="67" s="1"/>
  <c r="B3" i="37"/>
  <c r="B2" i="37"/>
  <c r="C19" i="67"/>
  <c r="C20" i="67" s="1"/>
  <c r="C32" i="67"/>
  <c r="C38" i="67"/>
  <c r="J24" i="15"/>
  <c r="J18" i="15"/>
  <c r="J18" i="67"/>
  <c r="J24" i="67"/>
  <c r="C66" i="67"/>
  <c r="C39" i="68"/>
  <c r="C20" i="15"/>
  <c r="C26" i="15" s="1"/>
  <c r="C39" i="69"/>
  <c r="C46" i="69" s="1"/>
  <c r="C45" i="69" s="1"/>
  <c r="F24" i="15"/>
  <c r="C24" i="15" s="1"/>
  <c r="F22" i="68"/>
  <c r="C24" i="68" s="1"/>
  <c r="F25" i="12"/>
  <c r="F24" i="67"/>
  <c r="C24" i="67" s="1"/>
  <c r="F22" i="11"/>
  <c r="F22" i="69"/>
  <c r="C24" i="69" s="1"/>
  <c r="C32" i="15"/>
  <c r="C38" i="15"/>
  <c r="C53" i="15"/>
  <c r="C48" i="15" s="1"/>
  <c r="C20" i="9"/>
  <c r="C19" i="9"/>
  <c r="T2" i="43" l="1"/>
  <c r="V2" i="43" s="1"/>
  <c r="T7" i="43"/>
  <c r="V7" i="43" s="1"/>
  <c r="T4" i="43"/>
  <c r="V4" i="43" s="1"/>
  <c r="T13" i="43"/>
  <c r="V13" i="43" s="1"/>
  <c r="T8" i="43"/>
  <c r="V8" i="43" s="1"/>
  <c r="T12" i="43"/>
  <c r="V12" i="43" s="1"/>
  <c r="T16" i="43"/>
  <c r="V16" i="43" s="1"/>
  <c r="C29" i="43"/>
  <c r="C6" i="69" s="1"/>
  <c r="C38" i="43"/>
  <c r="E38" i="43" s="1"/>
  <c r="C36" i="43"/>
  <c r="G36" i="43" s="1"/>
  <c r="I36" i="43" s="1"/>
  <c r="C34" i="43"/>
  <c r="E34" i="43" s="1"/>
  <c r="T3" i="43"/>
  <c r="V3" i="43" s="1"/>
  <c r="T6" i="43"/>
  <c r="V6" i="43" s="1"/>
  <c r="T5" i="43"/>
  <c r="V5" i="43" s="1"/>
  <c r="T10" i="43"/>
  <c r="V10" i="43" s="1"/>
  <c r="T15" i="43"/>
  <c r="V15" i="43" s="1"/>
  <c r="T9" i="43"/>
  <c r="V9" i="43" s="1"/>
  <c r="T14" i="43"/>
  <c r="V14" i="43" s="1"/>
  <c r="T11" i="43"/>
  <c r="V11" i="43" s="1"/>
  <c r="C39" i="43"/>
  <c r="E39" i="43" s="1"/>
  <c r="C37" i="43"/>
  <c r="G37" i="43" s="1"/>
  <c r="I37" i="43" s="1"/>
  <c r="C35" i="43"/>
  <c r="G35" i="43" s="1"/>
  <c r="I35" i="43" s="1"/>
  <c r="C102" i="9"/>
  <c r="C21" i="9"/>
  <c r="C103" i="9"/>
  <c r="C26" i="67"/>
  <c r="C26" i="68"/>
  <c r="D22" i="68" s="1"/>
  <c r="C44" i="68"/>
  <c r="D41" i="68" s="1"/>
  <c r="C43" i="68"/>
  <c r="C42" i="68"/>
  <c r="C25" i="11"/>
  <c r="C26" i="11"/>
  <c r="D22" i="11" s="1"/>
  <c r="C44" i="11"/>
  <c r="D41" i="11" s="1"/>
  <c r="C23" i="11"/>
  <c r="C24" i="11"/>
  <c r="C42" i="11"/>
  <c r="C43" i="11"/>
  <c r="C26" i="12"/>
  <c r="D25" i="12" s="1"/>
  <c r="C27" i="12"/>
  <c r="C25" i="12" s="1"/>
  <c r="C42" i="69"/>
  <c r="C23" i="15"/>
  <c r="C29" i="15" s="1"/>
  <c r="C23" i="67"/>
  <c r="C46" i="68"/>
  <c r="C45" i="68" s="1"/>
  <c r="C60" i="15"/>
  <c r="C66" i="15"/>
  <c r="C26" i="69"/>
  <c r="D22" i="69" s="1"/>
  <c r="C44" i="69"/>
  <c r="D41" i="69" s="1"/>
  <c r="C43" i="69"/>
  <c r="E33" i="43"/>
  <c r="G33" i="43"/>
  <c r="I33" i="43" s="1"/>
  <c r="E29" i="43" l="1"/>
  <c r="J25" i="68" s="1"/>
  <c r="E36" i="43"/>
  <c r="E35" i="43"/>
  <c r="G39" i="43"/>
  <c r="I39" i="43" s="1"/>
  <c r="E37" i="43"/>
  <c r="C30" i="43"/>
  <c r="E30" i="43" s="1"/>
  <c r="C29" i="67"/>
  <c r="C13" i="67" s="1"/>
  <c r="G34" i="43"/>
  <c r="I34" i="43" s="1"/>
  <c r="G38" i="43"/>
  <c r="I38" i="43" s="1"/>
  <c r="C32" i="12"/>
  <c r="B2" i="12" s="1"/>
  <c r="B3" i="12" s="1"/>
  <c r="J19" i="15"/>
  <c r="J17" i="15" s="1"/>
  <c r="J14" i="15"/>
  <c r="C57" i="15"/>
  <c r="C36" i="15"/>
  <c r="C13" i="15"/>
  <c r="C33" i="15"/>
  <c r="C31" i="15" s="1"/>
  <c r="Q49" i="15"/>
  <c r="C41" i="69"/>
  <c r="C49" i="69" s="1"/>
  <c r="C41" i="11"/>
  <c r="C49" i="11" s="1"/>
  <c r="C51" i="11" s="1"/>
  <c r="C22" i="11"/>
  <c r="C31" i="11" s="1"/>
  <c r="C41" i="68"/>
  <c r="C49" i="68" s="1"/>
  <c r="C51" i="68" s="1"/>
  <c r="C33" i="67" l="1"/>
  <c r="C31" i="67" s="1"/>
  <c r="C36" i="67"/>
  <c r="C26" i="43"/>
  <c r="B2" i="43" s="1"/>
  <c r="J59" i="67"/>
  <c r="J60" i="67" s="1"/>
  <c r="Q48" i="67" s="1"/>
  <c r="J19" i="67"/>
  <c r="J17" i="67" s="1"/>
  <c r="Q49" i="67"/>
  <c r="J14" i="67"/>
  <c r="J13" i="67" s="1"/>
  <c r="J23" i="67" s="1"/>
  <c r="C57" i="67"/>
  <c r="C64" i="67" s="1"/>
  <c r="C27" i="43"/>
  <c r="C51" i="69"/>
  <c r="C6" i="68"/>
  <c r="J13" i="15"/>
  <c r="J23" i="15" s="1"/>
  <c r="J22" i="15"/>
  <c r="L46" i="67"/>
  <c r="C52" i="11"/>
  <c r="B2" i="11" s="1"/>
  <c r="B3" i="11" s="1"/>
  <c r="Q70" i="67"/>
  <c r="C75" i="67"/>
  <c r="C56" i="67"/>
  <c r="C65" i="67" s="1"/>
  <c r="C37" i="67"/>
  <c r="C7" i="69"/>
  <c r="C5" i="69" s="1"/>
  <c r="C56" i="15"/>
  <c r="C65" i="15" s="1"/>
  <c r="C37" i="15"/>
  <c r="C30" i="15" s="1"/>
  <c r="C39" i="15" s="1"/>
  <c r="Q70" i="15"/>
  <c r="C75" i="15"/>
  <c r="C61" i="15"/>
  <c r="C59" i="15" s="1"/>
  <c r="C64" i="15"/>
  <c r="B6" i="76"/>
  <c r="E6" i="76"/>
  <c r="J22" i="67" l="1"/>
  <c r="J16" i="67" s="1"/>
  <c r="J25" i="67" s="1"/>
  <c r="J26" i="67" s="1"/>
  <c r="C30" i="67"/>
  <c r="C39" i="67" s="1"/>
  <c r="Q69" i="67" s="1"/>
  <c r="Q68" i="67" s="1"/>
  <c r="C61" i="67"/>
  <c r="C59" i="67" s="1"/>
  <c r="C58" i="67" s="1"/>
  <c r="C67" i="67" s="1"/>
  <c r="E2" i="76"/>
  <c r="J16" i="15"/>
  <c r="J25" i="15" s="1"/>
  <c r="J26" i="15" s="1"/>
  <c r="C56" i="11"/>
  <c r="C57" i="11" s="1"/>
  <c r="B2" i="76"/>
  <c r="Q69" i="15"/>
  <c r="Q68" i="15" s="1"/>
  <c r="C23" i="69"/>
  <c r="C20" i="69"/>
  <c r="C25" i="69" s="1"/>
  <c r="B3" i="43"/>
  <c r="C58" i="15"/>
  <c r="C67" i="15" s="1"/>
  <c r="C80" i="15"/>
  <c r="C79" i="15" s="1"/>
  <c r="C7" i="68"/>
  <c r="C5" i="68" s="1"/>
  <c r="L51" i="15"/>
  <c r="L51" i="67"/>
  <c r="B3" i="76" l="1"/>
  <c r="C80" i="67"/>
  <c r="C79" i="67" s="1"/>
  <c r="C22" i="69"/>
  <c r="Q67" i="15"/>
  <c r="L57" i="15"/>
  <c r="L60" i="15" s="1"/>
  <c r="Q67" i="67"/>
  <c r="C23" i="68"/>
  <c r="C20" i="68"/>
  <c r="C25" i="68" s="1"/>
  <c r="C28" i="69"/>
  <c r="C27" i="69" s="1"/>
  <c r="C31" i="69" l="1"/>
  <c r="C52" i="69" s="1"/>
  <c r="C57" i="69" s="1"/>
  <c r="C56" i="69" s="1"/>
  <c r="C28" i="68"/>
  <c r="C27" i="68" s="1"/>
  <c r="C22" i="68"/>
  <c r="Q57" i="15"/>
  <c r="Q66" i="15"/>
  <c r="C31" i="68" l="1"/>
  <c r="C52" i="68" s="1"/>
  <c r="C57" i="68" s="1"/>
  <c r="C56" i="68" s="1"/>
  <c r="B2" i="69"/>
  <c r="B3" i="69"/>
  <c r="B2" i="68" l="1"/>
  <c r="J26" i="68" s="1"/>
  <c r="D19" i="9"/>
  <c r="AO6" i="1"/>
  <c r="B6" i="70" l="1"/>
  <c r="B2" i="70" s="1"/>
  <c r="B3" i="70" s="1"/>
  <c r="D21" i="9"/>
  <c r="G19" i="9"/>
  <c r="C32" i="9" s="1"/>
  <c r="D102" i="9"/>
  <c r="D22" i="9"/>
  <c r="B3" i="68"/>
  <c r="D20" i="9"/>
  <c r="G21" i="9" l="1"/>
  <c r="G20" i="9"/>
  <c r="D103" i="9"/>
  <c r="C35" i="9"/>
  <c r="F118" i="9" s="1"/>
  <c r="H118" i="9"/>
  <c r="C34" i="9" l="1"/>
  <c r="D118" i="9" s="1"/>
  <c r="I118" i="9"/>
  <c r="C104" i="9"/>
  <c r="H101" i="9"/>
  <c r="H119" i="9"/>
  <c r="H5" i="52" s="1"/>
  <c r="H4" i="52"/>
  <c r="G118" i="9"/>
  <c r="G4" i="52" s="1"/>
  <c r="B52" i="72" s="1"/>
  <c r="F4" i="52"/>
  <c r="B51" i="72" s="1"/>
  <c r="F119" i="9"/>
  <c r="F5" i="52" s="1"/>
  <c r="B53" i="72" s="1"/>
  <c r="E14" i="74" l="1"/>
  <c r="B5" i="74"/>
  <c r="F14" i="74"/>
  <c r="D45" i="9"/>
  <c r="D5" i="53"/>
  <c r="H107" i="9"/>
  <c r="M48" i="9"/>
  <c r="I4" i="52"/>
  <c r="H102" i="9"/>
  <c r="D7" i="53" s="1"/>
  <c r="B21" i="72" s="1"/>
  <c r="C105" i="9"/>
  <c r="E118" i="9"/>
  <c r="E4" i="52" s="1"/>
  <c r="B48" i="72" s="1"/>
  <c r="D119" i="9"/>
  <c r="D5" i="52" s="1"/>
  <c r="B49" i="72" s="1"/>
  <c r="D4" i="52"/>
  <c r="B47" i="72" s="1"/>
  <c r="D122" i="9" l="1"/>
  <c r="H108" i="9"/>
  <c r="D15" i="53" s="1"/>
  <c r="B31" i="72" s="1"/>
  <c r="D13" i="53"/>
  <c r="C78" i="9"/>
  <c r="C73" i="9" s="1"/>
  <c r="C85" i="9"/>
  <c r="D53" i="9"/>
  <c r="C72" i="9"/>
  <c r="D55" i="9"/>
  <c r="M53" i="9" s="1"/>
  <c r="C64" i="9"/>
  <c r="C63" i="9" s="1"/>
  <c r="C67" i="9" s="1"/>
  <c r="C68" i="9" s="1"/>
  <c r="D54" i="9" s="1"/>
  <c r="C93" i="9"/>
  <c r="C86" i="9" s="1"/>
  <c r="D52" i="9"/>
  <c r="C5" i="74"/>
  <c r="D5" i="74"/>
  <c r="D6" i="53"/>
  <c r="B22" i="72" s="1"/>
  <c r="B20" i="72"/>
  <c r="C79" i="9" l="1"/>
  <c r="C80" i="9" s="1"/>
  <c r="E80" i="9" s="1"/>
  <c r="E81" i="9" s="1"/>
  <c r="C95" i="9"/>
  <c r="D14" i="53"/>
  <c r="B32" i="72" s="1"/>
  <c r="B30" i="72"/>
  <c r="D123" i="9"/>
  <c r="D9" i="52" s="1"/>
  <c r="G14" i="74"/>
  <c r="D8" i="52"/>
  <c r="D6" i="74" l="1"/>
  <c r="C96" i="9"/>
  <c r="E96" i="9" s="1"/>
  <c r="E97" i="9" s="1"/>
  <c r="C81" i="9"/>
  <c r="C97" i="9" l="1"/>
  <c r="D58" i="9" s="1"/>
  <c r="D56" i="9" s="1"/>
  <c r="M54" i="9" s="1"/>
  <c r="N57" i="9" s="1"/>
  <c r="N59" i="9" s="1"/>
  <c r="P57" i="9" l="1"/>
  <c r="N58" i="9"/>
  <c r="N61" i="9"/>
  <c r="N60" i="9"/>
  <c r="B3" i="67"/>
  <c r="B2" i="67"/>
  <c r="C43" i="67"/>
  <c r="D2" i="67"/>
  <c r="Q62" i="15"/>
  <c r="Q65" i="67"/>
  <c r="Q75" i="67"/>
  <c r="Q47" i="67"/>
  <c r="Q53" i="67"/>
  <c r="C83" i="67"/>
  <c r="C82" i="67"/>
  <c r="C43" i="15"/>
  <c r="Q56" i="15"/>
  <c r="J29" i="67"/>
  <c r="J29" i="15"/>
  <c r="Q47" i="15"/>
  <c r="Q53" i="15"/>
  <c r="C46" i="67"/>
  <c r="C83" i="15"/>
  <c r="C82" i="15"/>
  <c r="C71" i="67"/>
  <c r="F69" i="67"/>
  <c r="C68" i="67"/>
  <c r="C45" i="67"/>
  <c r="B2" i="15"/>
  <c r="B3" i="15"/>
  <c r="C40" i="67"/>
  <c r="Q56" i="67"/>
  <c r="Q62" i="67"/>
  <c r="C40" i="15"/>
  <c r="Q65" i="15"/>
  <c r="Q75" i="15"/>
  <c r="C71" i="15"/>
  <c r="D2" i="37"/>
  <c r="E2" i="69"/>
  <c r="F41" i="67"/>
  <c r="F41" i="15"/>
  <c r="F69" i="15"/>
  <c r="C68" i="15"/>
  <c r="C46" i="15"/>
  <c r="E2" i="68"/>
  <c r="AE6"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<sst xmlns="http://schemas.openxmlformats.org/spreadsheetml/2006/main" count="7439" uniqueCount="3155">
  <si>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</si>
  <si>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</si>
  <si>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</si>
  <si>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</si>
  <si>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</si>
  <si>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</si>
  <si>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</si>
  <si>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</si>
  <si>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</si>
  <si>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</si>
  <si>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</si>
  <si>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</si>
  <si>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</si>
  <si>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</si>
  <si>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</si>
  <si>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</si>
  <si>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</si>
  <si>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</si>
  <si>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</si>
  <si>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</si>
  <si>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</si>
  <si>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</si>
  <si>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</si>
  <si>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</si>
  <si>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</si>
  <si>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</si>
  <si>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</si>
  <si>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</si>
  <si>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</si>
  <si>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</si>
  <si>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</si>
  <si>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</si>
  <si>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</si>
  <si>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</si>
  <si>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</si>
  <si>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</si>
  <si>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</si>
  <si>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</si>
  <si>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</si>
  <si>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</si>
  <si>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</si>
  <si>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</si>
  <si>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</si>
  <si>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</si>
  <si>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</si>
  <si>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</si>
  <si>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</si>
  <si>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</si>
  <si>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</si>
  <si>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</si>
  <si>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</si>
  <si>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</si>
  <si>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</si>
  <si>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</si>
  <si>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</si>
  <si>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</si>
  <si>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</si>
  <si>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</si>
  <si>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</si>
  <si>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</si>
  <si>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</si>
  <si>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</si>
  <si>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</si>
  <si>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</si>
  <si>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</si>
  <si>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</si>
  <si>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</si>
  <si>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</si>
  <si>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</si>
  <si>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</si>
  <si>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</si>
  <si>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</si>
  <si>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</si>
  <si>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</si>
  <si>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</si>
  <si>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</si>
  <si>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</si>
  <si>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</si>
  <si>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</si>
  <si>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</si>
  <si>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</si>
  <si>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</si>
  <si>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</si>
  <si>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</si>
  <si>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</si>
  <si>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</si>
  <si>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</si>
  <si>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</si>
  <si>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</si>
  <si>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</si>
  <si>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</si>
  <si>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</si>
  <si>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</si>
  <si>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</si>
  <si>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</si>
  <si>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</si>
  <si>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</si>
  <si>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</si>
  <si>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</si>
  <si>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</si>
  <si>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</si>
  <si>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</si>
  <si>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</si>
  <si>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</si>
  <si>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</si>
  <si>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</si>
  <si>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</si>
  <si>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</si>
  <si>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</si>
  <si>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</si>
  <si>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</si>
  <si>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</si>
  <si>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</si>
  <si>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</si>
  <si>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</si>
  <si>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</si>
  <si>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</si>
  <si>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</si>
  <si>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</si>
  <si>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</si>
  <si>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</si>
  <si>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</si>
  <si>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</si>
  <si>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</si>
  <si>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</si>
  <si>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</si>
  <si>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</si>
  <si>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</si>
  <si>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</si>
  <si>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</si>
  <si>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</si>
  <si>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</si>
  <si>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</si>
  <si>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</si>
  <si>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</si>
  <si>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</si>
  <si>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</si>
  <si>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</si>
  <si>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</si>
  <si>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</si>
  <si>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</si>
  <si>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</si>
  <si>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</si>
  <si>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</si>
  <si>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</si>
  <si>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</si>
  <si>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</si>
  <si>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</si>
  <si>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</si>
  <si>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</si>
  <si>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</si>
  <si>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</si>
  <si>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</si>
  <si>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</si>
  <si>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</si>
  <si>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</si>
  <si>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</si>
  <si>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</si>
  <si>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</si>
  <si>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</si>
  <si>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</si>
  <si>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</si>
  <si>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</si>
  <si>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</si>
  <si>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</si>
  <si>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</si>
  <si>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</si>
  <si>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</si>
  <si>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</si>
  <si>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</si>
  <si>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</si>
  <si>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</si>
  <si>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</si>
  <si>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</si>
  <si>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</si>
  <si>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</si>
  <si>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</si>
  <si>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</si>
  <si>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</si>
  <si>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</si>
  <si>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</si>
  <si>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</si>
  <si>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</si>
  <si>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</si>
  <si>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</si>
  <si>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</si>
  <si>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</si>
  <si>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</si>
  <si>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</si>
  <si>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</si>
  <si>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</si>
  <si>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</si>
  <si>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</si>
  <si>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</si>
  <si>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</si>
  <si>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</si>
  <si>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</si>
  <si>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</si>
  <si>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</si>
  <si>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</si>
  <si>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</si>
  <si>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</si>
  <si>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</si>
  <si>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</si>
  <si>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</si>
  <si>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</si>
  <si>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</si>
  <si>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</si>
  <si>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</si>
  <si>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</si>
  <si>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</si>
  <si>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</si>
  <si>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</si>
  <si>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</si>
  <si>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</si>
  <si>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</si>
  <si>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</si>
  <si>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</si>
  <si>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</si>
  <si>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</si>
  <si>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</si>
  <si>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</si>
  <si>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</si>
  <si>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</si>
  <si>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</si>
  <si>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</si>
  <si>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</si>
  <si>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</si>
  <si>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</si>
  <si>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</si>
  <si>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</si>
  <si>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</si>
  <si>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</si>
  <si>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</si>
  <si>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</si>
  <si>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</si>
  <si>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</si>
  <si>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</si>
  <si>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</si>
  <si>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</si>
  <si>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</si>
  <si>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</si>
  <si>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</si>
  <si>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</si>
  <si>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</si>
  <si>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</si>
  <si>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</si>
  <si>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</si>
  <si>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</si>
  <si>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</si>
  <si>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</si>
  <si>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</si>
  <si>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</si>
  <si>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</si>
  <si>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</si>
  <si>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</si>
  <si>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</si>
  <si>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</si>
  <si>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</si>
  <si>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</si>
  <si>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</si>
  <si>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</si>
  <si>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</si>
  <si>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</si>
  <si>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</si>
  <si>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</si>
  <si>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</si>
  <si>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</si>
  <si>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</si>
  <si>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</si>
  <si>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</si>
  <si>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</si>
  <si>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</si>
  <si>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</si>
  <si>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</si>
  <si>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</si>
  <si>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</si>
  <si>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</si>
  <si>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</si>
  <si>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</si>
  <si>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</si>
  <si>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</si>
  <si>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</si>
  <si>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</si>
  <si>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</si>
  <si>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</si>
  <si>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</si>
  <si>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</si>
  <si>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</si>
  <si>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</si>
  <si>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</si>
  <si>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</si>
  <si>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</si>
  <si>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</si>
  <si>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</si>
  <si>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</si>
  <si>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</si>
  <si>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</si>
  <si>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</si>
  <si>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</si>
  <si>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</si>
  <si>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</si>
  <si>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</si>
  <si>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</si>
  <si>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</si>
  <si>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</si>
  <si>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</si>
  <si>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</si>
  <si>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</si>
  <si>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</si>
  <si>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</si>
  <si>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</si>
  <si>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</si>
  <si>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</si>
  <si>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</si>
  <si>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</si>
  <si>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</si>
  <si>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</si>
  <si>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</si>
  <si>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</si>
  <si>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</si>
  <si>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</si>
  <si>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</si>
  <si>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</si>
  <si>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</si>
  <si>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</si>
  <si>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</si>
  <si>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</si>
  <si>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</si>
  <si>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</si>
  <si>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</si>
  <si>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</si>
  <si>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</si>
  <si>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</si>
  <si>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</si>
  <si>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</si>
  <si>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</si>
  <si>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</si>
  <si>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</si>
  <si>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</si>
  <si>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</si>
  <si>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</si>
  <si>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</si>
  <si>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</si>
  <si>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</si>
  <si>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</si>
  <si>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</si>
  <si>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</si>
  <si>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</si>
  <si>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</si>
  <si>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</si>
  <si>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</si>
  <si>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</si>
  <si>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</si>
  <si>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</si>
  <si>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</si>
  <si>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</si>
  <si>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</si>
  <si>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</si>
  <si>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</si>
  <si>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</si>
  <si>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</si>
  <si>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</si>
  <si>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</si>
  <si>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</si>
  <si>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</si>
  <si>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</si>
  <si>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</si>
  <si>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</si>
  <si>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</si>
  <si>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</si>
  <si>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</si>
  <si>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</si>
  <si>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</si>
  <si>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</si>
  <si>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</si>
  <si>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</si>
  <si>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</si>
  <si>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</si>
  <si>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</si>
  <si>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</si>
  <si>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</si>
  <si>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</si>
  <si>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</si>
  <si>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</si>
  <si>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</si>
  <si>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</si>
  <si>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</si>
  <si>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</si>
  <si>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</si>
  <si>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</si>
  <si>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</si>
  <si>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</si>
  <si>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</si>
  <si>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</si>
  <si>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</si>
  <si>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</si>
  <si>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</si>
  <si>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</si>
  <si>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</si>
  <si>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</si>
  <si>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</si>
  <si>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</si>
  <si>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</si>
  <si>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</si>
  <si>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</si>
  <si>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</si>
  <si>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</si>
  <si>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</si>
  <si>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</si>
  <si>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</si>
  <si>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</si>
  <si>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</si>
  <si>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</si>
  <si>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</si>
  <si>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</si>
  <si>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</si>
  <si>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</si>
  <si>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</si>
  <si>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</si>
  <si>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</si>
  <si>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</si>
  <si>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</si>
  <si>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</si>
  <si>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</si>
  <si>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</si>
  <si>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</si>
  <si>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</si>
  <si>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</si>
  <si>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</si>
  <si>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</si>
  <si>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</si>
  <si>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</si>
  <si>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</si>
  <si>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</si>
  <si>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</si>
  <si>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</si>
  <si>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</si>
  <si>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</si>
  <si>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</si>
  <si>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</si>
  <si>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</si>
  <si>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</si>
  <si>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</si>
  <si>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</si>
  <si>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</si>
  <si>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</si>
  <si>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</si>
  <si>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</si>
  <si>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</si>
  <si>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</si>
  <si>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</si>
  <si>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</si>
  <si>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</si>
  <si>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</si>
  <si>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</si>
  <si>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</si>
  <si>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</si>
  <si>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</si>
  <si>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</si>
  <si>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</si>
  <si>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</si>
  <si>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</si>
  <si>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</si>
  <si>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</si>
  <si>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</si>
  <si>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</si>
  <si>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</si>
  <si>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</si>
  <si>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</si>
  <si>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</si>
  <si>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</si>
  <si>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</si>
  <si>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</si>
  <si>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</si>
  <si>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</si>
  <si>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</si>
  <si>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</si>
  <si>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</si>
  <si>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</si>
  <si>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</si>
  <si>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</si>
  <si>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</si>
  <si>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</si>
  <si>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</si>
  <si>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</si>
  <si>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</si>
  <si>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</si>
  <si>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</si>
  <si>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</si>
  <si>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</si>
  <si>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</si>
  <si>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</si>
  <si>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</si>
  <si>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</si>
  <si>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</si>
  <si>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</si>
  <si>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</si>
  <si>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</si>
  <si>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</si>
  <si>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</si>
  <si>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</si>
  <si>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</si>
  <si>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</si>
  <si>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</si>
  <si>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</si>
  <si>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</si>
  <si>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</si>
  <si>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</si>
  <si>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</si>
  <si>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</si>
  <si>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</si>
  <si>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</si>
  <si>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</si>
  <si>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</si>
  <si>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</si>
  <si>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</si>
  <si>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</si>
  <si>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</si>
  <si>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</si>
  <si>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</si>
  <si>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</si>
  <si>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</si>
  <si>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</si>
  <si>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</si>
  <si>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</si>
  <si>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</si>
  <si>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</si>
  <si>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</si>
  <si>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</si>
  <si>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</si>
  <si>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</si>
  <si>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</si>
  <si>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</si>
  <si>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</si>
  <si>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</si>
  <si>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</si>
  <si>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</si>
  <si>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</si>
  <si>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</si>
  <si>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</si>
  <si>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</si>
  <si>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</si>
  <si>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</si>
  <si>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</si>
  <si>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</si>
  <si>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</si>
  <si>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</si>
  <si>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</si>
  <si>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</si>
  <si>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</si>
  <si>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</si>
  <si>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</si>
  <si>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</si>
  <si>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</si>
  <si>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</si>
  <si>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</si>
  <si>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</si>
  <si>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</si>
  <si>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</si>
  <si>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</si>
  <si>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</si>
  <si>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</si>
  <si>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</si>
  <si>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</si>
  <si>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</si>
  <si>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</si>
  <si>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</si>
  <si>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</si>
  <si>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</si>
  <si>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</si>
  <si>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</si>
  <si>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</si>
  <si>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</si>
  <si>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</si>
  <si>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</si>
  <si>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</si>
  <si>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</si>
  <si>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</si>
  <si>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</si>
  <si>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</si>
  <si>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</si>
  <si>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</si>
  <si>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</si>
  <si>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</si>
  <si>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</si>
  <si>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</si>
  <si>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</si>
  <si>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</si>
  <si>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</si>
  <si>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</si>
  <si>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</si>
  <si>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</si>
  <si>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</si>
  <si>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</si>
  <si>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</si>
  <si>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</si>
  <si>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</si>
  <si>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</si>
  <si>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</si>
  <si>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</si>
  <si>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</si>
  <si>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</si>
  <si>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</si>
  <si>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</si>
  <si>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</si>
  <si>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</si>
  <si>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</si>
  <si>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</si>
  <si>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</si>
  <si>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</si>
  <si>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</si>
  <si>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</si>
  <si>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</si>
  <si>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</si>
  <si>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</si>
  <si>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</si>
  <si>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</si>
  <si>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</si>
  <si>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</si>
  <si>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</si>
  <si>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</si>
  <si>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</si>
  <si>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</si>
  <si>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</si>
  <si>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</si>
  <si>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</si>
  <si>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</si>
  <si>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</si>
  <si>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</si>
  <si>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</si>
  <si>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</si>
  <si>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</si>
  <si>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</si>
  <si>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</si>
  <si>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</si>
  <si>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</si>
  <si>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</si>
  <si>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</si>
  <si>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</si>
  <si>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</si>
  <si>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</si>
  <si>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</si>
  <si>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</si>
  <si>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</si>
  <si>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</si>
  <si>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</si>
  <si>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</si>
  <si>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</si>
  <si>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</si>
  <si>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</si>
  <si>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</si>
  <si>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</si>
  <si>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</si>
  <si>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</si>
  <si>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</si>
  <si>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</si>
  <si>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</si>
  <si>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</si>
  <si>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</si>
  <si>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</si>
  <si>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</si>
  <si>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</si>
  <si>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</si>
  <si>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</si>
  <si>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</si>
  <si>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</si>
  <si>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</si>
  <si>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</si>
  <si>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</si>
  <si>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</si>
  <si>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</si>
  <si>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</si>
  <si>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</si>
  <si>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</si>
  <si>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</si>
  <si>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</si>
  <si>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</si>
  <si>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</si>
  <si>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</si>
  <si>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</si>
  <si>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</si>
  <si>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</si>
  <si>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</si>
  <si>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</si>
  <si>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</si>
  <si>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</si>
  <si>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</si>
  <si>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</si>
  <si>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</si>
  <si>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</si>
  <si>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</si>
  <si>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</si>
  <si>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</si>
  <si>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</si>
  <si>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</si>
  <si>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</si>
  <si>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</si>
  <si>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</si>
  <si>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</si>
  <si>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</si>
  <si>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</si>
  <si>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</si>
  <si>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</si>
  <si>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</si>
  <si>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</si>
  <si>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</si>
  <si>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</si>
  <si>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</si>
  <si>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</si>
  <si>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</si>
  <si>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</si>
  <si>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</si>
  <si>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</si>
  <si>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</si>
  <si>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</si>
  <si>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</si>
  <si>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</si>
  <si>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</si>
  <si>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</si>
  <si>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</si>
  <si>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</si>
  <si>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</si>
  <si>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</si>
  <si>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</si>
  <si>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</si>
  <si>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</si>
  <si>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</si>
  <si>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</si>
  <si>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</si>
  <si>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</si>
  <si>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</si>
  <si>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</si>
  <si>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</si>
  <si>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</si>
  <si>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</si>
  <si>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</si>
  <si>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</si>
  <si>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</si>
  <si>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</si>
  <si>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</si>
  <si>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</si>
  <si>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</si>
  <si>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</si>
  <si>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</si>
  <si>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</si>
  <si>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</si>
  <si>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</si>
  <si>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</si>
  <si>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</si>
  <si>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</si>
  <si>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</si>
  <si>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</si>
  <si>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</si>
  <si>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</si>
  <si>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</si>
  <si>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</si>
  <si>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</si>
  <si>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</si>
  <si>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</si>
  <si>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</si>
  <si>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</si>
  <si>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</si>
  <si>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</si>
  <si>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</si>
  <si>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</si>
  <si>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</si>
  <si>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</si>
  <si>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</si>
  <si>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</si>
  <si>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</si>
  <si>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</si>
  <si>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</si>
  <si>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</si>
  <si>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</si>
  <si>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</si>
  <si>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</si>
  <si>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</si>
  <si>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</si>
  <si>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</si>
  <si>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</si>
  <si>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</si>
  <si>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</si>
  <si>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</si>
  <si>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</si>
  <si>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</si>
  <si>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</si>
  <si>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</si>
  <si>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</si>
  <si>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</si>
  <si>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</si>
  <si>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</si>
  <si>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</si>
  <si>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</si>
  <si>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</si>
  <si>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</si>
  <si>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</si>
  <si>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</si>
  <si>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</si>
  <si>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</si>
  <si>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</si>
  <si>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</si>
  <si>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</si>
  <si>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</si>
  <si>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</si>
  <si>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</si>
  <si>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</si>
  <si>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</si>
  <si>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</si>
  <si>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</si>
  <si>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</si>
  <si>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</si>
  <si>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</si>
  <si>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</si>
  <si>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</si>
  <si>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</si>
  <si>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</si>
  <si>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</si>
  <si>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</si>
  <si>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</si>
  <si>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</si>
  <si>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</si>
  <si>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</si>
  <si>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</si>
  <si>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</si>
  <si>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</si>
  <si>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</si>
  <si>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</si>
  <si>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</si>
  <si>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</si>
  <si>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</si>
  <si>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</si>
  <si>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</si>
  <si>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</si>
  <si>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</si>
  <si>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</si>
  <si>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</si>
  <si>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</si>
  <si>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</si>
  <si>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</si>
  <si>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</si>
  <si>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</si>
  <si>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</si>
  <si>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</si>
  <si>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</si>
  <si>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</si>
  <si>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</si>
  <si>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</si>
  <si>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</si>
  <si>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</si>
  <si>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</si>
  <si>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</si>
  <si>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</si>
  <si>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</si>
  <si>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</si>
  <si>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</si>
  <si>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</si>
  <si>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</si>
  <si>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</si>
  <si>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</si>
  <si>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</si>
  <si>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</si>
  <si>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</si>
  <si>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</si>
  <si>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</si>
  <si>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</si>
  <si>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</si>
  <si>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</si>
  <si>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</si>
  <si>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</si>
  <si>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</si>
  <si>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</si>
  <si>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</si>
  <si>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</si>
  <si>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</si>
  <si>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</si>
  <si>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</si>
  <si>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</si>
  <si>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</si>
  <si>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</si>
  <si>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</si>
  <si>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</si>
  <si>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</si>
  <si>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</si>
  <si>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</si>
  <si>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</si>
  <si>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</si>
  <si>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</si>
  <si>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</si>
  <si>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</si>
  <si>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</si>
  <si>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</si>
  <si>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</si>
  <si>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</si>
  <si>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</si>
  <si>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</si>
  <si>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</si>
  <si>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</si>
  <si>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</si>
  <si>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</si>
  <si>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</si>
  <si>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</si>
  <si>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</si>
  <si>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</si>
  <si>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</si>
  <si>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</si>
  <si>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</si>
  <si>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</si>
  <si>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</si>
  <si>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</si>
  <si>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</si>
  <si>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</si>
  <si>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</si>
  <si>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</si>
  <si>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</si>
  <si>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</si>
  <si>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</si>
  <si>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</si>
  <si>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</si>
  <si>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</si>
  <si>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</si>
  <si>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</si>
  <si>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</si>
  <si>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</si>
  <si>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</si>
  <si>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</si>
  <si>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</si>
  <si>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</si>
  <si>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</si>
  <si>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</si>
  <si>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</si>
  <si>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</si>
  <si>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</si>
  <si>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</si>
  <si>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</si>
  <si>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</si>
  <si>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</si>
  <si>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</si>
  <si>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</si>
  <si>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</si>
  <si>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</si>
  <si>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</si>
  <si>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</si>
  <si>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</si>
  <si>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</si>
  <si>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</si>
  <si>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</si>
  <si>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</si>
  <si>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</si>
  <si>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</si>
  <si>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</si>
  <si>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</si>
  <si>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</si>
  <si>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</si>
  <si>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</si>
  <si>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</si>
  <si>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</si>
  <si>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</si>
  <si>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</si>
  <si>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</si>
  <si>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</si>
  <si>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</si>
  <si>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</si>
  <si>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</si>
  <si>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</si>
  <si>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</si>
  <si>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</si>
  <si>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</si>
  <si>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</si>
  <si>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</si>
  <si>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</si>
  <si>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</si>
  <si>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</si>
  <si>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</si>
  <si>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</si>
  <si>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</si>
  <si>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</si>
  <si>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</si>
  <si>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</si>
  <si>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</si>
  <si>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</si>
  <si>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</si>
  <si>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</si>
  <si>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</si>
  <si>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</si>
  <si>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</si>
  <si>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</si>
  <si>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</si>
  <si>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</si>
  <si>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</si>
  <si>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</si>
  <si>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</si>
  <si>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</si>
  <si>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</si>
  <si>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</si>
  <si>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</si>
  <si>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</si>
  <si>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</si>
  <si>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</si>
  <si>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</si>
  <si>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</si>
  <si>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</si>
  <si>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</si>
  <si>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</si>
  <si>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</si>
  <si>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</si>
  <si>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</si>
  <si>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</si>
  <si>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</si>
  <si>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</si>
  <si>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</si>
  <si>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</si>
  <si>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</si>
  <si>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</si>
  <si>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</si>
  <si>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</si>
  <si>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</si>
  <si>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</si>
  <si>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</si>
  <si>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</si>
  <si>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</si>
  <si>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</si>
  <si>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</si>
  <si>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</si>
  <si>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</si>
  <si>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</si>
  <si>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</si>
  <si>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</si>
  <si>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</si>
  <si>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</si>
  <si>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</si>
  <si>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</si>
  <si>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</si>
  <si>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</si>
  <si>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</si>
  <si>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</si>
  <si>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</si>
  <si>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</si>
  <si>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</si>
  <si>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</si>
  <si>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</si>
  <si>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</si>
  <si>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</si>
  <si>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</si>
  <si>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</si>
  <si>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</si>
  <si>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</si>
  <si>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</si>
  <si>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</si>
  <si>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</si>
  <si>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</si>
  <si>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</si>
  <si>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</si>
  <si>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</si>
  <si>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</si>
  <si>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</si>
  <si>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</si>
  <si>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</si>
  <si>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</si>
  <si>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</si>
  <si>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</si>
  <si>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</si>
  <si>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</si>
  <si>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</si>
  <si>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</si>
  <si>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</si>
  <si>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</si>
  <si>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</si>
  <si>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</si>
  <si>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</si>
  <si>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</si>
  <si>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</si>
  <si>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</si>
  <si>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</si>
  <si>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</si>
  <si>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</si>
  <si>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</si>
  <si>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</si>
  <si>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</si>
  <si>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</si>
  <si>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</si>
  <si>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</si>
  <si>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</si>
  <si>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</si>
  <si>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</si>
  <si>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</si>
  <si>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</si>
  <si>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</si>
  <si>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</si>
  <si>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</si>
  <si>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</si>
  <si>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</si>
  <si>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</si>
  <si>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</si>
  <si>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</si>
  <si>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</si>
  <si>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</si>
  <si>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</si>
  <si>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</si>
  <si>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</si>
  <si>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</si>
  <si>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</si>
  <si>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</si>
  <si>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</si>
  <si>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</si>
  <si>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</si>
  <si>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</si>
  <si>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</si>
  <si>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</si>
  <si>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</si>
  <si>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</si>
  <si>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</si>
  <si>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</si>
  <si>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</si>
  <si>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</si>
  <si>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</si>
  <si>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</si>
  <si>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</si>
  <si>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</si>
  <si>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</si>
  <si>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</si>
  <si>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</si>
  <si>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</si>
  <si>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</si>
  <si>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</si>
  <si>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</si>
  <si>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</si>
  <si>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</si>
  <si>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</si>
  <si>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</si>
  <si>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</si>
  <si>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</si>
  <si>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</si>
  <si>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</si>
  <si>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</si>
  <si>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</si>
  <si>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</si>
  <si>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</si>
  <si>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</si>
  <si>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</si>
  <si>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</si>
  <si>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</si>
  <si>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</si>
  <si>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</si>
  <si>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</si>
  <si>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</si>
  <si>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</si>
  <si>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</si>
  <si>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</si>
  <si>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</si>
  <si>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</si>
  <si>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</si>
  <si>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</si>
  <si>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</si>
  <si>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</si>
  <si>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</si>
  <si>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</si>
  <si>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</si>
  <si>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</si>
  <si>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</si>
  <si>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</si>
  <si>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</si>
  <si>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</si>
  <si>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</si>
  <si>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</si>
  <si>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</si>
  <si>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</si>
  <si>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</si>
  <si>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</si>
  <si>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</si>
  <si>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</si>
  <si>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</si>
  <si>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</si>
  <si>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</si>
  <si>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</si>
  <si>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</si>
  <si>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</si>
  <si>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</si>
  <si>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</si>
  <si>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</si>
  <si>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</si>
  <si>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</si>
  <si>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</si>
  <si>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</si>
  <si>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</si>
  <si>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</si>
  <si>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</si>
  <si>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</si>
  <si>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</si>
  <si>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</si>
  <si>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</si>
  <si>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</si>
  <si>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</si>
  <si>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</si>
  <si>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</si>
  <si>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</si>
  <si>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</si>
  <si>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</si>
  <si>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</si>
  <si>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</si>
  <si>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</si>
  <si>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</si>
  <si>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</si>
  <si>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</si>
  <si>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</si>
  <si>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</si>
  <si>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</si>
  <si>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</si>
  <si>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</si>
  <si>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</si>
  <si>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</si>
  <si>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</si>
  <si>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</si>
  <si>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</si>
  <si>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</si>
  <si>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</si>
  <si>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</si>
  <si>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</si>
  <si>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</si>
  <si>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</si>
  <si>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</si>
  <si>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</si>
  <si>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</si>
  <si>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</si>
  <si>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</si>
  <si>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</si>
  <si>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</si>
  <si>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</si>
  <si>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</si>
  <si>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</si>
  <si>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</si>
  <si>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</si>
  <si>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</si>
  <si>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</si>
  <si>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</si>
  <si>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</si>
  <si>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</si>
  <si>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</si>
  <si>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</si>
  <si>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</si>
  <si>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</si>
  <si>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</si>
  <si>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</si>
  <si>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</si>
  <si>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</si>
  <si>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</si>
  <si>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</si>
  <si>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</si>
  <si>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</si>
  <si>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</si>
  <si>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</si>
  <si>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</si>
  <si>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</si>
  <si>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</si>
  <si>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</si>
  <si>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</si>
  <si>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</si>
  <si>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</si>
  <si>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</si>
  <si>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</si>
  <si>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</si>
  <si>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</si>
  <si>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</si>
  <si>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</si>
  <si>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</si>
  <si>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</si>
  <si>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</si>
  <si>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</si>
  <si>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</si>
  <si>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</si>
  <si>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</si>
  <si>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</si>
  <si>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</si>
  <si>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</si>
  <si>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</si>
  <si>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</si>
  <si>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</si>
  <si>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</si>
  <si>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</si>
  <si>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</si>
  <si>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</si>
  <si>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</si>
  <si>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</si>
  <si>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</si>
  <si>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</si>
  <si>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</si>
  <si>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</si>
  <si>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</si>
  <si>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</si>
  <si>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</si>
  <si>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</si>
  <si>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</si>
  <si>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</si>
  <si>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</si>
  <si>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</si>
  <si>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</si>
  <si>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</si>
  <si>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</si>
  <si>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</si>
  <si>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</si>
  <si>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</si>
  <si>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</si>
  <si>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</si>
  <si>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</si>
  <si>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</si>
  <si>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</si>
  <si>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</si>
  <si>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</si>
  <si>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</si>
  <si>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</si>
  <si>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</si>
  <si>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</si>
  <si>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</si>
  <si>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</si>
  <si>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</si>
  <si>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</si>
  <si>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</si>
  <si>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</si>
  <si>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</si>
  <si>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</si>
  <si>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</si>
  <si>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</si>
  <si>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</si>
  <si>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</si>
  <si>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</si>
  <si>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</si>
  <si>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</si>
  <si>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</si>
  <si>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</si>
  <si>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</si>
  <si>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</si>
  <si>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</si>
  <si>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</si>
  <si>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</si>
  <si>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</si>
  <si>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</si>
  <si>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</si>
  <si>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</si>
  <si>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</si>
  <si>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</si>
  <si>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</si>
  <si>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</si>
  <si>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</si>
  <si>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</si>
  <si>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</si>
  <si>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</si>
  <si>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</si>
  <si>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</si>
  <si>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</si>
  <si>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</si>
  <si>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</si>
  <si>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</si>
  <si>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</si>
  <si>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</si>
  <si>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</si>
  <si>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</si>
  <si>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</si>
  <si>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</si>
  <si>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</si>
  <si>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</si>
  <si>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</si>
  <si>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</si>
  <si>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</si>
  <si>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</si>
  <si>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</si>
  <si>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</si>
  <si>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</si>
  <si>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</si>
  <si>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</si>
  <si>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</si>
  <si>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</si>
  <si>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</si>
  <si>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</si>
  <si>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</si>
  <si>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</si>
  <si>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</si>
  <si>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</si>
  <si>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</si>
  <si>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</si>
  <si>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</si>
  <si>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</si>
  <si>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</si>
  <si>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</si>
  <si>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</si>
  <si>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</si>
  <si>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</si>
  <si>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</si>
  <si>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</si>
  <si>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</si>
  <si>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</si>
  <si>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</si>
  <si>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</si>
  <si>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</si>
  <si>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</si>
  <si>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</si>
  <si>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</si>
  <si>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</si>
  <si>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</si>
  <si>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</si>
  <si>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</si>
  <si>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</si>
  <si>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</si>
  <si>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</si>
  <si>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</si>
  <si>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</si>
  <si>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</si>
  <si>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</si>
  <si>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</si>
  <si>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</si>
  <si>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</si>
  <si>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</si>
  <si>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</si>
  <si>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</si>
  <si>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</si>
  <si>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</si>
  <si>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</si>
  <si>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</si>
  <si>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</si>
  <si>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</si>
  <si>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</si>
  <si>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</si>
  <si>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</si>
  <si>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</si>
  <si>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</si>
  <si>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</si>
  <si>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</si>
  <si>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</si>
  <si>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</si>
  <si>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</si>
  <si>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</si>
  <si>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</si>
  <si>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</si>
  <si>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</si>
  <si>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</si>
  <si>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</si>
  <si>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</si>
  <si>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</si>
  <si>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</si>
  <si>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</si>
  <si>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</si>
  <si>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</si>
  <si>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</si>
  <si>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</si>
  <si>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</si>
  <si>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</si>
  <si>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</si>
  <si>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</si>
  <si>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</si>
  <si>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</si>
  <si>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</si>
  <si>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</si>
  <si>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</si>
  <si>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</si>
  <si>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</si>
  <si>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</si>
  <si>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</si>
  <si>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</si>
  <si>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</si>
  <si>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</si>
  <si>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</si>
  <si>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</si>
  <si>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</si>
  <si>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</si>
  <si>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</si>
  <si>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</si>
  <si>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</si>
  <si>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</si>
  <si>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</si>
  <si>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</si>
  <si>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</si>
  <si>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</si>
  <si>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</si>
  <si>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</si>
  <si>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</si>
  <si>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</si>
  <si>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</si>
  <si>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</si>
  <si>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</si>
  <si>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</si>
  <si>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</si>
  <si>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</si>
  <si>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</si>
  <si>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</si>
  <si>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</si>
  <si>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</si>
  <si>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</si>
  <si>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</si>
  <si>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</si>
  <si>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</si>
  <si>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</si>
  <si>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</si>
  <si>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</si>
  <si>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</si>
  <si>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</si>
  <si>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</si>
  <si>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</si>
  <si>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</si>
  <si>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</si>
  <si>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</si>
  <si>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</si>
  <si>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</si>
  <si>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</si>
  <si>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</si>
  <si>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</si>
  <si>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</si>
  <si>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</si>
  <si>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</si>
  <si>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</si>
  <si>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</si>
  <si>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</si>
  <si>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</si>
  <si>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</si>
  <si>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</si>
  <si>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</si>
  <si>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</si>
  <si>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</si>
  <si>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</si>
  <si>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</si>
  <si>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</si>
  <si>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</si>
  <si>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</si>
  <si>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</si>
  <si>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</si>
  <si>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</si>
  <si>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</si>
  <si>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</si>
  <si>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</si>
  <si>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</si>
  <si>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</si>
  <si>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</si>
  <si>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</si>
  <si>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</si>
  <si>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</si>
  <si>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</si>
  <si>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</si>
  <si>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</si>
  <si>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</si>
  <si>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</si>
  <si>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</si>
  <si>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</si>
  <si>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</si>
  <si>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</si>
  <si>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</si>
  <si>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</si>
  <si>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</si>
  <si>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</si>
  <si>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</si>
  <si>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</si>
  <si>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</si>
  <si>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</si>
  <si>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</si>
  <si>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</si>
  <si>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</si>
  <si>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</si>
  <si>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</si>
  <si>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</si>
  <si>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</si>
  <si>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</si>
  <si>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</si>
  <si>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</si>
  <si>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</si>
  <si>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</si>
  <si>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</si>
  <si>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</si>
  <si>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</si>
  <si>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</si>
  <si>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</si>
  <si>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</si>
  <si>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</si>
  <si>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</si>
  <si>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</si>
  <si>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</si>
  <si>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</si>
  <si>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</si>
  <si>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</si>
  <si>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</si>
  <si>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</si>
  <si>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</si>
  <si>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</si>
  <si>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</si>
  <si>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</si>
  <si>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</si>
  <si>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</si>
  <si>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</si>
  <si>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</si>
  <si>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</si>
  <si>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</si>
  <si>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</si>
  <si>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</si>
  <si>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</si>
  <si>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</si>
  <si>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</si>
  <si>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</si>
  <si>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</si>
  <si>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</si>
  <si>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</si>
  <si>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</si>
  <si>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</si>
  <si>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</si>
  <si>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</si>
  <si>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</si>
  <si>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</si>
  <si>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</si>
  <si>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</si>
  <si>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</si>
  <si>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</si>
  <si>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</si>
  <si>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</si>
  <si>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</si>
  <si>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</si>
  <si>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</si>
  <si>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</si>
  <si>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</si>
  <si>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</si>
  <si>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</si>
  <si>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</si>
  <si>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</si>
  <si>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</si>
  <si>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</si>
  <si>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</si>
  <si>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</si>
  <si>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</si>
  <si>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</si>
  <si>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</si>
  <si>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</si>
  <si>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</si>
  <si>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</si>
  <si>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</si>
  <si>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</si>
  <si>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</si>
  <si>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</si>
  <si>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</si>
  <si>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</si>
  <si>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</si>
  <si>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</si>
  <si>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</si>
  <si>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</si>
  <si>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</si>
  <si>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</si>
  <si>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</si>
  <si>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</si>
  <si>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</si>
  <si>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</si>
  <si>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</si>
  <si>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</si>
  <si>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</si>
  <si>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</si>
  <si>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</si>
  <si>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</si>
  <si>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</si>
  <si>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</si>
  <si>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</si>
  <si>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</si>
  <si>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</si>
  <si>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</si>
  <si>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</si>
  <si>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</si>
  <si>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</si>
  <si>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</si>
  <si>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</si>
  <si>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</si>
  <si>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</si>
  <si>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</si>
  <si>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</si>
  <si>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</si>
  <si>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</si>
  <si>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</si>
  <si>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</si>
  <si>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</si>
  <si>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</si>
  <si>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</si>
  <si>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</si>
  <si>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</si>
  <si>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</si>
  <si>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</si>
  <si>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</si>
  <si>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</si>
  <si>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</si>
  <si>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</si>
  <si>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</si>
  <si>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</si>
  <si>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</si>
  <si>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</si>
  <si>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</si>
  <si>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</si>
  <si>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</si>
  <si>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</si>
  <si>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</si>
  <si>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</si>
  <si>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</si>
  <si>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</si>
  <si>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</si>
  <si>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</si>
  <si>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</si>
  <si>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</si>
  <si>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</si>
  <si>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</si>
  <si>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</si>
  <si>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</si>
  <si>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</si>
  <si>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</si>
  <si>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</si>
  <si>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</si>
  <si>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</si>
  <si>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</si>
  <si>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</si>
  <si>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</si>
  <si>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</si>
  <si>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</si>
  <si>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</si>
  <si>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</si>
  <si>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</si>
  <si>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</si>
  <si>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</si>
  <si>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</si>
  <si>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</si>
  <si>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</si>
  <si>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</si>
  <si>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</si>
  <si>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</si>
  <si>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</si>
  <si>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</si>
  <si>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</si>
  <si>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</si>
  <si>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</si>
  <si>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</si>
  <si>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</si>
  <si>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</si>
  <si>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</si>
  <si>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</si>
  <si>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</si>
  <si>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</si>
  <si>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</si>
  <si>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</si>
  <si>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</si>
  <si>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</si>
  <si>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</si>
  <si>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</si>
  <si>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</si>
  <si>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</si>
  <si>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</si>
  <si>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</si>
  <si>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</si>
  <si>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</si>
  <si>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</si>
  <si>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</si>
  <si>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</si>
  <si>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</si>
  <si>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</si>
  <si>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</si>
  <si>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</si>
  <si>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</si>
  <si>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</si>
  <si>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</si>
  <si>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</si>
  <si>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</si>
  <si>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</si>
  <si>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</si>
  <si>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</si>
  <si>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</si>
  <si>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</si>
  <si>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</si>
  <si>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</si>
  <si>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</si>
  <si>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</si>
  <si>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</si>
  <si>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</si>
  <si>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</si>
  <si>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</si>
  <si>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</si>
  <si>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</si>
  <si>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</si>
  <si>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</si>
  <si>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</si>
  <si>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</si>
  <si>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</si>
  <si>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</si>
  <si>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</si>
  <si>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</si>
  <si>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</si>
  <si>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</si>
  <si>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</si>
  <si>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</si>
  <si>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</si>
  <si>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</si>
  <si>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</si>
  <si>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</si>
  <si>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</si>
  <si>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</si>
  <si>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</si>
  <si>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</si>
  <si>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</si>
  <si>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</si>
  <si>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</si>
  <si>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</si>
  <si>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</si>
  <si>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</si>
  <si>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</si>
  <si>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</si>
  <si>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</si>
  <si>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</si>
  <si>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</si>
  <si>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</si>
  <si>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</si>
  <si>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</si>
  <si>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</si>
  <si>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</si>
  <si>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</si>
  <si>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</si>
  <si>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</si>
  <si>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</si>
  <si>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</si>
  <si>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</si>
  <si>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</si>
  <si>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</si>
  <si>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</si>
  <si>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</si>
  <si>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</si>
  <si>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</si>
  <si>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</si>
  <si>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</si>
  <si>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</si>
  <si>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</si>
  <si>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</si>
  <si>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</si>
  <si>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</si>
  <si>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</si>
  <si>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</si>
  <si>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</si>
  <si>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</si>
  <si>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</si>
  <si>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</si>
  <si>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</si>
  <si>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</si>
  <si>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</si>
  <si>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</si>
  <si>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</si>
  <si>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</si>
  <si>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</si>
  <si>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</si>
  <si>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</si>
  <si>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</si>
  <si>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</si>
  <si>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</si>
  <si>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</si>
  <si>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</si>
  <si>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</si>
  <si>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</si>
  <si>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</si>
  <si>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</si>
  <si>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</si>
  <si>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</si>
  <si>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</si>
  <si>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</si>
  <si>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</si>
  <si>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</si>
  <si>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</si>
  <si>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</si>
  <si>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</si>
  <si>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</si>
  <si>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</si>
  <si>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</si>
  <si>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</si>
  <si>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</si>
  <si>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</si>
  <si>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</si>
  <si>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</si>
  <si>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</si>
  <si>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</si>
  <si>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</si>
  <si>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</si>
  <si>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</si>
  <si>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</si>
  <si>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</si>
  <si>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</si>
  <si>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</si>
  <si>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</si>
  <si>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</si>
  <si>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</si>
  <si>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</si>
  <si>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</si>
  <si>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</si>
  <si>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</si>
  <si>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</si>
  <si>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</si>
  <si>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</si>
  <si>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</si>
  <si>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</si>
  <si>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</si>
  <si>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</si>
  <si>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</si>
  <si>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</si>
  <si>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</si>
  <si>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</si>
  <si>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</si>
  <si>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</si>
  <si>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</si>
  <si>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</si>
  <si>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</si>
  <si>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</si>
  <si>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</si>
  <si>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</si>
  <si>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</si>
  <si>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</si>
  <si>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</si>
  <si>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</si>
  <si>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</si>
  <si>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</si>
  <si>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</si>
  <si>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</si>
  <si>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</si>
  <si>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</si>
  <si>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</si>
  <si>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</si>
  <si>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</si>
  <si>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</si>
  <si>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</si>
  <si>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</si>
  <si>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</si>
  <si>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</si>
  <si>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</si>
  <si>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</si>
  <si>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</si>
  <si>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</si>
  <si>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</si>
  <si>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</si>
  <si>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</si>
  <si>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</si>
  <si>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</si>
  <si>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</si>
  <si>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</si>
  <si>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</si>
  <si>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</si>
  <si>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</si>
  <si>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</si>
  <si>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</si>
  <si>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</si>
  <si>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</si>
  <si>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</si>
  <si>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</si>
  <si>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</si>
  <si>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</si>
  <si>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</si>
  <si>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</si>
  <si>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</si>
  <si>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</si>
  <si>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</si>
  <si>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</si>
  <si>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</si>
  <si>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</si>
  <si>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</si>
  <si>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</si>
  <si>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</si>
  <si>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</si>
  <si>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</si>
  <si>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</si>
  <si>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</si>
  <si>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</si>
  <si>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</si>
  <si>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</si>
  <si>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</si>
  <si>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</si>
  <si>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</si>
  <si>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</si>
  <si>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</si>
  <si>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</si>
  <si>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</si>
  <si>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</si>
  <si>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</si>
  <si>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</si>
  <si>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</si>
  <si>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</si>
  <si>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</si>
  <si>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</si>
  <si>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</si>
  <si>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</si>
  <si>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</si>
  <si>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</si>
  <si>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</si>
  <si>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</si>
  <si>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</si>
  <si>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</si>
  <si>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</si>
  <si>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</si>
  <si>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</si>
  <si>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</si>
  <si>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</si>
  <si>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</si>
  <si>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</si>
  <si>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</si>
  <si>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</si>
  <si>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</si>
  <si>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</si>
  <si>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</si>
  <si>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</si>
  <si>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</si>
  <si>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</si>
  <si>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</si>
  <si>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</si>
  <si>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</si>
  <si>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</si>
  <si>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</si>
  <si>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</si>
  <si>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</si>
  <si>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</si>
  <si>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</si>
  <si>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</si>
  <si>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</si>
  <si>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</si>
  <si>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</si>
  <si>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</si>
  <si>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</si>
  <si>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</si>
  <si>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</si>
  <si>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</si>
  <si>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</si>
  <si>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</si>
  <si>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</si>
  <si>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</si>
  <si>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</si>
  <si>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</si>
  <si>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</si>
  <si>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</si>
  <si>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</si>
  <si>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</si>
  <si>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</si>
  <si>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</si>
  <si>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</si>
  <si>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</si>
  <si>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</si>
  <si>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</si>
  <si>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</si>
  <si>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</si>
  <si>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</si>
  <si>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</si>
  <si>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</si>
  <si>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</si>
  <si>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</si>
  <si>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</si>
  <si>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</si>
  <si>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</si>
  <si>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</si>
  <si>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</si>
  <si>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</si>
  <si>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</si>
  <si>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</si>
  <si>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</si>
  <si>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</si>
  <si>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</si>
  <si>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</si>
  <si>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</si>
  <si>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</si>
  <si>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</si>
  <si>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</si>
  <si>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</si>
  <si>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</si>
  <si>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</si>
  <si>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</si>
  <si>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</si>
  <si>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</si>
  <si>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</si>
  <si>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</si>
  <si>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</si>
  <si>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</si>
  <si>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</si>
  <si>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</si>
  <si>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</si>
  <si>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</si>
  <si>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</si>
  <si>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</si>
  <si>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</si>
  <si>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</si>
  <si>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</si>
  <si>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</si>
  <si>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</si>
  <si>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</si>
  <si>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</si>
  <si>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</si>
  <si>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</si>
  <si>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</si>
  <si>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</si>
  <si>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</si>
  <si>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</si>
  <si>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</si>
  <si>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</si>
  <si>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</si>
  <si>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</si>
  <si>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</si>
  <si>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</si>
  <si>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</si>
  <si>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</si>
  <si>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</si>
  <si>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</si>
  <si>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</si>
  <si>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</si>
  <si>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</si>
  <si>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</si>
  <si>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</si>
  <si>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</si>
  <si>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</si>
  <si>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</si>
  <si>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</si>
  <si>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</si>
  <si>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</si>
  <si>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</si>
  <si>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</si>
  <si>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</si>
  <si>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</si>
  <si>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</si>
  <si>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</si>
  <si>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</si>
  <si>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</si>
  <si>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</si>
  <si>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</si>
  <si>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</si>
  <si>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</si>
  <si>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</si>
  <si>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</si>
  <si>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</si>
  <si>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</si>
  <si>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</si>
  <si>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</si>
  <si>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</si>
  <si>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</si>
  <si>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</si>
  <si>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</si>
  <si>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</si>
  <si>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</si>
  <si>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</si>
  <si>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</si>
  <si>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</si>
  <si>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</si>
  <si>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</si>
  <si>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</si>
  <si>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</si>
  <si>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</si>
  <si>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</si>
  <si>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</si>
  <si>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</si>
  <si>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</si>
  <si>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</si>
  <si>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</si>
  <si>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</si>
  <si>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</si>
  <si>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</si>
  <si>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</si>
  <si>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</si>
  <si>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</si>
  <si>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</si>
  <si>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</si>
  <si>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</si>
  <si>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</si>
  <si>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</si>
  <si>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</si>
  <si>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</si>
  <si>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</si>
  <si>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</si>
  <si>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</si>
  <si>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</si>
  <si>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</si>
  <si>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</si>
  <si>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</si>
  <si>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</si>
  <si>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</si>
  <si>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</si>
  <si>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</si>
  <si>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</si>
  <si>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</si>
  <si>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</si>
  <si>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</si>
  <si>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</si>
  <si>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</si>
  <si>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</si>
  <si>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</si>
  <si>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</si>
  <si>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</si>
  <si>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</si>
  <si>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</si>
  <si>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</si>
  <si>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</si>
  <si>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</si>
  <si>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</si>
  <si>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</si>
  <si>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</si>
  <si>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</si>
  <si>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</si>
  <si>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</si>
  <si>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</si>
  <si>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</si>
  <si>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</si>
  <si>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</si>
  <si>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</si>
  <si>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</si>
  <si>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</si>
  <si>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</si>
  <si>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</si>
  <si>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</si>
  <si>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</si>
  <si>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</si>
  <si>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</si>
  <si>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</si>
  <si>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</si>
  <si>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</si>
  <si>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</si>
  <si>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</si>
  <si>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</si>
  <si>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</si>
  <si>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</si>
  <si>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</si>
  <si>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</si>
  <si>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</si>
  <si>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</si>
  <si>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</si>
  <si>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</si>
  <si>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</si>
  <si>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</si>
  <si>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</si>
  <si>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</si>
  <si>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</si>
  <si>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</si>
  <si>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</si>
  <si>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</si>
  <si>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</si>
  <si>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</si>
  <si>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</si>
  <si>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</si>
  <si>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</si>
  <si>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</si>
  <si>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</si>
  <si>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</si>
  <si>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</si>
  <si>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</si>
  <si>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</si>
  <si>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</si>
  <si>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</si>
  <si>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</si>
  <si>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</si>
  <si>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</si>
  <si>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</si>
  <si>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</si>
  <si>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</si>
  <si>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</si>
  <si>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</si>
  <si>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</si>
  <si>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</si>
  <si>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</si>
  <si>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</si>
  <si>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</si>
  <si>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</si>
  <si>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</si>
  <si>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</si>
  <si>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</si>
  <si>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</si>
  <si>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</si>
  <si>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</si>
  <si>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</si>
  <si>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</si>
  <si>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</si>
  <si>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</si>
  <si>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</si>
  <si>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</si>
  <si>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</si>
  <si>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</si>
  <si>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</si>
  <si>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</si>
  <si>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</si>
  <si>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</si>
  <si>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</si>
  <si>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</si>
  <si>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</si>
  <si>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</si>
  <si>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</si>
  <si>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</si>
  <si>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</si>
  <si>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</si>
  <si>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</si>
  <si>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</si>
  <si>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</si>
  <si>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</si>
  <si>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</si>
  <si>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</si>
  <si>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</si>
  <si>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</si>
  <si>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</si>
  <si>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</si>
  <si>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</si>
  <si>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</si>
  <si>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</si>
  <si>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</si>
  <si>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</si>
  <si>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</si>
  <si>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</si>
  <si>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</si>
  <si>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</si>
  <si>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</si>
  <si>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</si>
  <si>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</si>
  <si>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</si>
  <si>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</si>
  <si>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</si>
  <si>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</si>
  <si>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</si>
  <si>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</si>
  <si>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</si>
  <si>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</si>
  <si>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</si>
  <si>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</si>
  <si>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</si>
  <si>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</si>
  <si>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</si>
  <si>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</si>
  <si>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</si>
  <si>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</si>
  <si>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</si>
  <si>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</si>
  <si>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</si>
  <si>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</si>
  <si>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</si>
  <si>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</si>
  <si>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</si>
  <si>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</si>
  <si>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</si>
  <si>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</si>
  <si>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</si>
  <si>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</si>
  <si>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</si>
  <si>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</si>
  <si>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</si>
  <si>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</si>
  <si>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</si>
  <si>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</si>
  <si>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</si>
  <si>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</si>
  <si>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</si>
  <si>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</si>
  <si>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</si>
  <si>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</si>
  <si>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</si>
  <si>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</si>
  <si>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</si>
  <si>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</si>
  <si>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</si>
  <si>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</si>
  <si>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</si>
  <si>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</si>
  <si>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</si>
  <si>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</si>
  <si>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</si>
  <si>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</si>
  <si>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</si>
  <si>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</si>
  <si>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</si>
  <si>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</si>
  <si>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</si>
  <si>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</si>
  <si>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</si>
  <si>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</si>
  <si>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</si>
  <si>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</si>
  <si>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</si>
  <si>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</si>
  <si>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</si>
  <si>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</si>
  <si>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</si>
  <si>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</si>
  <si>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</si>
  <si>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</si>
  <si>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</si>
  <si>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</si>
  <si>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</si>
  <si>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</si>
  <si>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</si>
  <si>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</si>
  <si>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</si>
  <si>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</si>
  <si>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</si>
  <si>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</si>
  <si>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</si>
  <si>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</si>
  <si>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</si>
  <si>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</si>
  <si>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</si>
  <si>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</si>
  <si>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</si>
  <si>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</si>
  <si>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</si>
  <si>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</si>
  <si>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</si>
  <si>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</si>
  <si>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</si>
  <si>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</si>
  <si>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</si>
  <si>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</si>
  <si>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</si>
  <si>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</si>
  <si>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</si>
  <si>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</si>
  <si>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</si>
  <si>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</si>
  <si>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</si>
  <si>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</si>
  <si>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</si>
  <si>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</si>
  <si>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</si>
  <si>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</si>
  <si>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</si>
  <si>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</si>
  <si>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</si>
  <si>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</si>
  <si>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</si>
  <si>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</si>
  <si>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</si>
  <si>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</si>
  <si>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</si>
  <si>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</si>
  <si>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</si>
  <si>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</si>
  <si>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</si>
  <si>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</si>
  <si>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</si>
  <si>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</si>
  <si>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</si>
  <si>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</si>
  <si>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</si>
  <si>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</si>
  <si>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</si>
  <si>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</si>
  <si>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</si>
  <si>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</si>
  <si>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</si>
  <si>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</si>
  <si>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</si>
  <si>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</si>
  <si>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</si>
  <si>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</si>
  <si>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</si>
  <si>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</si>
  <si>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</si>
  <si>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</si>
  <si>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</si>
  <si>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</si>
  <si>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</si>
  <si>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</si>
  <si>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</si>
  <si>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</si>
  <si>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</si>
  <si>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</si>
  <si>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</si>
  <si>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</si>
  <si>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</si>
  <si>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</si>
  <si>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</si>
  <si>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</si>
  <si>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</si>
  <si>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</si>
  <si>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</si>
  <si>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</si>
  <si>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</si>
  <si>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</si>
  <si>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</si>
  <si>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</si>
  <si>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</si>
  <si>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</si>
  <si>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</si>
  <si>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</si>
  <si>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</si>
  <si>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</si>
  <si>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</si>
  <si>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</si>
  <si>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</si>
  <si>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</si>
  <si>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</si>
  <si>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</si>
  <si>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</si>
  <si>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</si>
  <si>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</si>
  <si>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</si>
  <si>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</si>
  <si>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</si>
  <si>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</si>
  <si>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</si>
  <si>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</si>
  <si>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</si>
  <si>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</si>
  <si>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</si>
  <si>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</si>
  <si>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</si>
  <si>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</si>
  <si>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</si>
  <si>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</si>
  <si>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</si>
  <si>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</si>
  <si>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</si>
  <si>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</si>
  <si>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</si>
  <si>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</si>
  <si>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</si>
  <si>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</si>
  <si>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</si>
  <si>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</si>
  <si>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</si>
  <si>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</si>
  <si>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</si>
  <si>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</si>
  <si>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</si>
  <si>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</si>
  <si>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</si>
  <si>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</si>
  <si>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</si>
  <si>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</si>
  <si>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</si>
  <si>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</si>
  <si>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</si>
  <si>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</si>
  <si>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</si>
  <si>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</si>
  <si>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</si>
  <si>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</si>
  <si>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</si>
  <si>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</si>
  <si>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</si>
  <si>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</si>
  <si>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</si>
  <si>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</si>
  <si>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</si>
  <si>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</si>
  <si>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</si>
  <si>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</si>
  <si>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</si>
  <si>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</si>
  <si>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</si>
  <si>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</si>
  <si>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</si>
  <si>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</si>
  <si>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</si>
  <si>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</si>
  <si>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</si>
  <si>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</si>
  <si>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</si>
  <si>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</si>
  <si>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</si>
  <si>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</si>
  <si>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</si>
  <si>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</si>
  <si>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</si>
  <si>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</si>
  <si>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</si>
  <si>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</si>
  <si>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</si>
  <si>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</si>
  <si>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</si>
  <si>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</si>
  <si>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</si>
  <si>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</si>
  <si>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</si>
  <si>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</si>
  <si>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</si>
  <si>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</si>
  <si>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</si>
  <si>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</si>
  <si>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</si>
  <si>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</si>
  <si>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</si>
  <si>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</si>
  <si>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</si>
  <si>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</si>
  <si>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</si>
  <si>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</si>
  <si>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</si>
  <si>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</si>
  <si>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</si>
  <si>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</si>
  <si>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</si>
  <si>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</si>
  <si>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</si>
  <si>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</si>
  <si>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</si>
  <si>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</si>
  <si>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</si>
  <si>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</si>
  <si>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</si>
  <si>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</si>
  <si>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</si>
  <si>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</si>
  <si>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</si>
  <si>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</si>
  <si>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</si>
  <si>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</si>
  <si>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</si>
  <si>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</si>
  <si>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</si>
  <si>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</si>
  <si>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</si>
  <si>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</si>
  <si>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</si>
  <si>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</si>
  <si>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</si>
  <si>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</si>
  <si>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</si>
  <si>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</si>
  <si>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</si>
  <si>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</si>
  <si>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</si>
  <si>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</si>
  <si>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</si>
  <si>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</si>
  <si>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</si>
  <si>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</si>
  <si>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</si>
  <si>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</si>
  <si>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</si>
  <si>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</si>
  <si>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</si>
  <si>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</si>
  <si>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</si>
  <si>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</si>
  <si>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</si>
  <si>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</si>
  <si>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</si>
  <si>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</si>
  <si>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</si>
  <si>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</si>
  <si>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</si>
  <si>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</si>
  <si>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</si>
  <si>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</si>
  <si>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</si>
  <si>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</si>
  <si>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</si>
  <si>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</si>
  <si>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</si>
  <si>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</si>
  <si>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</si>
  <si>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</si>
  <si>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</si>
  <si>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</si>
  <si>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</si>
  <si>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</si>
  <si>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</si>
  <si>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</si>
  <si>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</si>
  <si>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</si>
  <si>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</si>
  <si>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</si>
  <si>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</si>
  <si>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</si>
  <si>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</si>
  <si>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</si>
  <si>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</si>
  <si>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</si>
  <si>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</si>
  <si>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</si>
  <si>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</si>
  <si>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</si>
  <si>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</si>
  <si>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</si>
  <si>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</si>
  <si>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</si>
  <si>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</si>
  <si>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</si>
  <si>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</si>
  <si>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</si>
  <si>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</si>
  <si>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</si>
  <si>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</si>
  <si>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</si>
  <si>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</si>
  <si>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</si>
  <si>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</si>
  <si>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</si>
  <si>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</si>
  <si>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</si>
  <si>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</si>
  <si>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</si>
  <si>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</si>
  <si>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</si>
  <si>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</si>
  <si>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</si>
  <si>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</si>
  <si>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</si>
  <si>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</si>
  <si>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</si>
  <si>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</si>
  <si>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</si>
  <si>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</si>
  <si>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</si>
  <si>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</si>
  <si>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</si>
  <si>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</si>
  <si>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</si>
  <si>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</si>
  <si>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</si>
  <si>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</si>
  <si>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</si>
  <si>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</si>
  <si>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</si>
  <si>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</si>
  <si>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</si>
  <si>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</si>
  <si>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</si>
  <si>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</si>
  <si>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</si>
  <si>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</si>
  <si>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</si>
  <si>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</si>
  <si>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</si>
  <si>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</si>
  <si>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</si>
  <si>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</si>
  <si>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</si>
  <si>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</si>
  <si>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</si>
  <si>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</si>
  <si>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</si>
  <si>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</si>
  <si>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</si>
  <si>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</si>
  <si>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</si>
  <si>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</si>
  <si>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</si>
  <si>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</si>
  <si>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</si>
  <si>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</si>
  <si>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</si>
  <si>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</si>
  <si>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</si>
  <si>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</si>
  <si>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</si>
  <si>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</si>
  <si>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</si>
  <si>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</si>
  <si>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</si>
  <si>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</si>
  <si>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</si>
  <si>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</si>
  <si>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</si>
  <si>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</si>
  <si>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</si>
  <si>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</si>
  <si>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</si>
  <si>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</si>
  <si>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</si>
  <si>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</si>
  <si>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</si>
  <si>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</si>
  <si>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</si>
  <si>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</si>
  <si>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</si>
  <si>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</si>
  <si>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</si>
  <si>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</si>
  <si>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</si>
  <si>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</si>
  <si>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</si>
  <si>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</si>
  <si>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</si>
  <si>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</si>
  <si>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</si>
  <si>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</si>
  <si>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</si>
  <si>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</si>
  <si>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</si>
  <si>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</si>
  <si>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</si>
  <si>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</si>
  <si>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</si>
  <si>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</si>
  <si>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</si>
  <si>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</si>
  <si>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</si>
  <si>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</si>
  <si>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</si>
  <si>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</si>
  <si>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</si>
  <si>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</si>
  <si>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</si>
  <si>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</si>
  <si>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</si>
  <si>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</si>
  <si>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</si>
  <si>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</si>
  <si>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</si>
  <si>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</si>
  <si>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</si>
  <si>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</si>
  <si>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</si>
  <si>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</si>
  <si>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</si>
  <si>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</si>
  <si>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</si>
  <si>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</si>
  <si>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</si>
  <si>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</si>
  <si>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</si>
  <si>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</si>
  <si>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</si>
  <si>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</si>
  <si>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</si>
  <si>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</si>
  <si>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</si>
  <si>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</si>
  <si>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</si>
  <si>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</si>
  <si>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</si>
  <si>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</si>
  <si>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</si>
  <si>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</si>
  <si>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</si>
  <si>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</si>
  <si>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</si>
  <si>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</si>
  <si>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</si>
  <si>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</si>
  <si>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</si>
  <si>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</si>
  <si>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</si>
  <si>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</si>
  <si>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</si>
  <si>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</si>
  <si>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</si>
  <si>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</si>
  <si>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</si>
  <si>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</si>
  <si>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</si>
  <si>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</si>
  <si>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</si>
  <si>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</si>
  <si>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</si>
  <si>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</si>
  <si>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</si>
  <si>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</si>
  <si>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</si>
  <si>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</si>
  <si>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</si>
  <si>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</si>
  <si>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</si>
  <si>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</si>
  <si>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</si>
  <si>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</si>
  <si>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</si>
  <si>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</si>
  <si>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</si>
  <si>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</si>
  <si>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</si>
  <si>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</si>
  <si>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</si>
  <si>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</si>
  <si>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</si>
  <si>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</si>
  <si>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</si>
  <si>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</si>
  <si>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</si>
  <si>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</si>
  <si>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</si>
  <si>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</si>
  <si>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</si>
  <si>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</si>
  <si>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</si>
  <si>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</si>
  <si>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</si>
  <si>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</si>
  <si>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</si>
  <si>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</si>
  <si>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</si>
  <si>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</si>
  <si>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</si>
  <si>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</si>
  <si>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</si>
  <si>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</si>
  <si>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</si>
  <si>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</si>
  <si>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</si>
  <si>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</si>
  <si>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</si>
  <si>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</si>
  <si>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</si>
  <si>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</si>
  <si>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</si>
  <si>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</si>
  <si>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</si>
  <si>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</si>
  <si>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</si>
  <si>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</si>
  <si>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</si>
  <si>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</si>
  <si>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</si>
  <si>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</si>
  <si>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</si>
  <si>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</si>
  <si>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</si>
  <si>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</si>
  <si>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</si>
  <si>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</si>
  <si>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</si>
  <si>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</si>
  <si>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</si>
  <si>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</si>
  <si>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</si>
  <si>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</si>
  <si>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</si>
  <si>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</si>
  <si>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</si>
  <si>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</si>
  <si>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</si>
  <si>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</si>
  <si>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</si>
  <si>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</si>
  <si>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</si>
  <si>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</si>
  <si>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</si>
  <si>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</si>
  <si>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</si>
  <si>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</si>
  <si>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</si>
  <si>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</si>
  <si>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</si>
  <si>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</si>
  <si>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</si>
  <si>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</si>
  <si>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</si>
  <si>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</si>
  <si>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</si>
  <si>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</si>
  <si>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</si>
  <si>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</si>
  <si>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</si>
  <si>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</si>
  <si>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</si>
  <si>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</si>
  <si>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</si>
  <si>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</si>
  <si>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</si>
  <si>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</si>
  <si>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</si>
  <si>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</si>
  <si>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</si>
  <si>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</si>
  <si>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</si>
  <si>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</si>
  <si>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</si>
  <si>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</si>
  <si>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</si>
  <si>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</si>
  <si>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</si>
  <si>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</si>
  <si>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</si>
  <si>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</si>
  <si>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</si>
  <si>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</si>
  <si>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</si>
  <si>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</si>
  <si>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</si>
  <si>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</si>
  <si>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</si>
  <si>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</si>
  <si>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</si>
  <si>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</si>
  <si>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</si>
  <si>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</si>
  <si>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</si>
  <si>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</si>
  <si>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</si>
  <si>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</si>
  <si>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</si>
  <si>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</si>
  <si>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</si>
  <si>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</si>
  <si>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</si>
  <si>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</si>
  <si>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</si>
  <si>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</si>
  <si>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</si>
  <si>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</si>
  <si>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</si>
  <si>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</si>
  <si>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</si>
  <si>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</si>
  <si>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</si>
  <si>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</si>
  <si>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</si>
  <si>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</si>
  <si>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</si>
  <si>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</si>
  <si>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</si>
  <si>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</si>
  <si>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</si>
  <si>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</si>
  <si>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</si>
  <si>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</si>
  <si>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</si>
  <si>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</si>
  <si>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</si>
  <si>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</si>
  <si>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</si>
  <si>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</si>
  <si>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</si>
  <si>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</si>
  <si>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</si>
  <si>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</si>
  <si>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</si>
  <si>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</si>
  <si>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</si>
  <si>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</si>
  <si>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</si>
  <si>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</si>
  <si>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</si>
  <si>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</si>
  <si>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</si>
  <si>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</si>
  <si>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</si>
  <si>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</si>
  <si>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</si>
  <si>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</si>
  <si>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</si>
  <si>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</si>
  <si>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</si>
  <si>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</si>
  <si>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</si>
  <si>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</si>
  <si>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</si>
  <si>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</si>
  <si>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</si>
  <si>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</si>
  <si>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</si>
  <si>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</si>
  <si>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</si>
  <si>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</si>
  <si>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</si>
  <si>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</si>
  <si>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</si>
  <si>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</si>
  <si>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</si>
  <si>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</si>
  <si>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</si>
  <si>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</si>
  <si>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</si>
  <si>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</si>
  <si>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</si>
  <si>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</si>
  <si>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</si>
  <si>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</si>
  <si>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</si>
  <si>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</si>
  <si>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</si>
  <si>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</si>
  <si>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</si>
  <si>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</si>
  <si>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</si>
  <si>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</si>
  <si>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</si>
  <si>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</si>
  <si>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</si>
  <si>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是</t>
  </si>
  <si>
    <t>租金比较法</t>
    <phoneticPr fontId="16" type="noConversion"/>
  </si>
  <si>
    <t>叶凌</t>
  </si>
  <si>
    <t>陈颖</t>
  </si>
  <si>
    <t>核定资产</t>
  </si>
  <si>
    <t>房地产市场价值</t>
  </si>
  <si>
    <t>北京市</t>
  </si>
  <si>
    <t>企业</t>
  </si>
  <si>
    <t>锅炉房</t>
  </si>
  <si>
    <t>锅炉房</t>
    <phoneticPr fontId="16" type="noConversion"/>
  </si>
  <si>
    <t>锅炉房</t>
    <phoneticPr fontId="7" type="noConversion"/>
  </si>
  <si>
    <t>成新度</t>
  </si>
  <si>
    <t>Ⅶ-兴1</t>
  </si>
  <si>
    <t>不临58条商业街</t>
  </si>
  <si>
    <t>无</t>
  </si>
  <si>
    <t>有</t>
  </si>
  <si>
    <t>1000米以外</t>
  </si>
  <si>
    <t>容积率修正</t>
  </si>
  <si>
    <t>按公示增长率计算</t>
  </si>
  <si>
    <t>收益法</t>
  </si>
  <si>
    <t>未包含在土地购买价格中</t>
  </si>
  <si>
    <t>全部缴纳</t>
  </si>
  <si>
    <t>成本法</t>
  </si>
  <si>
    <t>租金案例A</t>
    <phoneticPr fontId="143" type="noConversion"/>
  </si>
  <si>
    <t>租期</t>
    <phoneticPr fontId="143" type="noConversion"/>
  </si>
  <si>
    <r>
      <t>租金（元/天</t>
    </r>
    <r>
      <rPr>
        <sz val="11"/>
        <color theme="1"/>
        <rFont val="宋体"/>
        <family val="3"/>
        <charset val="134"/>
        <scheme val="minor"/>
      </rPr>
      <t>.㎡）</t>
    </r>
    <phoneticPr fontId="143" type="noConversion"/>
  </si>
  <si>
    <t>备注</t>
    <phoneticPr fontId="143" type="noConversion"/>
  </si>
  <si>
    <r>
      <t>从2</t>
    </r>
    <r>
      <rPr>
        <sz val="11"/>
        <color theme="1"/>
        <rFont val="宋体"/>
        <family val="3"/>
        <charset val="134"/>
        <scheme val="minor"/>
      </rPr>
      <t>015年12月1日起每2年递增0.20元/天</t>
    </r>
    <phoneticPr fontId="143" type="noConversion"/>
  </si>
  <si>
    <t>租金案例B</t>
    <phoneticPr fontId="143" type="noConversion"/>
  </si>
  <si>
    <t>前三年每年递增10%，后三年每年递增5%</t>
    <phoneticPr fontId="143" type="noConversion"/>
  </si>
  <si>
    <t>租金案例C</t>
    <phoneticPr fontId="143" type="noConversion"/>
  </si>
  <si>
    <t>地址</t>
    <phoneticPr fontId="143" type="noConversion"/>
  </si>
  <si>
    <t>用途</t>
    <phoneticPr fontId="143" type="noConversion"/>
  </si>
  <si>
    <t>商业办公</t>
    <phoneticPr fontId="143" type="noConversion"/>
  </si>
  <si>
    <t>租金案例D</t>
    <phoneticPr fontId="143" type="noConversion"/>
  </si>
  <si>
    <t>九龙山庄生活小区8号楼1层5号</t>
    <phoneticPr fontId="143" type="noConversion"/>
  </si>
  <si>
    <r>
      <t>九龙山庄生活小区8号楼第1层A段102、103</t>
    </r>
    <r>
      <rPr>
        <sz val="11"/>
        <color theme="1"/>
        <rFont val="宋体"/>
        <family val="3"/>
        <charset val="134"/>
        <scheme val="minor"/>
      </rPr>
      <t>号</t>
    </r>
    <phoneticPr fontId="143" type="noConversion"/>
  </si>
  <si>
    <t>办公</t>
    <phoneticPr fontId="143" type="noConversion"/>
  </si>
  <si>
    <t>库房</t>
  </si>
  <si>
    <t>库房</t>
    <phoneticPr fontId="143" type="noConversion"/>
  </si>
  <si>
    <t>兴旺北大街5号院</t>
    <phoneticPr fontId="143" type="noConversion"/>
  </si>
  <si>
    <t>面积</t>
    <phoneticPr fontId="143" type="noConversion"/>
  </si>
  <si>
    <r>
      <t>2</t>
    </r>
    <r>
      <rPr>
        <sz val="11"/>
        <color theme="1"/>
        <rFont val="宋体"/>
        <family val="3"/>
        <charset val="134"/>
        <scheme val="minor"/>
      </rPr>
      <t>015-12-1</t>
    </r>
    <phoneticPr fontId="143" type="noConversion"/>
  </si>
  <si>
    <t>2017-12-1</t>
    <phoneticPr fontId="143" type="noConversion"/>
  </si>
  <si>
    <t>2016-12-1</t>
    <phoneticPr fontId="143" type="noConversion"/>
  </si>
  <si>
    <t>2018-12-1</t>
    <phoneticPr fontId="143" type="noConversion"/>
  </si>
  <si>
    <t>2019-12-1</t>
    <phoneticPr fontId="143" type="noConversion"/>
  </si>
  <si>
    <t>估价对象名称</t>
    <phoneticPr fontId="3" type="noConversion"/>
  </si>
  <si>
    <t>兴旺北大街5号院</t>
    <phoneticPr fontId="3" type="noConversion"/>
  </si>
  <si>
    <t>西北9号院</t>
    <phoneticPr fontId="143" type="noConversion"/>
  </si>
  <si>
    <t>西北9号院</t>
    <phoneticPr fontId="3" type="noConversion"/>
  </si>
  <si>
    <t>正常</t>
  </si>
  <si>
    <t>库房</t>
    <phoneticPr fontId="25" type="noConversion"/>
  </si>
  <si>
    <t>锅炉房</t>
    <phoneticPr fontId="25" type="noConversion"/>
  </si>
  <si>
    <t>50-60（含）</t>
  </si>
  <si>
    <t>押一</t>
  </si>
  <si>
    <t>砖混</t>
  </si>
  <si>
    <t>非生产用房</t>
  </si>
  <si>
    <t>缺少</t>
  </si>
  <si>
    <t>租金案例E</t>
    <phoneticPr fontId="143" type="noConversion"/>
  </si>
  <si>
    <r>
      <t>每2年递增</t>
    </r>
    <r>
      <rPr>
        <sz val="11"/>
        <color theme="1"/>
        <rFont val="宋体"/>
        <family val="3"/>
        <charset val="134"/>
        <scheme val="minor"/>
      </rPr>
      <t>10%</t>
    </r>
    <phoneticPr fontId="143" type="noConversion"/>
  </si>
  <si>
    <t>租金案例F</t>
    <phoneticPr fontId="143" type="noConversion"/>
  </si>
  <si>
    <t>库房</t>
    <phoneticPr fontId="143" type="noConversion"/>
  </si>
  <si>
    <t>40-50（含）</t>
  </si>
  <si>
    <t>估价对象容积率</t>
  </si>
  <si>
    <t>较差</t>
  </si>
  <si>
    <t>一般</t>
  </si>
  <si>
    <t>较好</t>
  </si>
  <si>
    <t>0..39%</t>
    <phoneticPr fontId="79" type="noConversion"/>
  </si>
  <si>
    <t>比较法-工业</t>
  </si>
  <si>
    <t>出让金</t>
    <phoneticPr fontId="143" type="noConversion"/>
  </si>
  <si>
    <t>最终总价</t>
    <phoneticPr fontId="143" type="noConversion"/>
  </si>
  <si>
    <t>生产用房</t>
  </si>
  <si>
    <t>否</t>
  </si>
  <si>
    <t>基准地价</t>
  </si>
  <si>
    <t>租金</t>
  </si>
  <si>
    <r>
      <t>九龙山庄外北边兴1</t>
    </r>
    <r>
      <rPr>
        <sz val="11"/>
        <color theme="1"/>
        <rFont val="宋体"/>
        <family val="3"/>
        <charset val="134"/>
        <scheme val="minor"/>
      </rPr>
      <t>1号院</t>
    </r>
    <phoneticPr fontId="143" type="noConversion"/>
  </si>
  <si>
    <t>大兴西红门九龙山庄</t>
    <phoneticPr fontId="3" type="noConversion"/>
  </si>
  <si>
    <t>七通</t>
  </si>
  <si>
    <t>通上水</t>
  </si>
  <si>
    <t>通下水</t>
  </si>
  <si>
    <t>建成年份</t>
    <phoneticPr fontId="32" type="noConversion"/>
  </si>
  <si>
    <t>平房</t>
  </si>
  <si>
    <t>平房</t>
    <phoneticPr fontId="32" type="noConversion"/>
  </si>
  <si>
    <t>混合</t>
  </si>
  <si>
    <t>混合</t>
    <phoneticPr fontId="32" type="noConversion"/>
  </si>
  <si>
    <r>
      <rPr>
        <sz val="11"/>
        <color indexed="8"/>
        <rFont val="宋体"/>
        <family val="3"/>
        <charset val="134"/>
      </rPr>
      <t>五通</t>
    </r>
    <r>
      <rPr>
        <sz val="11"/>
        <color indexed="8"/>
        <rFont val="Arial"/>
        <family val="2"/>
      </rPr>
      <t xml:space="preserve"> </t>
    </r>
    <phoneticPr fontId="32" type="noConversion"/>
  </si>
  <si>
    <t xml:space="preserve">五通 </t>
  </si>
  <si>
    <t>简装</t>
  </si>
  <si>
    <t>简装</t>
    <phoneticPr fontId="32" type="noConversion"/>
  </si>
  <si>
    <t>九龙山二区主路北侧西小平房</t>
    <phoneticPr fontId="143" type="noConversion"/>
  </si>
  <si>
    <t>20-30（含）</t>
  </si>
  <si>
    <t>九龙山二区主路北侧西小平房</t>
    <phoneticPr fontId="3" type="noConversion"/>
  </si>
  <si>
    <t>九龙山庄外北边兴11号院</t>
    <phoneticPr fontId="3" type="noConversion"/>
  </si>
  <si>
    <t>四通一平</t>
  </si>
  <si>
    <t>通热</t>
  </si>
  <si>
    <t>好</t>
  </si>
  <si>
    <t>公共设施</t>
    <phoneticPr fontId="32" type="noConversion"/>
  </si>
  <si>
    <t>仓储</t>
  </si>
  <si>
    <t>仓储</t>
    <phoneticPr fontId="32" type="noConversion"/>
  </si>
  <si>
    <t>住宅</t>
  </si>
  <si>
    <t>居住用地（指二类居住用地）</t>
  </si>
  <si>
    <t>估价对象周边居住用地比例、居住小区规模和社区发展完善程度，综合评价居住社区成熟度一般</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</si>
</sst>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4" fontId="0" fillId="5" borderId="0" xfId="0" applyNumberFormat="1" applyFill="1" applyAlignment="1">
      <alignment horizontal="center" vertical="center"/>
    </xf>
    <xf numFmtId="49" fontId="0" fillId="0" borderId="0" xfId="0" applyNumberFormat="1" applyAlignment="1">
      <alignment horizontal="center" vertical="center"/>
    </xf>
    <xf numFmtId="49" fontId="99" fillId="0" borderId="0" xfId="0" applyNumberFormat="1" applyFont="1" applyAlignment="1">
      <alignment horizontal="center" vertical="center"/>
    </xf>
    <xf numFmtId="0" fontId="0" fillId="5" borderId="0" xfId="0" applyFill="1" applyAlignment="1">
      <alignment horizontal="center" vertical="center"/>
    </xf>
    <xf numFmtId="49" fontId="99" fillId="0" borderId="0" xfId="0" applyNumberFormat="1" applyFont="1" applyFill="1" applyAlignment="1">
      <alignment horizontal="center" vertical="center"/>
    </xf>
    <xf numFmtId="0" fontId="0" fillId="0" borderId="0" xfId="0" applyFill="1" applyAlignment="1">
      <alignment horizontal="center" vertical="center"/>
    </xf>
    <xf numFmtId="49" fontId="0" fillId="0" borderId="0" xfId="0" applyNumberFormat="1" applyFill="1" applyAlignment="1">
      <alignment horizontal="center" vertical="center"/>
    </xf>
    <xf numFmtId="14" fontId="0" fillId="0" borderId="0" xfId="0" applyNumberFormat="1" applyFill="1" applyAlignment="1">
      <alignment horizontal="center" vertical="center"/>
    </xf>
    <xf numFmtId="0" fontId="0" fillId="0" borderId="0" xfId="0" applyFill="1">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4" fillId="3" borderId="0" xfId="0" applyFont="1" applyFill="1" applyAlignment="1" applyProtection="1">
      <alignment vertical="center"/>
      <protection locked="0"/>
    </xf>
    <xf numFmtId="177" fontId="57" fillId="3" borderId="0" xfId="0" applyNumberFormat="1" applyFont="1" applyFill="1" applyAlignment="1" applyProtection="1">
      <alignment vertical="center"/>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5" borderId="0" xfId="0" applyFont="1" applyFill="1" applyAlignment="1">
      <alignment horizontal="center" vertical="center"/>
    </xf>
    <xf numFmtId="49" fontId="99" fillId="7" borderId="0" xfId="0" applyNumberFormat="1" applyFont="1" applyFill="1" applyAlignment="1">
      <alignment horizontal="center" vertical="center"/>
    </xf>
    <xf numFmtId="0" fontId="0" fillId="7" borderId="0" xfId="0" applyFill="1" applyAlignment="1">
      <alignment horizontal="center" vertical="center"/>
    </xf>
    <xf numFmtId="49" fontId="225" fillId="0" borderId="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17</xdr:col>
      <xdr:colOff>93782</xdr:colOff>
      <xdr:row>31</xdr:row>
      <xdr:rowOff>66005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9050"/>
          <a:ext cx="11752382" cy="5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北京市出让国有建设用地使用权及在建建筑物房地产市场价值预评估</v>
      </c>
    </row>
    <row r="3" spans="1:2" s="1596" customFormat="1">
      <c r="A3" s="1594" t="s">
        <v>1221</v>
      </c>
      <c r="B3" s="1595">
        <f>'预评函-封皮'!B40</f>
        <v>0</v>
      </c>
    </row>
    <row r="4" spans="1:2" s="1596" customFormat="1">
      <c r="A4" s="1594" t="s">
        <v>1222</v>
      </c>
      <c r="B4" s="1595" t="str">
        <f ca="1">'预评函-封皮'!B46</f>
        <v>叶凌（注册号：1119970111)、陈颖（注册号：1120060040)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估价对象为北京市出让国有建设用地使用权及在建建筑物房地产，为所有。根据《国有土地使用证》[]，估价对象（分摊）出让国有建设用地使用权面积为1307.9平方米，建筑面积为1307.9平方米。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1307.9平方米，规划建筑面积为1307.9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2018年4月30日</v>
      </c>
    </row>
    <row r="13" spans="1:2" s="1596" customFormat="1">
      <c r="A13" s="1594" t="s">
        <v>1227</v>
      </c>
      <c r="B13" s="1595" t="str">
        <f>'预评函-1'!A18</f>
        <v>本次估价的“房地产价值”是指在正常市场情况下，在价值时点2018年4月30日，估价对象规划用途为，土地取得方式为，假定未设立法定优先受偿款下的房地产市场价值。</v>
      </c>
    </row>
    <row r="14" spans="1:2" s="1596" customFormat="1">
      <c r="A14" s="1594" t="s">
        <v>1228</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本次评估采用的主估价方法为比较法和成本法。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517</v>
      </c>
    </row>
    <row r="21" spans="1:2" s="1596" customFormat="1">
      <c r="A21" s="1594" t="s">
        <v>1235</v>
      </c>
      <c r="B21" s="1595">
        <f ca="1">'预评函-2'!D7</f>
        <v>3953</v>
      </c>
    </row>
    <row r="22" spans="1:2" s="1596" customFormat="1">
      <c r="A22" s="1594" t="s">
        <v>1236</v>
      </c>
      <c r="B22" s="1595" t="str">
        <f ca="1">'预评函-2'!D6</f>
        <v>伍佰壹拾柒万元整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517</v>
      </c>
    </row>
    <row r="31" spans="1:2" s="1596" customFormat="1">
      <c r="A31" s="1594" t="s">
        <v>1274</v>
      </c>
      <c r="B31" s="1595">
        <f ca="1">'预评函-2'!D15</f>
        <v>3953</v>
      </c>
    </row>
    <row r="32" spans="1:2" s="1596" customFormat="1">
      <c r="A32" s="1594" t="s">
        <v>1241</v>
      </c>
      <c r="B32" s="1595" t="str">
        <f ca="1">'预评函-2'!D14</f>
        <v>伍佰壹拾柒万元整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1307.9000000000001</v>
      </c>
    </row>
    <row r="44" spans="1:2" s="1596" customFormat="1">
      <c r="A44" s="1594" t="s">
        <v>1273</v>
      </c>
      <c r="B44" s="1595" t="str">
        <f>'预评函-3'!C2</f>
        <v>(分摊)土地面积</v>
      </c>
    </row>
    <row r="45" spans="1:2" s="1596" customFormat="1">
      <c r="A45" s="1594" t="s">
        <v>1245</v>
      </c>
      <c r="B45" s="1595">
        <f>'预评函-3'!C4</f>
        <v>1307.9000000000001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叶凌</v>
      </c>
    </row>
    <row r="71" spans="1:2">
      <c r="A71" s="1594" t="s">
        <v>1261</v>
      </c>
      <c r="B71" s="1595">
        <f ca="1">'预评函-4'!B4</f>
        <v>1119970111</v>
      </c>
    </row>
    <row r="72" spans="1:2">
      <c r="A72" s="1594" t="s">
        <v>1262</v>
      </c>
      <c r="B72" s="1603" t="str">
        <f>'预评函-4'!A5</f>
        <v>陈颖</v>
      </c>
    </row>
    <row r="73" spans="1:2" s="1590" customFormat="1" ht="15" thickBot="1">
      <c r="A73" s="1597" t="s">
        <v>1263</v>
      </c>
      <c r="B73" s="1598">
        <f ca="1">'预评函-4'!B5</f>
        <v>1120060040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3053</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3061</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D15" sqref="D1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5"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43354</v>
      </c>
      <c r="C3" s="2040" t="s">
        <v>1779</v>
      </c>
      <c r="D3" s="2039">
        <v>43220</v>
      </c>
      <c r="E3" s="2029"/>
      <c r="F3" s="2029"/>
      <c r="G3" s="2029"/>
      <c r="H3" s="2029"/>
      <c r="I3" s="2029"/>
      <c r="J3" s="2029"/>
      <c r="K3" s="2030"/>
      <c r="L3" s="2031"/>
      <c r="M3" s="2031"/>
      <c r="N3" s="2032"/>
      <c r="O3" s="2033"/>
      <c r="P3" s="2032"/>
      <c r="Q3" s="2032"/>
      <c r="R3" s="2032"/>
      <c r="S3" s="2034"/>
    </row>
    <row r="4" spans="1:19" ht="18" customHeight="1" thickBot="1">
      <c r="A4" s="2041" t="s">
        <v>1780</v>
      </c>
      <c r="B4" s="2042" t="s">
        <v>3054</v>
      </c>
      <c r="C4" s="1040">
        <f ca="1">SUMIF(注册房地产估价师,B4,估价师及机构信息!B3:B24)</f>
        <v>1119970111</v>
      </c>
      <c r="D4" s="2042" t="s">
        <v>3055</v>
      </c>
      <c r="E4" s="1041">
        <f ca="1">SUMIF(注册房地产估价师,D4,估价师及机构信息!B3:B24)</f>
        <v>1120060040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叶凌（注册号：1119970111)、陈颖（注册号：1120060040)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3056</v>
      </c>
      <c r="C8" s="2059"/>
      <c r="D8" s="3028" t="s">
        <v>1785</v>
      </c>
      <c r="E8" s="2060"/>
      <c r="F8" s="2061"/>
      <c r="G8" s="2029"/>
      <c r="H8" s="2029"/>
      <c r="I8" s="2029"/>
      <c r="J8" s="2045"/>
      <c r="K8" s="2046"/>
      <c r="L8" s="2031"/>
      <c r="M8" s="2031"/>
      <c r="N8" s="2032"/>
      <c r="O8" s="2033"/>
      <c r="P8" s="2032"/>
      <c r="Q8" s="2032"/>
      <c r="R8" s="2032"/>
    </row>
    <row r="9" spans="1:19" ht="18" customHeight="1" thickBot="1">
      <c r="A9" s="2043" t="s">
        <v>1786</v>
      </c>
      <c r="B9" s="2062" t="s">
        <v>3057</v>
      </c>
      <c r="C9" s="2063"/>
      <c r="D9" s="3029"/>
      <c r="E9" s="2062"/>
      <c r="F9" s="2064"/>
      <c r="G9" s="2065"/>
      <c r="H9" s="2065"/>
      <c r="I9" s="2065"/>
      <c r="J9" s="2045"/>
      <c r="K9" s="2057"/>
      <c r="L9" s="2031"/>
      <c r="M9" s="2031"/>
      <c r="N9" s="2032"/>
      <c r="O9" s="2033"/>
      <c r="P9" s="2032"/>
      <c r="Q9" s="2032"/>
      <c r="R9" s="2032"/>
    </row>
    <row r="10" spans="1:19" ht="18" customHeight="1" thickTop="1">
      <c r="A10" s="2066" t="s">
        <v>1787</v>
      </c>
      <c r="B10" s="2067" t="s">
        <v>3058</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3059</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v>64405</v>
      </c>
      <c r="E13" s="2083"/>
      <c r="F13" s="2083"/>
      <c r="G13" s="2083"/>
      <c r="H13" s="2083"/>
      <c r="I13" s="1050">
        <v>53447</v>
      </c>
      <c r="J13" s="2045"/>
      <c r="K13" s="2057"/>
      <c r="L13" s="2031"/>
      <c r="M13" s="2031"/>
      <c r="N13" s="2032"/>
      <c r="O13" s="2033"/>
      <c r="P13" s="2032"/>
      <c r="Q13" s="2032"/>
      <c r="R13" s="2032"/>
    </row>
    <row r="14" spans="1:19" ht="18" customHeight="1">
      <c r="A14" s="2080"/>
      <c r="B14" s="2081"/>
      <c r="C14" s="2082" t="s">
        <v>1799</v>
      </c>
      <c r="D14" s="1053">
        <v>70</v>
      </c>
      <c r="E14" s="1053">
        <v>40</v>
      </c>
      <c r="F14" s="1053">
        <v>50</v>
      </c>
      <c r="G14" s="1053">
        <v>50</v>
      </c>
      <c r="H14" s="1053">
        <v>50</v>
      </c>
      <c r="I14" s="1053">
        <v>50</v>
      </c>
      <c r="J14" s="2045"/>
      <c r="K14" s="2084"/>
      <c r="L14" s="2031"/>
      <c r="M14" s="2031"/>
      <c r="N14" s="2032"/>
      <c r="O14" s="2033"/>
      <c r="P14" s="2032"/>
      <c r="Q14" s="2032"/>
      <c r="R14" s="2032"/>
    </row>
    <row r="15" spans="1:19" ht="18" customHeight="1">
      <c r="A15" s="2066"/>
      <c r="B15" s="2085"/>
      <c r="C15" s="2082" t="s">
        <v>1800</v>
      </c>
      <c r="D15" s="1052">
        <f>IF(B12="出让",IF(D13="","",ROUNDDOWN(MIN((D13-$D$3)/365,D14),2)),D14)</f>
        <v>70</v>
      </c>
      <c r="E15" s="1052">
        <f>IF(B12="出让",IF(E13="","",ROUNDDOWN(MIN((E13-$D$3)/365,E14),2)),E14)</f>
        <v>40</v>
      </c>
      <c r="F15" s="1052">
        <f>IF(B12="出让",IF(F13="","",ROUNDDOWN(MIN((F13-$D$3)/365,F14),2)),F14)</f>
        <v>50</v>
      </c>
      <c r="G15" s="1052">
        <f>IF(B12="出让",IF(G13="","",ROUNDDOWN(MIN((G13-$D$3)/365,G14),2)),G14)</f>
        <v>50</v>
      </c>
      <c r="H15" s="1052">
        <f>IF(B12="出让",IF(H13="","",ROUNDDOWN(MIN((H13-$D$3)/365,H14),2)),H14)</f>
        <v>50</v>
      </c>
      <c r="I15" s="1052">
        <f>IF(B12="出让",IF(I13="","",ROUNDDOWN(MIN((I13-$D$3)/365,I14),2)),I14)</f>
        <v>50</v>
      </c>
      <c r="J15" s="2045"/>
      <c r="K15" s="2086"/>
      <c r="L15" s="2087"/>
      <c r="M15" s="2087"/>
      <c r="N15" s="2088"/>
      <c r="O15" s="2087"/>
      <c r="P15" s="2088"/>
      <c r="Q15" s="2032"/>
      <c r="R15" s="2032"/>
    </row>
    <row r="16" spans="1:19" ht="30.75" customHeight="1">
      <c r="A16" s="2069" t="s">
        <v>1801</v>
      </c>
      <c r="B16" s="3035"/>
      <c r="C16" s="3036"/>
      <c r="D16" s="3037"/>
      <c r="E16" s="2089" t="s">
        <v>1802</v>
      </c>
      <c r="F16" s="3038"/>
      <c r="G16" s="3039"/>
      <c r="H16" s="3039"/>
      <c r="I16" s="3040"/>
      <c r="J16" s="2032"/>
      <c r="K16" s="2086"/>
      <c r="L16" s="2087"/>
      <c r="M16" s="2087"/>
      <c r="N16" s="2088"/>
      <c r="O16" s="2087"/>
      <c r="P16" s="2088"/>
      <c r="Q16" s="2032"/>
      <c r="R16" s="2032"/>
    </row>
    <row r="17" spans="1:22" ht="18" customHeight="1">
      <c r="A17" s="2090" t="s">
        <v>1803</v>
      </c>
      <c r="B17" s="2038" t="s">
        <v>1804</v>
      </c>
      <c r="C17" s="1057">
        <f>'数据-汇总表'!E3</f>
        <v>1307.9000000000001</v>
      </c>
      <c r="D17" s="2091" t="s">
        <v>1805</v>
      </c>
      <c r="E17" s="3041" t="s">
        <v>1806</v>
      </c>
      <c r="F17" s="3042"/>
      <c r="G17" s="3042"/>
      <c r="H17" s="3042"/>
      <c r="I17" s="3043"/>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1307.9000000000001</v>
      </c>
      <c r="D18" s="2094" t="s">
        <v>1805</v>
      </c>
      <c r="E18" s="3044" t="s">
        <v>1809</v>
      </c>
      <c r="F18" s="3045"/>
      <c r="G18" s="3045"/>
      <c r="H18" s="3045"/>
      <c r="I18" s="3046"/>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1" t="s">
        <v>1814</v>
      </c>
      <c r="C20" s="3032"/>
      <c r="D20" s="3033" t="s">
        <v>1815</v>
      </c>
      <c r="E20" s="3034"/>
      <c r="F20" s="2101" t="s">
        <v>1816</v>
      </c>
      <c r="G20" s="2045"/>
      <c r="H20" s="2045"/>
      <c r="I20" s="2045"/>
      <c r="J20" s="2045"/>
      <c r="K20" s="303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8"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8"/>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8"/>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9"/>
      <c r="B30" s="2038" t="s">
        <v>1833</v>
      </c>
      <c r="C30" s="3020"/>
      <c r="D30" s="302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2"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7" t="s">
        <v>1843</v>
      </c>
      <c r="T34" s="2138" t="str">
        <f>NUMBERSTRING(7-K34,1)&amp;"通"</f>
        <v>七通</v>
      </c>
      <c r="U34" s="2032"/>
      <c r="V34" s="2032"/>
    </row>
    <row r="35" spans="1:22" ht="18" customHeight="1">
      <c r="A35" s="2139"/>
      <c r="B35" s="3024" t="s">
        <v>1844</v>
      </c>
      <c r="C35" s="3024"/>
      <c r="D35" s="3024"/>
      <c r="E35" s="302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t="s">
        <v>526</v>
      </c>
      <c r="E37" s="2144" t="s">
        <v>526</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t="s">
        <v>3064</v>
      </c>
      <c r="E38" s="2146" t="s">
        <v>3064</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1307.9000000000001</v>
      </c>
      <c r="B3" s="14">
        <f>IF(C3="否",G5-AT5,G5)</f>
        <v>1307.9000000000001</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1307.9000000000001</v>
      </c>
      <c r="H5" s="16">
        <f t="shared" ref="H5:AT5" si="0">SUM(H13:H656)</f>
        <v>1307.9000000000001</v>
      </c>
      <c r="I5" s="16">
        <f t="shared" si="0"/>
        <v>1307.9000000000001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1307.9000000000001</v>
      </c>
      <c r="BA5" s="18">
        <f t="shared" si="1"/>
        <v>1307.9000000000001</v>
      </c>
      <c r="BB5" s="18">
        <f t="shared" si="1"/>
        <v>1307.9000000000001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1307.9000000000001</v>
      </c>
      <c r="F6" s="16" t="s">
        <v>1</v>
      </c>
      <c r="G6" s="16" t="s">
        <v>2</v>
      </c>
      <c r="H6" s="20">
        <f>SUMIF(I$12:AB$12,"总值",I6:AB6)</f>
        <v>1307.9000000000001</v>
      </c>
      <c r="I6" s="16">
        <f t="shared" ref="I6:AB6" si="2">ROUND($A$3*I5/$B$3,2)</f>
        <v>1307.9000000000001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1307.9000000000001</v>
      </c>
      <c r="AZ6" s="16" t="s">
        <v>3</v>
      </c>
      <c r="BA6" s="16">
        <f>ROUND($AY$6*BA5/$AZ$5,2)</f>
        <v>1307.9000000000001</v>
      </c>
      <c r="BB6" s="16">
        <f>ROUND($AY$6*BB5/$AZ$5,2)</f>
        <v>1307.9000000000001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3051</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3152</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3060</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锅炉房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3052</v>
      </c>
      <c r="E13" s="16">
        <f>IF($C$3="是",ROUND($A$3*G13/$B$3,2),ROUND($A$3*(G13-AT13)/$B$3,2))</f>
        <v>1307.9000000000001</v>
      </c>
      <c r="F13" s="32"/>
      <c r="G13" s="33">
        <f>H13+AC13+AT13</f>
        <v>1307.9000000000001</v>
      </c>
      <c r="H13" s="20">
        <f>SUMIF(I$12:AB$12,"总值",I13:AB13)</f>
        <v>1307.9000000000001</v>
      </c>
      <c r="I13" s="2218">
        <v>1307.9000000000001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1307.9000000000001</v>
      </c>
      <c r="AZ13" s="16">
        <f>BA13+BL13</f>
        <v>1307.9000000000001</v>
      </c>
      <c r="BA13" s="16">
        <f>SUM(BB13:BK13)</f>
        <v>1307.9000000000001</v>
      </c>
      <c r="BB13" s="16">
        <f>IF($D13="是",I13-J13,0)</f>
        <v>1307.9000000000001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3" sqref="F1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58" t="s">
        <v>1940</v>
      </c>
      <c r="B2" s="3058"/>
      <c r="C2" s="3058"/>
      <c r="D2" s="970" t="s">
        <v>1916</v>
      </c>
      <c r="E2" s="2231" t="s">
        <v>1917</v>
      </c>
      <c r="F2" s="1395"/>
      <c r="G2" s="2232"/>
      <c r="H2" s="2233"/>
      <c r="I2" s="2234" t="s">
        <v>1941</v>
      </c>
      <c r="J2" s="1395"/>
      <c r="K2" s="1395"/>
      <c r="L2" s="1395"/>
      <c r="M2" s="1395"/>
      <c r="N2" s="1430"/>
      <c r="O2" s="1395"/>
      <c r="P2" s="1395"/>
    </row>
    <row r="3" spans="1:16" ht="15.75" thickBot="1">
      <c r="A3" s="3059" t="s">
        <v>1914</v>
      </c>
      <c r="B3" s="3059"/>
      <c r="C3" s="3059"/>
      <c r="D3" s="46">
        <f>'数据-基础表'!AY6</f>
        <v>1307.9000000000001</v>
      </c>
      <c r="E3" s="46">
        <f>'数据-基础表'!AZ5</f>
        <v>1307.9000000000001</v>
      </c>
      <c r="F3" s="1395"/>
      <c r="G3" s="1402"/>
      <c r="H3" s="1250" t="s">
        <v>1915</v>
      </c>
      <c r="I3" s="55">
        <f>ROUND('数据-基础表'!B3/'数据-基础表'!A3,2)</f>
        <v>1</v>
      </c>
      <c r="J3" s="1395"/>
      <c r="K3" s="1395"/>
      <c r="L3" s="1395"/>
      <c r="M3" s="1395"/>
      <c r="N3" s="1430"/>
      <c r="O3" s="1395"/>
      <c r="P3" s="1395"/>
    </row>
    <row r="4" spans="1:16" ht="15">
      <c r="A4" s="3060"/>
      <c r="B4" s="3061"/>
      <c r="C4" s="3062"/>
      <c r="D4" s="2235" t="s">
        <v>1916</v>
      </c>
      <c r="E4" s="2236" t="s">
        <v>1917</v>
      </c>
      <c r="F4" s="1395"/>
      <c r="G4" s="2237" t="s">
        <v>1942</v>
      </c>
      <c r="H4" s="1250" t="s">
        <v>1922</v>
      </c>
      <c r="I4" s="55">
        <f>ROUND(SUMIF('数据-基础表'!I9:AS9,"地上",'数据-基础表'!I5:AS5)/'数据-基础表'!A3,2)</f>
        <v>1</v>
      </c>
      <c r="J4" s="1395"/>
      <c r="K4" s="1395"/>
      <c r="L4" s="1395"/>
      <c r="M4" s="1395"/>
      <c r="N4" s="1430"/>
      <c r="O4" s="1395"/>
      <c r="P4" s="1395"/>
    </row>
    <row r="5" spans="1:16">
      <c r="A5" s="47" t="s">
        <v>1918</v>
      </c>
      <c r="B5" s="3063" t="s">
        <v>1919</v>
      </c>
      <c r="C5" s="3063"/>
      <c r="D5" s="48">
        <f>ROUND($D$3*E5/$E$3,2)</f>
        <v>1307.9000000000001</v>
      </c>
      <c r="E5" s="49">
        <f>SUMIF('数据-基础表'!$11:$11,"住宅",'数据-基础表'!$5:$5)</f>
        <v>1307.9000000000001</v>
      </c>
      <c r="F5" s="1395"/>
      <c r="G5" s="1402"/>
      <c r="H5" s="1250" t="s">
        <v>1915</v>
      </c>
      <c r="I5" s="55">
        <f>ROUND(E31/D31,2)</f>
        <v>1</v>
      </c>
      <c r="J5" s="1395"/>
      <c r="K5" s="1395"/>
      <c r="L5" s="1395"/>
      <c r="M5" s="1395"/>
      <c r="N5" s="1395"/>
      <c r="O5" s="1395"/>
      <c r="P5" s="1395"/>
    </row>
    <row r="6" spans="1:16" ht="15" thickBot="1">
      <c r="A6" s="2238"/>
      <c r="B6" s="3063" t="s">
        <v>1920</v>
      </c>
      <c r="C6" s="3063"/>
      <c r="D6" s="48">
        <f>ROUND($D$3*E6/$E$3,2)</f>
        <v>0</v>
      </c>
      <c r="E6" s="49">
        <f>E3-E5</f>
        <v>0</v>
      </c>
      <c r="F6" s="1395"/>
      <c r="G6" s="2239" t="s">
        <v>1921</v>
      </c>
      <c r="H6" s="1402" t="s">
        <v>1922</v>
      </c>
      <c r="I6" s="942">
        <f>ROUND(F31/D31,2)</f>
        <v>1</v>
      </c>
      <c r="J6" s="1395"/>
      <c r="K6" s="1395"/>
      <c r="L6" s="1395"/>
      <c r="M6" s="1395"/>
      <c r="N6" s="1395"/>
      <c r="O6" s="1395"/>
      <c r="P6" s="1395"/>
    </row>
    <row r="7" spans="1:16" ht="15">
      <c r="A7" s="3055"/>
      <c r="B7" s="3056"/>
      <c r="C7" s="3057"/>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1307.9000000000001</v>
      </c>
      <c r="E8" s="51">
        <f>SUMIF('数据-基础表'!BB10:BK10,"地上",'数据-基础表'!BB5:BK5)</f>
        <v>1307.9000000000001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1307.9000000000001</v>
      </c>
      <c r="E16" s="53">
        <f>SUM(E8:E15)</f>
        <v>1307.9000000000001</v>
      </c>
      <c r="F16" s="1395"/>
      <c r="G16" s="2241"/>
      <c r="H16" s="2244" t="s">
        <v>1944</v>
      </c>
      <c r="I16" s="2245"/>
      <c r="J16" s="1395"/>
      <c r="K16" s="3052" t="s">
        <v>1944</v>
      </c>
      <c r="L16" s="3053"/>
      <c r="M16" s="3053"/>
      <c r="N16" s="3053"/>
      <c r="O16" s="3053"/>
      <c r="P16" s="3054"/>
    </row>
    <row r="17" spans="1:19" ht="15">
      <c r="A17" s="2246" t="s">
        <v>1945</v>
      </c>
      <c r="B17" s="2247" t="s">
        <v>1946</v>
      </c>
      <c r="C17" s="2248" t="s">
        <v>1947</v>
      </c>
      <c r="D17" s="2249" t="s">
        <v>1935</v>
      </c>
      <c r="E17" s="2250" t="s">
        <v>1936</v>
      </c>
      <c r="F17" s="2251"/>
      <c r="G17" s="2252"/>
      <c r="H17" s="2253" t="s">
        <v>1948</v>
      </c>
      <c r="I17" s="2254" t="s">
        <v>1933</v>
      </c>
      <c r="J17" s="1395"/>
      <c r="K17" s="3049" t="s">
        <v>1949</v>
      </c>
      <c r="L17" s="3050"/>
      <c r="M17" s="3051"/>
      <c r="N17" s="3049" t="s">
        <v>1950</v>
      </c>
      <c r="O17" s="3050"/>
      <c r="P17" s="3051"/>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8" t="s">
        <v>3062</v>
      </c>
      <c r="D19" s="48">
        <f>ROUND($D$3*E19/$E$3,2)</f>
        <v>1307.9000000000001</v>
      </c>
      <c r="E19" s="56">
        <f t="shared" ref="E19:E26" si="1">SUM(F19:G19)</f>
        <v>1307.9000000000001</v>
      </c>
      <c r="F19" s="57">
        <f>SUM('数据-基础表'!I13:I21)</f>
        <v>1307.9000000000001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1307.9000000000001</v>
      </c>
      <c r="S19" s="1251">
        <f t="shared" si="5"/>
        <v>1307.9000000000001</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1307.9000000000001</v>
      </c>
      <c r="E27" s="1397">
        <f>IF(SUM(E19:E26)='数据-基础表'!BA5,SUM(E19:E26),IF(F27="地上面积有误","面积有误","地下面积有误"))</f>
        <v>1307.9000000000001</v>
      </c>
      <c r="F27" s="1396">
        <f>IF(SUM(F19:F26)=E8,SUM(F19:F26),"地上面积有误")</f>
        <v>1307.9000000000001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1307.9000000000001</v>
      </c>
      <c r="S27" s="1250">
        <f>IF(SUM(S19:S26)=$E$3,SUM(S19:S26),SUM(S19:S26)&amp;"误差"&amp;ROUND(SUM(S19:S26)-E3,2))</f>
        <v>1307.9000000000001</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1307.9000000000001</v>
      </c>
      <c r="E31" s="729">
        <f>E27+E30</f>
        <v>1307.9000000000001</v>
      </c>
      <c r="F31" s="730">
        <f>F27+F30</f>
        <v>1307.9000000000001</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F13" sqref="F13"/>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43220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3063</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锅炉房</v>
      </c>
      <c r="B6" s="2311" t="str">
        <f>IF(A6=0,"","经营性")</f>
        <v>经营性</v>
      </c>
      <c r="C6" s="2312" t="s">
        <v>3152</v>
      </c>
      <c r="D6" s="1054">
        <f>SUMIF(项目基本情况!D$12:I$12,C6,项目基本情况!D$14:I$14)</f>
        <v>70</v>
      </c>
      <c r="E6" s="1051">
        <f>IF(B6="","",SUMIF(项目基本情况!D$12:I$12,C6,项目基本情况!D$13:I$13))</f>
        <v>64405</v>
      </c>
      <c r="F6" s="72">
        <v>27</v>
      </c>
      <c r="G6" s="73">
        <f>IF(ISERROR(ROUND(POWER(1+H6,D6-F6)*(POWER(1+H6,F6)-1)/(POWER(1+H6,D6)-1),3)),0,ROUND(POWER(1+H6,D6-F6)*(POWER(1+H6,F6)-1)/(POWER(1+H6,D6)-1),3))</f>
        <v>0.69799999999999995</v>
      </c>
      <c r="H6" s="802">
        <v>0.04</v>
      </c>
      <c r="I6" s="802">
        <v>0.04</v>
      </c>
      <c r="J6" s="74">
        <v>0.08</v>
      </c>
      <c r="K6" s="1254">
        <f>SUMIF('数据-汇总表'!C$19:C$33,A6,'数据-汇总表'!E$19:E$33)</f>
        <v>1307.9000000000001</v>
      </c>
      <c r="L6" s="803">
        <v>2000</v>
      </c>
      <c r="M6" s="75">
        <f t="shared" ref="M6:M14" si="0">ROUND(K6*L6/10000,0)</f>
        <v>262</v>
      </c>
      <c r="N6" s="801">
        <v>0.6</v>
      </c>
      <c r="O6" s="75" t="str">
        <f>IF($N$5="成新度","——",ROUND(M6*N6,0))</f>
        <v>——</v>
      </c>
      <c r="P6" s="76" t="str">
        <f>IF($N$5="成新度","——",M6-O6)</f>
        <v>——</v>
      </c>
      <c r="Q6" s="804">
        <v>0.05</v>
      </c>
      <c r="R6" s="77">
        <f ca="1">SUMIF('数据-汇总表'!C$19:C$33,A6,'数据-汇总表'!R$19:R$27)</f>
        <v>1307.9000000000001</v>
      </c>
      <c r="S6" s="54">
        <f>IF('数据-汇总表'!$I$17="按面积比例",SUMIF('数据-汇总表'!C$19:C$33,A6,'数据-汇总表'!K$19:K$33),SUMIF('数据-汇总表'!C$19:C$33,A6,'数据-汇总表'!N$19:N$33))</f>
        <v>0</v>
      </c>
      <c r="T6" s="1446">
        <f>ROUND($L$14*S6/10000,0)</f>
        <v>0</v>
      </c>
      <c r="U6" s="78">
        <v>3.5</v>
      </c>
      <c r="V6" s="79">
        <v>0</v>
      </c>
      <c r="W6" s="79">
        <v>0.1</v>
      </c>
      <c r="X6" s="1264"/>
      <c r="Y6" s="80">
        <v>0.6</v>
      </c>
      <c r="Z6" s="78">
        <v>3.5</v>
      </c>
      <c r="AA6" s="79">
        <v>0</v>
      </c>
      <c r="AB6" s="79">
        <v>0.1</v>
      </c>
      <c r="AC6" s="1264"/>
      <c r="AD6" s="82">
        <v>0.6</v>
      </c>
      <c r="AE6" s="1265">
        <f ca="1">IF(AN6="",0,SUMIF(INDIRECT("'"&amp;AN6&amp;"'"&amp;"!E:E"),$AE$5,INDIRECT("'"&amp;AN6&amp;"'"&amp;"!F:F")))</f>
        <v>0</v>
      </c>
      <c r="AF6" s="1807"/>
      <c r="AG6" s="147">
        <f>IF(AF6="",0,AE6-AF6)</f>
        <v>0</v>
      </c>
      <c r="AH6" s="83"/>
      <c r="AI6" s="85">
        <v>365</v>
      </c>
      <c r="AJ6" s="86"/>
      <c r="AK6" s="87">
        <v>2.5000000000000001E-2</v>
      </c>
      <c r="AL6" s="88">
        <v>2E-3</v>
      </c>
      <c r="AM6" s="89">
        <v>1.4999999999999999E-2</v>
      </c>
      <c r="AN6" s="2313" t="s">
        <v>3074</v>
      </c>
      <c r="AO6" s="55">
        <f ca="1">SUMIF(INDIRECT("'"&amp;AN6&amp;"'"&amp;"!A:A"),"总价",INDIRECT("'"&amp;AN6&amp;"'"&amp;"!B:B"))</f>
        <v>2587</v>
      </c>
      <c r="AP6" s="2314">
        <f>IF(C6="住宅",K6*L6,0)</f>
        <v>2615800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0.69799999999999995</v>
      </c>
      <c r="H16" s="99">
        <f>ROUND(SUMPRODUCT(H6:H13,K6:K13)/SUMPRODUCT((H6:H13&gt;0)*(K6:K13)),3)</f>
        <v>0.04</v>
      </c>
      <c r="I16" s="100"/>
      <c r="J16" s="100"/>
      <c r="K16" s="101">
        <f>SUM(K6:K15)</f>
        <v>1307.9000000000001</v>
      </c>
      <c r="L16" s="102">
        <f>ROUND(M16*10000/SUM(K6:K14),0)</f>
        <v>2003</v>
      </c>
      <c r="M16" s="102">
        <f>SUM(M6:M14)</f>
        <v>262</v>
      </c>
      <c r="N16" s="103">
        <f>ROUND(SUMPRODUCT(M6:M14,N6:N14)/M16,3)</f>
        <v>0.6</v>
      </c>
      <c r="O16" s="102">
        <f>SUM(O6:O14)</f>
        <v>0</v>
      </c>
      <c r="P16" s="102">
        <f>SUM(P6:P14)</f>
        <v>0</v>
      </c>
      <c r="Q16" s="104">
        <f>ROUND(SUMPRODUCT(Q6:Q13,K6:K13)/SUMPRODUCT((Q6:Q13&gt;0)*(K6:K13)),2)</f>
        <v>0.05</v>
      </c>
      <c r="R16" s="1258">
        <f ca="1">SUM(R6:R13)</f>
        <v>1307.9000000000001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1</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v>200</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4.3499999999999997E-2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0.05</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526</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64" t="s">
        <v>2085</v>
      </c>
      <c r="B1" s="3065"/>
      <c r="C1" s="3065"/>
      <c r="D1" s="3065"/>
      <c r="E1" s="3065"/>
      <c r="F1" s="3065"/>
      <c r="G1" s="306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972" t="s">
        <v>3154</v>
      </c>
      <c r="D3" s="2374"/>
      <c r="E3" s="431" t="s">
        <v>2088</v>
      </c>
      <c r="F3" s="2375" t="s">
        <v>2090</v>
      </c>
      <c r="G3" s="2376" t="s">
        <v>2091</v>
      </c>
      <c r="H3" s="2372"/>
      <c r="I3" s="2372"/>
      <c r="J3" s="2372"/>
      <c r="K3" s="2372"/>
      <c r="L3" s="2372"/>
      <c r="M3" s="2372"/>
      <c r="N3" s="2372"/>
      <c r="O3" s="2372"/>
      <c r="P3" s="2372"/>
      <c r="Q3" s="2372"/>
      <c r="R3" s="2372"/>
    </row>
    <row r="4" spans="1:29" ht="41.25">
      <c r="A4" s="431"/>
      <c r="B4" s="1798" t="s">
        <v>2092</v>
      </c>
      <c r="C4" s="2377" t="s">
        <v>2093</v>
      </c>
      <c r="D4" s="2374"/>
      <c r="E4" s="2378"/>
      <c r="F4" s="42" t="s">
        <v>2094</v>
      </c>
      <c r="G4" s="2379" t="s">
        <v>2095</v>
      </c>
      <c r="H4" s="2372"/>
      <c r="I4" s="2372"/>
      <c r="J4" s="2372"/>
      <c r="K4" s="2372"/>
      <c r="L4" s="2372"/>
      <c r="M4" s="2372"/>
      <c r="N4" s="2372"/>
      <c r="O4" s="2372"/>
      <c r="P4" s="2372"/>
      <c r="Q4" s="2372"/>
      <c r="R4" s="2372"/>
    </row>
    <row r="5" spans="1:29" ht="41.25">
      <c r="A5" s="431"/>
      <c r="B5" s="1798" t="s">
        <v>2096</v>
      </c>
      <c r="C5" s="2377" t="s">
        <v>2097</v>
      </c>
      <c r="D5" s="2374"/>
      <c r="E5" s="2378"/>
      <c r="F5" s="1798" t="s">
        <v>2098</v>
      </c>
      <c r="G5" s="2379" t="s">
        <v>2099</v>
      </c>
      <c r="H5" s="2372"/>
      <c r="I5" s="2372"/>
      <c r="J5" s="2372"/>
      <c r="K5" s="2372"/>
      <c r="L5" s="2372"/>
      <c r="M5" s="2372"/>
      <c r="N5" s="2372"/>
      <c r="O5" s="2372"/>
      <c r="P5" s="2372"/>
      <c r="Q5" s="2372"/>
      <c r="R5" s="2372"/>
    </row>
    <row r="6" spans="1:29" ht="54">
      <c r="A6" s="431"/>
      <c r="B6" s="1798" t="s">
        <v>2100</v>
      </c>
      <c r="C6" s="2379" t="s">
        <v>2095</v>
      </c>
      <c r="D6" s="2374"/>
      <c r="E6" s="2378"/>
      <c r="F6" s="1798" t="s">
        <v>2101</v>
      </c>
      <c r="G6" s="2379" t="s">
        <v>2102</v>
      </c>
      <c r="H6" s="2372"/>
      <c r="I6" s="2372"/>
      <c r="J6" s="2372"/>
      <c r="K6" s="2372"/>
      <c r="L6" s="2372"/>
      <c r="M6" s="2372"/>
      <c r="N6" s="2372"/>
      <c r="O6" s="2372"/>
      <c r="P6" s="2372"/>
      <c r="Q6" s="2372"/>
      <c r="R6" s="2372"/>
    </row>
    <row r="7" spans="1:29" ht="41.25" thickBot="1">
      <c r="A7" s="431"/>
      <c r="B7" s="1798" t="s">
        <v>2098</v>
      </c>
      <c r="C7" s="2379" t="s">
        <v>2099</v>
      </c>
      <c r="D7" s="2380"/>
      <c r="E7" s="2381"/>
      <c r="F7" s="2382" t="s">
        <v>2103</v>
      </c>
      <c r="G7" s="2383" t="s">
        <v>2104</v>
      </c>
      <c r="H7" s="2372"/>
      <c r="I7" s="2372"/>
      <c r="J7" s="2372"/>
      <c r="K7" s="2372"/>
      <c r="L7" s="2372"/>
      <c r="M7" s="2372"/>
      <c r="N7" s="2372"/>
      <c r="O7" s="2372"/>
      <c r="P7" s="2372"/>
      <c r="Q7" s="2372"/>
      <c r="R7" s="2372"/>
    </row>
    <row r="8" spans="1:29" ht="27">
      <c r="A8" s="431"/>
      <c r="B8" s="1798" t="s">
        <v>2101</v>
      </c>
      <c r="C8" s="2379" t="s">
        <v>2102</v>
      </c>
      <c r="D8" s="2380"/>
      <c r="E8" s="2380"/>
      <c r="F8" s="1136"/>
      <c r="G8" s="1136"/>
      <c r="H8" s="2372"/>
      <c r="I8" s="2372"/>
      <c r="J8" s="2372"/>
      <c r="K8" s="2372"/>
      <c r="L8" s="2372"/>
      <c r="M8" s="2372"/>
      <c r="N8" s="2372"/>
      <c r="O8" s="2372"/>
      <c r="P8" s="2372"/>
      <c r="Q8" s="2372"/>
      <c r="R8" s="2372"/>
    </row>
    <row r="9" spans="1:29" ht="27">
      <c r="A9" s="431"/>
      <c r="B9" s="1798" t="s">
        <v>2105</v>
      </c>
      <c r="C9" s="2377" t="s">
        <v>2106</v>
      </c>
      <c r="D9" s="2374"/>
      <c r="E9" s="2380"/>
      <c r="F9" s="1136"/>
      <c r="G9" s="1136"/>
      <c r="H9" s="2372"/>
      <c r="I9" s="2372"/>
      <c r="J9" s="2372"/>
      <c r="K9" s="2372"/>
      <c r="L9" s="2372"/>
      <c r="M9" s="2372"/>
      <c r="N9" s="2372"/>
      <c r="O9" s="2372"/>
      <c r="P9" s="2372"/>
      <c r="Q9" s="2372"/>
      <c r="R9" s="2372"/>
    </row>
    <row r="10" spans="1:29" s="117" customFormat="1" ht="15.75" thickBot="1">
      <c r="A10" s="2384"/>
      <c r="B10" s="2385" t="s">
        <v>2107</v>
      </c>
      <c r="C10" s="2386"/>
      <c r="D10" s="2374"/>
      <c r="E10" s="2374"/>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4"/>
      <c r="D12" s="2391"/>
      <c r="E12" s="2374"/>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2108</v>
      </c>
      <c r="B13" s="2391"/>
      <c r="C13" s="2391"/>
      <c r="D13" s="2398"/>
      <c r="E13" s="2391"/>
      <c r="F13" s="2391"/>
      <c r="G13" s="2391"/>
    </row>
    <row r="14" spans="1:29" ht="15.75" thickBot="1">
      <c r="A14" s="2402"/>
      <c r="B14" s="2403"/>
      <c r="C14" s="2404" t="s">
        <v>2109</v>
      </c>
      <c r="D14" s="2374"/>
      <c r="E14" s="2405"/>
      <c r="F14" s="2405"/>
      <c r="G14" s="2369" t="s">
        <v>2110</v>
      </c>
    </row>
    <row r="15" spans="1:29" ht="57">
      <c r="A15" s="68" t="s">
        <v>2111</v>
      </c>
      <c r="B15" s="1270" t="s">
        <v>2089</v>
      </c>
      <c r="C15" s="2406" t="str">
        <f>C3</f>
        <v>估价对象周边居住用地比例、居住小区规模和社区发展完善程度，综合评价居住社区成熟度一般</v>
      </c>
      <c r="D15" s="2374"/>
      <c r="E15" s="2407" t="s">
        <v>2112</v>
      </c>
      <c r="F15" s="1270" t="s">
        <v>2113</v>
      </c>
      <c r="G15" s="135" t="str">
        <f>G3</f>
        <v>估价对象位于XX开发区，园区建设成熟度XX，产业集聚程度XX</v>
      </c>
    </row>
    <row r="16" spans="1:29" ht="42.75">
      <c r="A16" s="645"/>
      <c r="B16" s="2408" t="s">
        <v>2092</v>
      </c>
      <c r="C16" s="2409" t="str">
        <f>C4</f>
        <v>估价对象位于XX商圈，周边商业氛围成熟，人流量大，商业繁华度好</v>
      </c>
      <c r="D16" s="2374"/>
      <c r="E16" s="2410"/>
      <c r="F16" s="2411" t="s">
        <v>2094</v>
      </c>
      <c r="G16" s="136" t="str">
        <f>G4</f>
        <v>估价对象周边道路状况、公共交通通达情况、停车便捷程度，综合评价交通便捷度较好</v>
      </c>
    </row>
    <row r="17" spans="1:18" ht="42.75">
      <c r="A17" s="645"/>
      <c r="B17" s="2408" t="s">
        <v>2096</v>
      </c>
      <c r="C17" s="2409" t="str">
        <f>C5</f>
        <v>估价对象位于XX商圈，周边办公楼项目较多，入驻率高，办公集聚程度较好</v>
      </c>
      <c r="D17" s="2380"/>
      <c r="E17" s="2410"/>
      <c r="F17" s="2411" t="s">
        <v>2114</v>
      </c>
      <c r="G17" s="1572"/>
    </row>
    <row r="18" spans="1:18" ht="57">
      <c r="A18" s="645"/>
      <c r="B18" s="2411" t="s">
        <v>2100</v>
      </c>
      <c r="C18" s="136" t="str">
        <f>C6</f>
        <v>估价对象周边道路状况、公共交通通达情况、停车便捷程度，综合评价交通便捷度较好</v>
      </c>
      <c r="D18" s="2380"/>
      <c r="E18" s="2410"/>
      <c r="F18" s="2411" t="s">
        <v>2103</v>
      </c>
      <c r="G18" s="136" t="str">
        <f>G7</f>
        <v>该园区内是否有污染型企业，绿化情况，卫生条件，整体环境状况判断</v>
      </c>
    </row>
    <row r="19" spans="1:18" ht="28.5">
      <c r="A19" s="645"/>
      <c r="B19" s="2411" t="s">
        <v>2115</v>
      </c>
      <c r="C19" s="1572"/>
      <c r="D19" s="2374"/>
      <c r="E19" s="2410"/>
      <c r="F19" s="1798" t="s">
        <v>2098</v>
      </c>
      <c r="G19" s="136" t="str">
        <f>G5</f>
        <v>估价对象所在区域公共配套设施齐备情况</v>
      </c>
    </row>
    <row r="20" spans="1:18" ht="28.5">
      <c r="A20" s="645"/>
      <c r="B20" s="2411" t="s">
        <v>2116</v>
      </c>
      <c r="C20" s="2409" t="str">
        <f>C9</f>
        <v>区域自然环境：；人文环境；综合评价环境状况一般</v>
      </c>
      <c r="D20" s="2380"/>
      <c r="E20" s="2410"/>
      <c r="F20" s="1798" t="s">
        <v>2117</v>
      </c>
      <c r="G20" s="136" t="str">
        <f>G6</f>
        <v>估价对象所在区域基础设施水平</v>
      </c>
    </row>
    <row r="21" spans="1:18" ht="28.5">
      <c r="A21" s="645"/>
      <c r="B21" s="1798" t="s">
        <v>2098</v>
      </c>
      <c r="C21" s="136" t="str">
        <f>C7</f>
        <v>估价对象所在区域公共配套设施齐备情况</v>
      </c>
      <c r="D21" s="2374"/>
      <c r="E21" s="2410"/>
      <c r="F21" s="2411" t="s">
        <v>2118</v>
      </c>
      <c r="G21" s="2412"/>
    </row>
    <row r="22" spans="1:18" ht="13.5" customHeight="1">
      <c r="A22" s="645"/>
      <c r="B22" s="1798" t="s">
        <v>2101</v>
      </c>
      <c r="C22" s="136" t="str">
        <f>C8</f>
        <v>估价对象所在区域基础设施水平</v>
      </c>
      <c r="D22" s="2374"/>
      <c r="E22" s="2410"/>
      <c r="F22" s="2411" t="s">
        <v>2107</v>
      </c>
      <c r="G22" s="1572"/>
    </row>
    <row r="23" spans="1:18" s="2372" customFormat="1" ht="15.75" thickBot="1">
      <c r="A23" s="645"/>
      <c r="B23" s="2411" t="s">
        <v>2118</v>
      </c>
      <c r="C23" s="2412"/>
      <c r="D23" s="2399"/>
      <c r="E23" s="2413"/>
      <c r="F23" s="2414" t="s">
        <v>2119</v>
      </c>
      <c r="G23" s="2415"/>
      <c r="H23" s="2399"/>
      <c r="I23" s="2400"/>
      <c r="J23" s="2399"/>
      <c r="K23" s="2399"/>
      <c r="L23" s="2400"/>
      <c r="M23" s="2399"/>
      <c r="N23" s="2399"/>
      <c r="O23" s="2400"/>
      <c r="P23" s="2399"/>
      <c r="Q23" s="2399"/>
      <c r="R23" s="2401"/>
    </row>
    <row r="24" spans="1:18" s="2372" customFormat="1" ht="15.75" thickBot="1">
      <c r="A24" s="2416"/>
      <c r="B24" s="2414" t="s">
        <v>2120</v>
      </c>
      <c r="C24" s="137">
        <f>C10</f>
        <v>0</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1307.9000000000001</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SUM(D14:D23)</f>
        <v>2587.3625000000002</v>
      </c>
      <c r="C5" s="1746">
        <f>ROUND(B5*10000/$B$1,0)</f>
        <v>19783</v>
      </c>
      <c r="D5" s="1746" t="e">
        <f>ROUND(B5*10000/$B$2,0)</f>
        <v>#DIV/0!</v>
      </c>
      <c r="E5" s="1745"/>
      <c r="F5" s="1743"/>
      <c r="G5" s="1743"/>
    </row>
    <row r="6" spans="1:10" ht="16.5">
      <c r="A6" s="1746" t="s">
        <v>1356</v>
      </c>
      <c r="B6" s="1746"/>
      <c r="C6" s="1746"/>
      <c r="D6" s="1746" t="e">
        <f>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1307.9000000000001</v>
      </c>
      <c r="C14" s="1744"/>
      <c r="D14" s="1744">
        <v>2587.3625000000002</v>
      </c>
      <c r="E14" s="1744">
        <f>ROUND(D14*10000/B14,0)</f>
        <v>19783</v>
      </c>
      <c r="F14" s="1744" t="e">
        <f>ROUND(D14*10000/C14,0)</f>
        <v>#DIV/0!</v>
      </c>
      <c r="G14" s="1744">
        <f ca="1">结果表!D122</f>
        <v>517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2121</v>
      </c>
      <c r="B1" s="2422"/>
      <c r="C1" s="2423" t="s">
        <v>3060</v>
      </c>
      <c r="D1" s="2422"/>
      <c r="E1" s="2422"/>
      <c r="F1" s="2424" t="s">
        <v>2122</v>
      </c>
      <c r="G1" s="2074" t="s">
        <v>2123</v>
      </c>
      <c r="H1" s="2425" t="str">
        <f>IF(G1="现房","——","估价对象范围")</f>
        <v>估价对象范围</v>
      </c>
      <c r="I1" s="2426"/>
    </row>
    <row r="2" spans="1:12" ht="21.75" customHeight="1" thickBot="1">
      <c r="A2" s="3099" t="str">
        <f>项目基本情况!S2</f>
        <v>北京市出让国有建设用地使用权及在建建筑物房地产</v>
      </c>
      <c r="B2" s="3100"/>
      <c r="C2" s="3100"/>
      <c r="D2" s="3100"/>
      <c r="E2" s="3100"/>
      <c r="F2" s="3100"/>
      <c r="G2" s="3100"/>
      <c r="H2" s="3100"/>
      <c r="I2" s="3101"/>
    </row>
    <row r="3" spans="1:12" ht="12.75">
      <c r="A3" s="3103" t="s">
        <v>2124</v>
      </c>
      <c r="B3" s="3104"/>
      <c r="C3" s="3104"/>
      <c r="D3" s="3104"/>
      <c r="E3" s="3104"/>
      <c r="F3" s="3104"/>
      <c r="G3" s="3104"/>
      <c r="H3" s="3104"/>
      <c r="I3" s="3104"/>
    </row>
    <row r="4" spans="1:12" ht="14.25">
      <c r="A4" s="2429" t="s">
        <v>2125</v>
      </c>
      <c r="B4" s="2430" t="s">
        <v>2126</v>
      </c>
      <c r="C4" s="2431" t="s">
        <v>3121</v>
      </c>
      <c r="D4" s="2431" t="s">
        <v>3074</v>
      </c>
      <c r="E4" s="3096" t="s">
        <v>2127</v>
      </c>
      <c r="F4" s="3097"/>
      <c r="G4" s="3097"/>
      <c r="H4" s="3097"/>
      <c r="I4" s="3105"/>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079" t="s">
        <v>2128</v>
      </c>
      <c r="B5" s="3017">
        <v>25</v>
      </c>
      <c r="C5" s="3082">
        <v>80</v>
      </c>
      <c r="D5" s="3102">
        <f>100-C5</f>
        <v>20</v>
      </c>
      <c r="E5" s="140" t="s">
        <v>2129</v>
      </c>
      <c r="F5" s="2433"/>
      <c r="G5" s="2433"/>
      <c r="H5" s="2433"/>
      <c r="I5" s="1834"/>
    </row>
    <row r="6" spans="1:12" ht="12.75">
      <c r="A6" s="3079"/>
      <c r="B6" s="3017"/>
      <c r="C6" s="3083"/>
      <c r="D6" s="3102"/>
      <c r="E6" s="140" t="s">
        <v>2130</v>
      </c>
      <c r="F6" s="2433"/>
      <c r="G6" s="2433"/>
      <c r="H6" s="2433"/>
      <c r="I6" s="1834"/>
    </row>
    <row r="7" spans="1:12" ht="12.75">
      <c r="A7" s="3079"/>
      <c r="B7" s="3017"/>
      <c r="C7" s="3084"/>
      <c r="D7" s="3102"/>
      <c r="E7" s="140" t="s">
        <v>2131</v>
      </c>
      <c r="F7" s="2433"/>
      <c r="G7" s="2433"/>
      <c r="H7" s="2433"/>
      <c r="I7" s="1834"/>
    </row>
    <row r="8" spans="1:12" ht="12.75">
      <c r="A8" s="3079" t="s">
        <v>2132</v>
      </c>
      <c r="B8" s="3017">
        <v>15</v>
      </c>
      <c r="C8" s="3082"/>
      <c r="D8" s="3102"/>
      <c r="E8" s="140" t="s">
        <v>2133</v>
      </c>
      <c r="F8" s="2433"/>
      <c r="G8" s="2433"/>
      <c r="H8" s="2433"/>
      <c r="I8" s="1834"/>
    </row>
    <row r="9" spans="1:12" ht="12.75">
      <c r="A9" s="3079"/>
      <c r="B9" s="3017"/>
      <c r="C9" s="3084"/>
      <c r="D9" s="3102"/>
      <c r="E9" s="140" t="s">
        <v>2134</v>
      </c>
      <c r="F9" s="2433"/>
      <c r="G9" s="2433"/>
      <c r="H9" s="2433"/>
      <c r="I9" s="1834"/>
    </row>
    <row r="10" spans="1:12" ht="12.75">
      <c r="A10" s="3079" t="s">
        <v>2135</v>
      </c>
      <c r="B10" s="3017">
        <v>15</v>
      </c>
      <c r="C10" s="3082"/>
      <c r="D10" s="3102"/>
      <c r="E10" s="140" t="s">
        <v>2136</v>
      </c>
      <c r="F10" s="2433"/>
      <c r="G10" s="2433"/>
      <c r="H10" s="2433"/>
      <c r="I10" s="1834"/>
    </row>
    <row r="11" spans="1:12" ht="12.75">
      <c r="A11" s="3079"/>
      <c r="B11" s="3017"/>
      <c r="C11" s="3084"/>
      <c r="D11" s="3102"/>
      <c r="E11" s="140" t="s">
        <v>2137</v>
      </c>
      <c r="F11" s="2433"/>
      <c r="G11" s="2433"/>
      <c r="H11" s="2433"/>
      <c r="I11" s="1834"/>
    </row>
    <row r="12" spans="1:12" ht="12.75">
      <c r="A12" s="3079" t="s">
        <v>2138</v>
      </c>
      <c r="B12" s="3017">
        <v>15</v>
      </c>
      <c r="C12" s="3082"/>
      <c r="D12" s="3102"/>
      <c r="E12" s="140" t="s">
        <v>2139</v>
      </c>
      <c r="F12" s="2433"/>
      <c r="G12" s="2433"/>
      <c r="H12" s="2433"/>
      <c r="I12" s="1834"/>
    </row>
    <row r="13" spans="1:12" ht="12.75">
      <c r="A13" s="3079"/>
      <c r="B13" s="3017"/>
      <c r="C13" s="3084"/>
      <c r="D13" s="3102"/>
      <c r="E13" s="140" t="s">
        <v>2140</v>
      </c>
      <c r="F13" s="2433"/>
      <c r="G13" s="2433"/>
      <c r="H13" s="2433"/>
      <c r="I13" s="1834"/>
    </row>
    <row r="14" spans="1:12" ht="12.75">
      <c r="A14" s="3079" t="s">
        <v>2141</v>
      </c>
      <c r="B14" s="3017">
        <v>30</v>
      </c>
      <c r="C14" s="3082"/>
      <c r="D14" s="3102"/>
      <c r="E14" s="140" t="s">
        <v>2142</v>
      </c>
      <c r="F14" s="2433"/>
      <c r="G14" s="2433"/>
      <c r="H14" s="2433"/>
      <c r="I14" s="1834"/>
    </row>
    <row r="15" spans="1:12" ht="12.75">
      <c r="A15" s="3079"/>
      <c r="B15" s="3017"/>
      <c r="C15" s="3083"/>
      <c r="D15" s="3102"/>
      <c r="E15" s="140" t="s">
        <v>2143</v>
      </c>
      <c r="F15" s="2433"/>
      <c r="G15" s="2433"/>
      <c r="H15" s="2433"/>
      <c r="I15" s="1834"/>
    </row>
    <row r="16" spans="1:12" ht="12.75">
      <c r="A16" s="3079"/>
      <c r="B16" s="3017"/>
      <c r="C16" s="3084"/>
      <c r="D16" s="3102"/>
      <c r="E16" s="140" t="s">
        <v>2144</v>
      </c>
      <c r="F16" s="2433"/>
      <c r="G16" s="2433"/>
      <c r="H16" s="2433"/>
      <c r="I16" s="1834"/>
    </row>
    <row r="17" spans="1:35" ht="15">
      <c r="A17" s="2434" t="s">
        <v>2145</v>
      </c>
      <c r="B17" s="64"/>
      <c r="C17" s="141">
        <f>SUM(C5:C16)</f>
        <v>80</v>
      </c>
      <c r="D17" s="141">
        <f>SUM(D5:D16)</f>
        <v>20</v>
      </c>
      <c r="E17" s="138"/>
      <c r="F17" s="138"/>
      <c r="G17" s="138"/>
      <c r="H17" s="138"/>
      <c r="I17" s="138"/>
      <c r="K17" s="2432"/>
      <c r="L17" s="2435" t="s">
        <v>2146</v>
      </c>
      <c r="M17" s="2435" t="s">
        <v>2147</v>
      </c>
    </row>
    <row r="18" spans="1:35" ht="15.75" thickBot="1">
      <c r="A18" s="2436" t="s">
        <v>2148</v>
      </c>
      <c r="B18" s="2437"/>
      <c r="C18" s="142">
        <f>ROUND(C17/SUM(C17:D17),2)</f>
        <v>0.8</v>
      </c>
      <c r="D18" s="142">
        <f>1-C18</f>
        <v>0.19999999999999996</v>
      </c>
      <c r="E18" s="138"/>
      <c r="F18" s="138"/>
      <c r="G18" s="138"/>
      <c r="H18" s="138"/>
      <c r="I18" s="138"/>
      <c r="K18" s="2432" t="s">
        <v>2149</v>
      </c>
      <c r="L18" s="2432">
        <f>IF(C1="",'数据-汇总表'!E3,SUMIF(项目类型,C1,'数据-汇总表'!E17:E26)+SUMIF(项目类型,C1,'数据-汇总表'!I17:I26))</f>
        <v>1307.9000000000001</v>
      </c>
      <c r="M18" s="2432">
        <f>IF(C1="",'数据-汇总表'!E3,SUMIF(项目类型,C1,'数据-汇总表'!E17:E26))</f>
        <v>1307.9000000000001</v>
      </c>
    </row>
    <row r="19" spans="1:35" ht="15">
      <c r="A19" s="2438" t="s">
        <v>2150</v>
      </c>
      <c r="B19" s="2439" t="s">
        <v>2151</v>
      </c>
      <c r="C19" s="143">
        <f ca="1">SUMIF(INDIRECT("'"&amp;C4&amp;"'"&amp;"!A:A"),结果表!B19,INDIRECT("'"&amp;C4&amp;"'"&amp;"!B:B"))</f>
        <v>0</v>
      </c>
      <c r="D19" s="144">
        <f ca="1">SUMIF(INDIRECT("'"&amp;D4&amp;"'"&amp;"!A:A"),结果表!B19,INDIRECT("'"&amp;D4&amp;"'"&amp;"!B:B"))</f>
        <v>2587</v>
      </c>
      <c r="E19" s="2438" t="s">
        <v>2152</v>
      </c>
      <c r="F19" s="2439" t="s">
        <v>2151</v>
      </c>
      <c r="G19" s="145">
        <f ca="1">ROUND(C19*$C$18+D19*$D$18,0)</f>
        <v>517</v>
      </c>
      <c r="H19" s="2440" t="s">
        <v>2153</v>
      </c>
      <c r="I19" s="138"/>
      <c r="K19" s="2432" t="s">
        <v>2154</v>
      </c>
      <c r="L19" s="2432">
        <f>IF(C1="",'数据-汇总表'!D3,SUMIF(项目类型,C1,'数据-汇总表'!D17:D26)+SUMIF(项目类型,C1,'数据-汇总表'!H17:H27))</f>
        <v>1307.9000000000001</v>
      </c>
      <c r="M19" s="2432">
        <f>IF(C1="",'数据-汇总表'!D3,SUMIF(项目类型,C1,'数据-汇总表'!D17:D26))</f>
        <v>1307.9000000000001</v>
      </c>
    </row>
    <row r="20" spans="1:35" ht="15">
      <c r="A20" s="2441"/>
      <c r="B20" s="1250" t="s">
        <v>2155</v>
      </c>
      <c r="C20" s="146">
        <f ca="1">SUMIF(INDIRECT("'"&amp;C4&amp;"'"&amp;"!A:A"),结果表!B20,INDIRECT("'"&amp;C4&amp;"'"&amp;"!B:B"))</f>
        <v>3</v>
      </c>
      <c r="D20" s="147">
        <f ca="1">SUMIF(INDIRECT("'"&amp;D4&amp;"'"&amp;"!A:A"),结果表!B20,INDIRECT("'"&amp;D4&amp;"'"&amp;"!B:B"))</f>
        <v>19780</v>
      </c>
      <c r="E20" s="2441"/>
      <c r="F20" s="1250" t="s">
        <v>2155</v>
      </c>
      <c r="G20" s="148">
        <f ca="1">ROUND(C20*$C$18+D20*$D$18,0)</f>
        <v>3958</v>
      </c>
      <c r="H20" s="983" t="s">
        <v>2156</v>
      </c>
      <c r="I20" s="138"/>
    </row>
    <row r="21" spans="1:35" ht="15" customHeight="1" thickBot="1">
      <c r="A21" s="1003"/>
      <c r="B21" s="2442" t="s">
        <v>2157</v>
      </c>
      <c r="C21" s="789">
        <f ca="1">ROUND(C19*10000/L19,0)</f>
        <v>0</v>
      </c>
      <c r="D21" s="790">
        <f ca="1">ROUND(D19*10000/L19,0)</f>
        <v>19780</v>
      </c>
      <c r="E21" s="1003"/>
      <c r="F21" s="2442" t="s">
        <v>2157</v>
      </c>
      <c r="G21" s="149">
        <f ca="1">ROUND(G19*10000/L19,0)</f>
        <v>3953</v>
      </c>
      <c r="H21" s="2443" t="s">
        <v>2156</v>
      </c>
      <c r="I21" s="138"/>
    </row>
    <row r="22" spans="1:35" ht="15" thickBot="1">
      <c r="A22" s="2285" t="s">
        <v>2158</v>
      </c>
      <c r="B22" s="2444"/>
      <c r="C22" s="2445"/>
      <c r="D22" s="791" t="e">
        <f ca="1">IF(C19&lt;D19,D19/C19-1,C19/D19-1)</f>
        <v>#DIV/0!</v>
      </c>
      <c r="E22" s="138"/>
      <c r="F22" s="138"/>
      <c r="G22" s="138"/>
      <c r="H22" s="138"/>
      <c r="I22" s="138"/>
    </row>
    <row r="23" spans="1:35" ht="13.5" thickBot="1">
      <c r="A23" s="2422"/>
      <c r="B23" s="2422"/>
      <c r="C23" s="2422"/>
      <c r="D23" s="2422"/>
      <c r="E23" s="138"/>
      <c r="F23" s="138"/>
      <c r="G23" s="138"/>
      <c r="H23" s="138"/>
      <c r="I23" s="138"/>
    </row>
    <row r="24" spans="1:35" ht="14.25">
      <c r="A24" s="3073" t="s">
        <v>2159</v>
      </c>
      <c r="B24" s="2439" t="s">
        <v>2151</v>
      </c>
      <c r="C24" s="145">
        <f>IF(B30=0,0,D30)</f>
        <v>0</v>
      </c>
      <c r="D24" s="2446"/>
      <c r="E24" s="138"/>
      <c r="F24" s="138"/>
      <c r="G24" s="138"/>
      <c r="H24" s="138"/>
      <c r="I24" s="138"/>
    </row>
    <row r="25" spans="1:35" ht="14.25">
      <c r="A25" s="3074"/>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517</v>
      </c>
      <c r="D32" s="2453" t="s">
        <v>2166</v>
      </c>
      <c r="E32" s="138"/>
      <c r="F32" s="138"/>
      <c r="G32" s="138"/>
      <c r="H32" s="138"/>
      <c r="I32" s="138"/>
    </row>
    <row r="33" spans="1:15" ht="15">
      <c r="A33" s="960" t="s">
        <v>2167</v>
      </c>
      <c r="B33" s="2454"/>
      <c r="C33" s="2455"/>
      <c r="D33" s="2456"/>
      <c r="E33" s="2457" t="s">
        <v>2168</v>
      </c>
      <c r="F33" s="2458" t="str">
        <f>IF(D32="楼面单价","取值（单价）","取值（总价）")</f>
        <v>取值（总价）</v>
      </c>
      <c r="G33" s="138"/>
      <c r="H33" s="138"/>
      <c r="I33" s="138"/>
    </row>
    <row r="34" spans="1:15" ht="15">
      <c r="A34" s="2459"/>
      <c r="B34" s="2460" t="s">
        <v>2169</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2170</v>
      </c>
      <c r="F34" s="1739"/>
      <c r="G34" s="138"/>
      <c r="H34" s="138"/>
      <c r="I34" s="138"/>
    </row>
    <row r="35" spans="1:15" ht="15.75" thickBot="1">
      <c r="A35" s="2462"/>
      <c r="B35" s="2463" t="s">
        <v>2171</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2172</v>
      </c>
      <c r="F35" s="163"/>
      <c r="G35" s="138"/>
      <c r="H35" s="138"/>
      <c r="I35" s="138"/>
    </row>
    <row r="36" spans="1:15" ht="15.75" thickBot="1">
      <c r="A36" s="3091" t="s">
        <v>2173</v>
      </c>
      <c r="B36" s="2465" t="s">
        <v>2174</v>
      </c>
      <c r="C36" s="154"/>
      <c r="D36" s="2466"/>
      <c r="E36" s="2467"/>
      <c r="F36" s="2468"/>
      <c r="G36" s="138"/>
      <c r="H36" s="138"/>
      <c r="I36" s="138"/>
    </row>
    <row r="37" spans="1:15" ht="15.75" thickBot="1">
      <c r="A37" s="3092"/>
      <c r="B37" s="2271" t="s">
        <v>2175</v>
      </c>
      <c r="C37" s="156"/>
      <c r="D37" s="1395"/>
      <c r="E37" s="1395"/>
      <c r="F37" s="2468"/>
      <c r="G37" s="138"/>
      <c r="H37" s="138"/>
      <c r="I37" s="138"/>
    </row>
    <row r="38" spans="1:15" ht="15.75" thickBot="1">
      <c r="A38" s="3093"/>
      <c r="B38" s="2469" t="s">
        <v>2176</v>
      </c>
      <c r="C38" s="727"/>
      <c r="D38" s="2470" t="s">
        <v>2177</v>
      </c>
      <c r="E38" s="1395"/>
      <c r="F38" s="2468"/>
      <c r="G38" s="138"/>
      <c r="H38" s="138"/>
      <c r="I38" s="138"/>
    </row>
    <row r="39" spans="1:15" ht="15">
      <c r="A39" s="2441" t="s">
        <v>2178</v>
      </c>
      <c r="B39" s="2471" t="s">
        <v>2179</v>
      </c>
      <c r="C39" s="2472" t="s">
        <v>2180</v>
      </c>
      <c r="D39" s="2472" t="s">
        <v>2181</v>
      </c>
      <c r="E39" s="2473" t="s">
        <v>2182</v>
      </c>
      <c r="F39" s="2468"/>
      <c r="G39" s="138"/>
      <c r="H39" s="138"/>
      <c r="I39" s="138"/>
    </row>
    <row r="40" spans="1:15" ht="14.25">
      <c r="A40" s="2474" t="s">
        <v>2183</v>
      </c>
      <c r="B40" s="158"/>
      <c r="C40" s="159"/>
      <c r="D40" s="159"/>
      <c r="E40" s="160"/>
      <c r="F40" s="2468"/>
      <c r="G40" s="138"/>
      <c r="H40" s="138"/>
      <c r="I40" s="138"/>
    </row>
    <row r="41" spans="1:15" ht="14.25">
      <c r="A41" s="2474" t="s">
        <v>2184</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2185</v>
      </c>
      <c r="B44" s="2479"/>
      <c r="C44" s="2479"/>
      <c r="D44" s="2480"/>
      <c r="E44" s="2480"/>
      <c r="F44" s="2481"/>
      <c r="G44" s="2481"/>
      <c r="H44" s="2481"/>
      <c r="I44" s="2481"/>
      <c r="J44" s="2482" t="s">
        <v>2186</v>
      </c>
      <c r="K44" s="2483"/>
      <c r="L44" s="2483"/>
      <c r="M44" s="2483"/>
      <c r="N44" s="2483"/>
      <c r="O44" s="2483"/>
    </row>
    <row r="45" spans="1:15" ht="14.25" customHeight="1" thickBot="1">
      <c r="A45" s="3070" t="s">
        <v>2187</v>
      </c>
      <c r="B45" s="3071"/>
      <c r="C45" s="3072"/>
      <c r="D45" s="164">
        <f ca="1">ROUND(H101*F45,0)</f>
        <v>517</v>
      </c>
      <c r="E45" s="165" t="s">
        <v>2188</v>
      </c>
      <c r="F45" s="166">
        <v>1</v>
      </c>
      <c r="G45" s="167" t="s">
        <v>2189</v>
      </c>
      <c r="H45" s="138"/>
      <c r="I45" s="138"/>
      <c r="J45" s="3130" t="s">
        <v>2190</v>
      </c>
      <c r="K45" s="3130"/>
      <c r="L45" s="3130"/>
      <c r="M45" s="3130"/>
      <c r="N45" s="3130"/>
      <c r="O45" s="3130"/>
    </row>
    <row r="46" spans="1:15" ht="14.25" customHeight="1">
      <c r="A46" s="3067" t="s">
        <v>2191</v>
      </c>
      <c r="B46" s="3068"/>
      <c r="C46" s="3068"/>
      <c r="D46" s="3068"/>
      <c r="E46" s="3068"/>
      <c r="F46" s="3068"/>
      <c r="G46" s="3069"/>
      <c r="H46" s="2484"/>
      <c r="I46" s="168"/>
      <c r="J46" s="1812">
        <v>1</v>
      </c>
      <c r="K46" s="3130" t="s">
        <v>2192</v>
      </c>
      <c r="L46" s="3130"/>
      <c r="M46" s="3150"/>
      <c r="N46" s="3150"/>
      <c r="O46" s="3150"/>
    </row>
    <row r="47" spans="1:15" ht="12" customHeight="1">
      <c r="A47" s="169" t="s">
        <v>2193</v>
      </c>
      <c r="B47" s="170"/>
      <c r="C47" s="171"/>
      <c r="D47" s="172" t="s">
        <v>2194</v>
      </c>
      <c r="E47" s="24" t="s">
        <v>2195</v>
      </c>
      <c r="F47" s="173" t="s">
        <v>2196</v>
      </c>
      <c r="G47" s="174" t="s">
        <v>2197</v>
      </c>
      <c r="H47" s="2484"/>
      <c r="I47" s="168"/>
      <c r="J47" s="1812">
        <v>2</v>
      </c>
      <c r="K47" s="3130" t="s">
        <v>2198</v>
      </c>
      <c r="L47" s="3130"/>
      <c r="M47" s="3151">
        <f>'数据-取费表'!B2</f>
        <v>43220</v>
      </c>
      <c r="N47" s="3151"/>
      <c r="O47" s="3151"/>
    </row>
    <row r="48" spans="1:15" ht="25.5">
      <c r="A48" s="3098" t="s">
        <v>2199</v>
      </c>
      <c r="B48" s="3081"/>
      <c r="C48" s="3081"/>
      <c r="D48" s="140">
        <f>IF(H48="情况1",0,IF(H48="情况2",D52,IF(H48="情况3",D53,IF(H48="情况4",D54))))</f>
        <v>0</v>
      </c>
      <c r="E48" s="1801" t="str">
        <f>IF(H48="情况4","(销售额-原购置价)×税（费）率","销售额×税（费）率")</f>
        <v>销售额×税（费）率</v>
      </c>
      <c r="F48" s="175" t="str">
        <f>IF(H48="情况1","免征",'数据-取费表'!B41)</f>
        <v>免征</v>
      </c>
      <c r="G48" s="2485" t="s">
        <v>2200</v>
      </c>
      <c r="H48" s="2486" t="s">
        <v>2201</v>
      </c>
      <c r="I48" s="2484"/>
      <c r="J48" s="1812">
        <v>3</v>
      </c>
      <c r="K48" s="3130" t="s">
        <v>2202</v>
      </c>
      <c r="L48" s="3130"/>
      <c r="M48" s="3152">
        <f ca="1">H101</f>
        <v>517</v>
      </c>
      <c r="N48" s="3152"/>
      <c r="O48" s="3152"/>
    </row>
    <row r="49" spans="1:35" ht="25.5" customHeight="1">
      <c r="A49" s="176" t="s">
        <v>2203</v>
      </c>
      <c r="B49" s="3066" t="s">
        <v>2204</v>
      </c>
      <c r="C49" s="3066"/>
      <c r="D49" s="177">
        <v>0</v>
      </c>
      <c r="E49" s="23" t="s">
        <v>2205</v>
      </c>
      <c r="F49" s="28" t="s">
        <v>34</v>
      </c>
      <c r="G49" s="3136"/>
      <c r="H49" s="138"/>
      <c r="I49" s="2487"/>
      <c r="J49" s="1812">
        <v>4</v>
      </c>
      <c r="K49" s="3130" t="str">
        <f>IF(项目基本情况!E8="房地产抵押价值","房地产抵押价值","抵押担保权已注销时的房地产抵押价值")</f>
        <v>抵押担保权已注销时的房地产抵押价值</v>
      </c>
      <c r="L49" s="3130"/>
      <c r="M49" s="3152" t="str">
        <f>IF(项目基本情况!E8="房地产抵押价值",H107,H109)</f>
        <v>——</v>
      </c>
      <c r="N49" s="3152"/>
      <c r="O49" s="3152"/>
    </row>
    <row r="50" spans="1:35" ht="25.5" customHeight="1">
      <c r="A50" s="178"/>
      <c r="B50" s="3066" t="s">
        <v>2206</v>
      </c>
      <c r="C50" s="3066"/>
      <c r="D50" s="179"/>
      <c r="E50" s="31"/>
      <c r="F50" s="180"/>
      <c r="G50" s="3137"/>
      <c r="H50" s="138"/>
      <c r="I50" s="2487"/>
      <c r="J50" s="3130" t="s">
        <v>2207</v>
      </c>
      <c r="K50" s="3130"/>
      <c r="L50" s="3130"/>
      <c r="M50" s="3130"/>
      <c r="N50" s="3130"/>
      <c r="O50" s="3130"/>
    </row>
    <row r="51" spans="1:35" ht="12" customHeight="1">
      <c r="A51" s="181"/>
      <c r="B51" s="3066" t="s">
        <v>2208</v>
      </c>
      <c r="C51" s="3066"/>
      <c r="D51" s="182"/>
      <c r="E51" s="30"/>
      <c r="F51" s="180"/>
      <c r="G51" s="3138"/>
      <c r="H51" s="138"/>
      <c r="I51" s="2487"/>
      <c r="J51" s="2488" t="s">
        <v>2209</v>
      </c>
      <c r="K51" s="3130" t="s">
        <v>2210</v>
      </c>
      <c r="L51" s="3130"/>
      <c r="M51" s="2488" t="s">
        <v>2211</v>
      </c>
      <c r="N51" s="2488" t="s">
        <v>2212</v>
      </c>
      <c r="O51" s="2488" t="s">
        <v>2213</v>
      </c>
    </row>
    <row r="52" spans="1:35" ht="24" customHeight="1">
      <c r="A52" s="183" t="s">
        <v>2214</v>
      </c>
      <c r="B52" s="3066" t="s">
        <v>2215</v>
      </c>
      <c r="C52" s="3066"/>
      <c r="D52" s="182">
        <f ca="1">ROUND(D45*'数据-取费表'!B41/(1+'数据-取费表'!C42),0)</f>
        <v>27</v>
      </c>
      <c r="E52" s="11" t="s">
        <v>2216</v>
      </c>
      <c r="F52" s="184">
        <f>'数据-取费表'!B41</f>
        <v>5.5000000000000007E-2</v>
      </c>
      <c r="G52" s="2489"/>
      <c r="H52" s="138"/>
      <c r="I52" s="2487"/>
      <c r="J52" s="1812">
        <v>1</v>
      </c>
      <c r="K52" s="3131" t="s">
        <v>2217</v>
      </c>
      <c r="L52" s="3131"/>
      <c r="M52" s="1754">
        <f>D48</f>
        <v>0</v>
      </c>
      <c r="N52" s="1812" t="str">
        <f>E48</f>
        <v>销售额×税（费）率</v>
      </c>
      <c r="O52" s="1755" t="str">
        <f>F48</f>
        <v>免征</v>
      </c>
    </row>
    <row r="53" spans="1:35" ht="12" customHeight="1">
      <c r="A53" s="183" t="s">
        <v>2218</v>
      </c>
      <c r="B53" s="3089" t="s">
        <v>2219</v>
      </c>
      <c r="C53" s="3090"/>
      <c r="D53" s="182">
        <f ca="1">ROUND(D45*'数据-取费表'!B41/(1+'数据-取费表'!C42),0)</f>
        <v>27</v>
      </c>
      <c r="E53" s="11" t="s">
        <v>2216</v>
      </c>
      <c r="F53" s="184">
        <f>'数据-取费表'!B41</f>
        <v>5.5000000000000007E-2</v>
      </c>
      <c r="G53" s="2489"/>
      <c r="H53" s="138"/>
      <c r="I53" s="2487"/>
      <c r="J53" s="1812">
        <v>2</v>
      </c>
      <c r="K53" s="3131" t="s">
        <v>2220</v>
      </c>
      <c r="L53" s="3131"/>
      <c r="M53" s="1754">
        <f t="shared" ref="M53:O54" ca="1" si="0">D55</f>
        <v>0</v>
      </c>
      <c r="N53" s="1812" t="str">
        <f t="shared" si="0"/>
        <v>销售额×税（费）率</v>
      </c>
      <c r="O53" s="1755">
        <f t="shared" si="0"/>
        <v>5.0000000000000001E-4</v>
      </c>
    </row>
    <row r="54" spans="1:35" ht="12" customHeight="1">
      <c r="A54" s="183" t="s">
        <v>2221</v>
      </c>
      <c r="B54" s="3089" t="s">
        <v>2222</v>
      </c>
      <c r="C54" s="3090"/>
      <c r="D54" s="182">
        <f ca="1">C68</f>
        <v>27</v>
      </c>
      <c r="E54" s="30" t="s">
        <v>2223</v>
      </c>
      <c r="F54" s="184">
        <f>'数据-取费表'!B41</f>
        <v>5.5000000000000007E-2</v>
      </c>
      <c r="G54" s="2489"/>
      <c r="H54" s="2490"/>
      <c r="I54" s="2487"/>
      <c r="J54" s="1812">
        <v>3</v>
      </c>
      <c r="K54" s="3131" t="s">
        <v>2224</v>
      </c>
      <c r="L54" s="3131"/>
      <c r="M54" s="1754">
        <f t="shared" ca="1" si="0"/>
        <v>293</v>
      </c>
      <c r="N54" s="1812" t="str">
        <f t="shared" si="0"/>
        <v>增值额×税（费）率</v>
      </c>
      <c r="O54" s="1756" t="str">
        <f t="shared" si="0"/>
        <v>——</v>
      </c>
    </row>
    <row r="55" spans="1:35" ht="24" customHeight="1">
      <c r="A55" s="3080" t="s">
        <v>2225</v>
      </c>
      <c r="B55" s="3081"/>
      <c r="C55" s="3081"/>
      <c r="D55" s="185">
        <f ca="1">IF(H55="个人住宅",0,ROUND(D45*I55,0))</f>
        <v>0</v>
      </c>
      <c r="E55" s="11" t="s">
        <v>2226</v>
      </c>
      <c r="F55" s="184">
        <f>IF(H55="正常",I55,"免征")</f>
        <v>5.0000000000000001E-4</v>
      </c>
      <c r="G55" s="2489"/>
      <c r="H55" s="2486" t="s">
        <v>2227</v>
      </c>
      <c r="I55" s="186">
        <f>'数据-取费表'!B49</f>
        <v>5.0000000000000001E-4</v>
      </c>
      <c r="J55" s="1812" t="str">
        <f>IF(H59="非个人房产","",4)</f>
        <v/>
      </c>
      <c r="K55" s="3131" t="str">
        <f>IF(H59="非个人房产","——","个人所得税")</f>
        <v>——</v>
      </c>
      <c r="L55" s="3131"/>
      <c r="M55" s="1757" t="str">
        <f>D59</f>
        <v>——</v>
      </c>
      <c r="N55" s="1810" t="str">
        <f>E59</f>
        <v>——</v>
      </c>
      <c r="O55" s="1758" t="str">
        <f>F59</f>
        <v>——</v>
      </c>
    </row>
    <row r="56" spans="1:35" ht="24.75">
      <c r="A56" s="3080" t="s">
        <v>2228</v>
      </c>
      <c r="B56" s="3081"/>
      <c r="C56" s="3081"/>
      <c r="D56" s="185">
        <f ca="1">IF(H56="个人住宅",D57,D58)</f>
        <v>293</v>
      </c>
      <c r="E56" s="11" t="s">
        <v>2229</v>
      </c>
      <c r="F56" s="184" t="str">
        <f>IF(H56="正常",F58,"免征")</f>
        <v>——</v>
      </c>
      <c r="G56" s="2491" t="s">
        <v>2230</v>
      </c>
      <c r="H56" s="2492" t="s">
        <v>2227</v>
      </c>
      <c r="I56" s="2493"/>
      <c r="J56" s="1812" t="str">
        <f>IF(项目基本情况!K6="上海银行",IF(J55="",4,J55+1),"")</f>
        <v/>
      </c>
      <c r="K56" s="3154" t="str">
        <f>IF(项目基本情况!K6="上海银行","其他处置费用","")</f>
        <v/>
      </c>
      <c r="L56" s="3155"/>
      <c r="M56" s="1754" t="str">
        <f>IF(项目基本情况!K6="上海银行",M69,"")</f>
        <v/>
      </c>
      <c r="N56" s="3157" t="str">
        <f>IF(项目基本情况!K6="上海银行","包含处置中涉及的律师、诉讼、拍卖、评估等费用","")</f>
        <v/>
      </c>
      <c r="O56" s="3158"/>
    </row>
    <row r="57" spans="1:35" ht="12.75">
      <c r="A57" s="183" t="s">
        <v>2203</v>
      </c>
      <c r="B57" s="3096" t="s">
        <v>2231</v>
      </c>
      <c r="C57" s="3105"/>
      <c r="D57" s="187">
        <v>0</v>
      </c>
      <c r="E57" s="23" t="s">
        <v>2205</v>
      </c>
      <c r="F57" s="155"/>
      <c r="G57" s="2489"/>
      <c r="H57" s="2493"/>
      <c r="I57" s="2493"/>
      <c r="J57" s="3131">
        <f>IF(AND(J55="",J56=""),4,IF(项目基本情况!K6="上海银行",结果表!J56+1,结果表!J55+1))</f>
        <v>4</v>
      </c>
      <c r="K57" s="3131" t="s">
        <v>2232</v>
      </c>
      <c r="L57" s="2494" t="s">
        <v>2233</v>
      </c>
      <c r="M57" s="1759"/>
      <c r="N57" s="1760">
        <f ca="1">SUMIF(M52:M56,"&lt;9e307")</f>
        <v>293</v>
      </c>
      <c r="O57" s="2495"/>
      <c r="P57" s="1753" t="e">
        <f ca="1">N57/M49</f>
        <v>#VALUE!</v>
      </c>
    </row>
    <row r="58" spans="1:35" ht="24.75">
      <c r="A58" s="183" t="s">
        <v>2214</v>
      </c>
      <c r="B58" s="3096" t="s">
        <v>2234</v>
      </c>
      <c r="C58" s="3097"/>
      <c r="D58" s="185">
        <f ca="1">IF(H58="转让取得",C81,C97)</f>
        <v>293</v>
      </c>
      <c r="E58" s="11" t="s">
        <v>2229</v>
      </c>
      <c r="F58" s="24" t="s">
        <v>34</v>
      </c>
      <c r="G58" s="2489"/>
      <c r="H58" s="2492" t="s">
        <v>2235</v>
      </c>
      <c r="I58" s="2493"/>
      <c r="J58" s="3131"/>
      <c r="K58" s="3131"/>
      <c r="L58" s="2494" t="s">
        <v>2236</v>
      </c>
      <c r="M58" s="1761"/>
      <c r="N58" s="2496" t="str">
        <f ca="1">NUMBERSTRING(INT(N57*10000),2)&amp;"元整"</f>
        <v>贰佰玖拾叁万元整</v>
      </c>
      <c r="O58" s="2497"/>
    </row>
    <row r="59" spans="1:35" ht="24.75" thickBot="1">
      <c r="A59" s="3134" t="s">
        <v>2237</v>
      </c>
      <c r="B59" s="3135"/>
      <c r="C59" s="3135"/>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132">
        <f>J57+1</f>
        <v>5</v>
      </c>
      <c r="K59" s="3131" t="s">
        <v>2239</v>
      </c>
      <c r="L59" s="1812" t="s">
        <v>2233</v>
      </c>
      <c r="M59" s="1762"/>
      <c r="N59" s="1763" t="e">
        <f ca="1">M49-N57</f>
        <v>#VALUE!</v>
      </c>
      <c r="O59" s="2499"/>
    </row>
    <row r="60" spans="1:35" ht="12" customHeight="1">
      <c r="A60" s="2500"/>
      <c r="B60" s="2422"/>
      <c r="C60" s="2422"/>
      <c r="D60" s="2422"/>
      <c r="E60" s="2170"/>
      <c r="F60" s="2493"/>
      <c r="G60" s="2493"/>
      <c r="H60" s="2501"/>
      <c r="I60" s="138"/>
      <c r="J60" s="3133"/>
      <c r="K60" s="3131"/>
      <c r="L60" s="2494" t="s">
        <v>2236</v>
      </c>
      <c r="M60" s="1761"/>
      <c r="N60" s="2496" t="e">
        <f ca="1">NUMBERSTRING(INT(N59*10000),2)&amp;"元整"</f>
        <v>#VALUE!</v>
      </c>
      <c r="O60" s="2497"/>
    </row>
    <row r="61" spans="1:35" ht="13.5" thickBot="1">
      <c r="A61" s="3078" t="s">
        <v>2240</v>
      </c>
      <c r="B61" s="3078"/>
      <c r="C61" s="3078"/>
      <c r="D61" s="3078"/>
      <c r="E61" s="3078"/>
      <c r="F61" s="2493"/>
      <c r="G61" s="2493"/>
      <c r="H61" s="2501"/>
      <c r="I61" s="138"/>
      <c r="J61" s="1812">
        <f>J59+1</f>
        <v>6</v>
      </c>
      <c r="K61" s="3131" t="s">
        <v>2241</v>
      </c>
      <c r="L61" s="3131"/>
      <c r="M61" s="1764"/>
      <c r="N61" s="1765" t="e">
        <f ca="1">ROUND(N59*10000/'数据-汇总表'!E3,0)</f>
        <v>#VALUE!</v>
      </c>
      <c r="O61" s="2502"/>
    </row>
    <row r="62" spans="1:35" ht="12.75">
      <c r="A62" s="3094" t="s">
        <v>2242</v>
      </c>
      <c r="B62" s="3095"/>
      <c r="C62" s="1804"/>
      <c r="D62" s="1804" t="s">
        <v>2243</v>
      </c>
      <c r="E62" s="192" t="s">
        <v>2244</v>
      </c>
      <c r="F62" s="2493"/>
      <c r="G62" s="2493"/>
      <c r="H62" s="2501"/>
      <c r="I62" s="138"/>
    </row>
    <row r="63" spans="1:35" ht="12.75">
      <c r="A63" s="203" t="s">
        <v>775</v>
      </c>
      <c r="B63" s="193" t="s">
        <v>2245</v>
      </c>
      <c r="C63" s="194">
        <f ca="1">ROUND((C64+C65)/(1+'数据-取费表'!C42),0)</f>
        <v>492</v>
      </c>
      <c r="D63" s="195"/>
      <c r="E63" s="196"/>
      <c r="F63" s="2493"/>
      <c r="G63" s="2493"/>
      <c r="H63" s="2501"/>
      <c r="I63" s="138"/>
      <c r="J63" s="3156" t="s">
        <v>2246</v>
      </c>
      <c r="K63" s="2503" t="s">
        <v>2247</v>
      </c>
      <c r="L63" s="1752" t="e">
        <f>IF(M49&gt;10000,M49*0.5%,IF(AND(M49&gt;1000,M49&lt;=10000),M49*1%,IF(AND(M49&gt;100,M49&lt;=1000),M49*3%,IF(AND(M49&gt;10,M49&lt;=100),M49*5%,M49*8%))))</f>
        <v>#VALUE!</v>
      </c>
      <c r="M63" s="24" t="e">
        <f>ROUND(L63,1)</f>
        <v>#VALUE!</v>
      </c>
      <c r="Z63" s="2427"/>
      <c r="AI63" s="2428"/>
    </row>
    <row r="64" spans="1:35" ht="14.25" customHeight="1">
      <c r="A64" s="197" t="s">
        <v>770</v>
      </c>
      <c r="B64" s="198" t="s">
        <v>2248</v>
      </c>
      <c r="C64" s="199">
        <f ca="1">D45</f>
        <v>517</v>
      </c>
      <c r="D64" s="200" t="s">
        <v>32</v>
      </c>
      <c r="E64" s="201"/>
      <c r="F64" s="2493"/>
      <c r="G64" s="2493"/>
      <c r="H64" s="2501"/>
      <c r="I64" s="138"/>
      <c r="J64" s="3156"/>
      <c r="K64" s="2503"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7"/>
      <c r="AI64" s="2428"/>
    </row>
    <row r="65" spans="1:35" ht="14.25" customHeight="1">
      <c r="A65" s="197" t="s">
        <v>771</v>
      </c>
      <c r="B65" s="198" t="s">
        <v>2251</v>
      </c>
      <c r="C65" s="202"/>
      <c r="D65" s="200"/>
      <c r="E65" s="201"/>
      <c r="F65" s="2493"/>
      <c r="G65" s="2493"/>
      <c r="H65" s="2501"/>
      <c r="I65" s="138"/>
      <c r="J65" s="3156"/>
      <c r="K65" s="2503" t="s">
        <v>2252</v>
      </c>
      <c r="L65" s="1752" t="e">
        <f>IF(M49&gt;1000,M49*0.1%,IF(AND(M49&gt;500,M49&lt;=1000),M49*0.5%,IF(AND(M49&gt;50,M49&lt;=500),M49*1%,IF(AND(M49&gt;1,M49&lt;=50),M49*1.5%))))</f>
        <v>#VALUE!</v>
      </c>
      <c r="M65" s="24" t="e">
        <f t="shared" si="1"/>
        <v>#VALUE!</v>
      </c>
      <c r="N65" s="138" t="s">
        <v>2250</v>
      </c>
      <c r="Z65" s="2427"/>
      <c r="AI65" s="2428"/>
    </row>
    <row r="66" spans="1:35" ht="14.25" customHeight="1">
      <c r="A66" s="203" t="s">
        <v>772</v>
      </c>
      <c r="B66" s="204" t="s">
        <v>2253</v>
      </c>
      <c r="C66" s="205"/>
      <c r="D66" s="206" t="s">
        <v>32</v>
      </c>
      <c r="E66" s="1776" t="s">
        <v>1371</v>
      </c>
      <c r="F66" s="2493"/>
      <c r="G66" s="2493"/>
      <c r="H66" s="2501"/>
      <c r="I66" s="138"/>
      <c r="J66" s="3156"/>
      <c r="K66" s="2503" t="s">
        <v>2254</v>
      </c>
      <c r="L66" s="1752" t="e">
        <f>M49*0.5%</f>
        <v>#VALUE!</v>
      </c>
      <c r="M66" s="24" t="e">
        <f>IF(L66&gt;0.5,0.5,ROUND(L66,0))</f>
        <v>#VALUE!</v>
      </c>
      <c r="N66" s="138" t="s">
        <v>2255</v>
      </c>
      <c r="Z66" s="2427"/>
      <c r="AI66" s="2428"/>
    </row>
    <row r="67" spans="1:35" ht="14.25" customHeight="1">
      <c r="A67" s="203" t="s">
        <v>773</v>
      </c>
      <c r="B67" s="204" t="s">
        <v>2256</v>
      </c>
      <c r="C67" s="207">
        <f ca="1">C63-C66</f>
        <v>492</v>
      </c>
      <c r="D67" s="200" t="s">
        <v>32</v>
      </c>
      <c r="E67" s="201"/>
      <c r="F67" s="2493"/>
      <c r="G67" s="2493"/>
      <c r="H67" s="2501"/>
      <c r="I67" s="138"/>
      <c r="J67" s="3156"/>
      <c r="K67" s="2503"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2258</v>
      </c>
      <c r="C68" s="210">
        <f ca="1">IF(C67&lt;=0,0,ROUND(C67*D68,0))</f>
        <v>27</v>
      </c>
      <c r="D68" s="211">
        <f>'数据-取费表'!B41</f>
        <v>5.5000000000000007E-2</v>
      </c>
      <c r="E68" s="212"/>
      <c r="F68" s="2493"/>
      <c r="G68" s="2493"/>
      <c r="H68" s="2501"/>
      <c r="I68" s="138"/>
      <c r="J68" s="3156"/>
      <c r="K68" s="2503" t="s">
        <v>2259</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0"/>
      <c r="G69" s="2170"/>
      <c r="H69" s="2169"/>
      <c r="I69" s="2422"/>
      <c r="J69" s="3156"/>
      <c r="K69" s="2503" t="s">
        <v>2260</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5" t="s">
        <v>2261</v>
      </c>
      <c r="B70" s="3116"/>
      <c r="C70" s="3116"/>
      <c r="D70" s="3116"/>
      <c r="E70" s="3116"/>
      <c r="F70" s="3116"/>
      <c r="G70" s="3116"/>
      <c r="H70" s="311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4" t="s">
        <v>2242</v>
      </c>
      <c r="B71" s="3095"/>
      <c r="C71" s="1804"/>
      <c r="D71" s="1804" t="s">
        <v>2243</v>
      </c>
      <c r="E71" s="213" t="s">
        <v>2244</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7">
        <f ca="1">ROUND(D45/(1+'数据-取费表'!C42),0)</f>
        <v>492</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7">
        <f ca="1">C74+C78</f>
        <v>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2264</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2265</v>
      </c>
      <c r="C75" s="218"/>
      <c r="D75" s="200" t="s">
        <v>32</v>
      </c>
      <c r="E75" s="219" t="s">
        <v>2266</v>
      </c>
      <c r="F75" s="2515" t="s">
        <v>2267</v>
      </c>
      <c r="G75" s="219" t="s">
        <v>2268</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2269</v>
      </c>
      <c r="C76" s="200">
        <f>IF(F75="购房发票",ROUND(C75*H75*D76,0),0)</f>
        <v>0</v>
      </c>
      <c r="D76" s="222">
        <v>0.05</v>
      </c>
      <c r="E76" s="3089" t="s">
        <v>2270</v>
      </c>
      <c r="F76" s="3066"/>
      <c r="G76" s="3066"/>
      <c r="H76" s="311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7" t="s">
        <v>2273</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2274</v>
      </c>
      <c r="C78" s="225">
        <f ca="1">ROUND(D45*D78/(1+'数据-取费表'!C42),0)</f>
        <v>2</v>
      </c>
      <c r="D78" s="226">
        <f>'数据-取费表'!B43</f>
        <v>5.000000000000001E-3</v>
      </c>
      <c r="E78" s="3075" t="s">
        <v>2275</v>
      </c>
      <c r="F78" s="3076"/>
      <c r="G78" s="3076"/>
      <c r="H78" s="308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2276</v>
      </c>
      <c r="C79" s="207">
        <f ca="1">C72-C73</f>
        <v>490</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2277</v>
      </c>
      <c r="C80" s="227">
        <f ca="1">IF(C79&lt;=0,0,C79/C73)</f>
        <v>245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2278</v>
      </c>
      <c r="C81" s="228">
        <f ca="1">ROUND(IF(C79&lt;=0,0,IF(C80&gt;=200%,C79*60%-C73*35%,IF(C80&gt;=100%,C79*50%-C73*15%,IF(C80&gt;=50%,C79*40%-C73*5%,IF(C80&lt;50%,C79*30%,0))))),0)</f>
        <v>293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5" t="s">
        <v>2279</v>
      </c>
      <c r="B83" s="3116"/>
      <c r="C83" s="3116"/>
      <c r="D83" s="3116"/>
      <c r="E83" s="3116"/>
      <c r="F83" s="3116"/>
      <c r="G83" s="3116"/>
      <c r="H83" s="311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4" t="s">
        <v>2242</v>
      </c>
      <c r="B84" s="3095"/>
      <c r="C84" s="1804"/>
      <c r="D84" s="1804" t="s">
        <v>2243</v>
      </c>
      <c r="E84" s="213" t="s">
        <v>2244</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7">
        <f ca="1">ROUND(D45/(1+'数据-取费表'!C42),0)</f>
        <v>492</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7">
        <f ca="1">IF(H88="仅含出让金",C87+C90+C91+C92+C93+C94,C87+C91+C92+C93+C94)</f>
        <v>2</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2280</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2281</v>
      </c>
      <c r="C88" s="236"/>
      <c r="D88" s="226"/>
      <c r="E88" s="237" t="s">
        <v>2282</v>
      </c>
      <c r="F88" s="1800"/>
      <c r="G88" s="238" t="s">
        <v>2283</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2271</v>
      </c>
      <c r="C89" s="225">
        <f>ROUND(C88*D89,0)</f>
        <v>0</v>
      </c>
      <c r="D89" s="226">
        <f>'数据-取费表'!B48+'数据-取费表'!B49</f>
        <v>3.0499999999999999E-2</v>
      </c>
      <c r="E89" s="237" t="s">
        <v>2284</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2285</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2286</v>
      </c>
      <c r="B91" s="198" t="s">
        <v>2287</v>
      </c>
      <c r="C91" s="225">
        <f>IF(H91="——",成本法!C33,I91)</f>
        <v>0</v>
      </c>
      <c r="D91" s="226"/>
      <c r="E91" s="3075" t="s">
        <v>2288</v>
      </c>
      <c r="F91" s="3076"/>
      <c r="G91" s="3076"/>
      <c r="H91" s="2522" t="s">
        <v>2289</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2290</v>
      </c>
      <c r="B92" s="198" t="s">
        <v>2291</v>
      </c>
      <c r="C92" s="225">
        <f>ROUND((C87+C90+C91)*D92,0)</f>
        <v>0</v>
      </c>
      <c r="D92" s="226">
        <v>0.1</v>
      </c>
      <c r="E92" s="3075" t="s">
        <v>2292</v>
      </c>
      <c r="F92" s="3076"/>
      <c r="G92" s="3076"/>
      <c r="H92" s="308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2293</v>
      </c>
      <c r="B93" s="198" t="s">
        <v>2274</v>
      </c>
      <c r="C93" s="225">
        <f ca="1">ROUND(D45*D93/(1+'数据-取费表'!C42),0)</f>
        <v>2</v>
      </c>
      <c r="D93" s="226">
        <f>'数据-取费表'!B43</f>
        <v>5.000000000000001E-3</v>
      </c>
      <c r="E93" s="3075" t="s">
        <v>2275</v>
      </c>
      <c r="F93" s="3076"/>
      <c r="G93" s="3076"/>
      <c r="H93" s="308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2294</v>
      </c>
      <c r="B94" s="198" t="s">
        <v>2295</v>
      </c>
      <c r="C94" s="236">
        <f>ROUND((C87+C90+C91)*D94,0)</f>
        <v>0</v>
      </c>
      <c r="D94" s="226">
        <v>0.2</v>
      </c>
      <c r="E94" s="3086" t="s">
        <v>2296</v>
      </c>
      <c r="F94" s="3087"/>
      <c r="G94" s="3087"/>
      <c r="H94" s="308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2276</v>
      </c>
      <c r="C95" s="207">
        <f ca="1">ROUND(C85-C86,0)</f>
        <v>490</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2277</v>
      </c>
      <c r="C96" s="227">
        <f ca="1">IF(C95&lt;=0,0,C95/C86)</f>
        <v>245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2278</v>
      </c>
      <c r="C97" s="228">
        <f ca="1">ROUND(IF(C95&lt;=0,0,IF(C96&gt;=200%,C95*60%-C86*35%,IF(C96&gt;=100%,C95*50%-C86*15%,IF(C96&gt;=50%,C95*40%-C86*5%,IF(C96&lt;50%,C95*30%,0))))),0)</f>
        <v>293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2297</v>
      </c>
      <c r="B99" s="2422"/>
      <c r="C99" s="2422"/>
      <c r="D99" s="2422"/>
      <c r="E99" s="2170"/>
      <c r="F99" s="2170"/>
      <c r="G99" s="2170"/>
      <c r="H99" s="2169"/>
      <c r="I99" s="138"/>
    </row>
    <row r="100" spans="1:35" ht="18.75" customHeight="1">
      <c r="A100" s="3060" t="s">
        <v>2298</v>
      </c>
      <c r="B100" s="3061"/>
      <c r="C100" s="3061"/>
      <c r="D100" s="3077"/>
      <c r="E100" s="3061" t="s">
        <v>2299</v>
      </c>
      <c r="F100" s="3061"/>
      <c r="G100" s="3061"/>
      <c r="H100" s="3077"/>
      <c r="I100" s="138"/>
    </row>
    <row r="101" spans="1:35" ht="18.75" customHeight="1">
      <c r="A101" s="3139" t="s">
        <v>2300</v>
      </c>
      <c r="B101" s="3140"/>
      <c r="C101" s="736" t="str">
        <f>C4</f>
        <v>比较法-工业</v>
      </c>
      <c r="D101" s="737" t="str">
        <f>D4</f>
        <v>成本法</v>
      </c>
      <c r="E101" s="3153" t="s">
        <v>2301</v>
      </c>
      <c r="F101" s="3107"/>
      <c r="G101" s="2524" t="s">
        <v>2302</v>
      </c>
      <c r="H101" s="1048">
        <f ca="1">H118</f>
        <v>517</v>
      </c>
      <c r="I101" s="138"/>
    </row>
    <row r="102" spans="1:35" ht="18.75" customHeight="1">
      <c r="A102" s="3109" t="s">
        <v>2303</v>
      </c>
      <c r="B102" s="2524" t="s">
        <v>2302</v>
      </c>
      <c r="C102" s="736">
        <f ca="1">C19</f>
        <v>0</v>
      </c>
      <c r="D102" s="737">
        <f ca="1">D19</f>
        <v>2587</v>
      </c>
      <c r="E102" s="3153"/>
      <c r="F102" s="3107"/>
      <c r="G102" s="2524" t="s">
        <v>2304</v>
      </c>
      <c r="H102" s="371">
        <f ca="1">I118</f>
        <v>3953</v>
      </c>
      <c r="I102" s="138"/>
    </row>
    <row r="103" spans="1:35" ht="42.75" customHeight="1">
      <c r="A103" s="3109"/>
      <c r="B103" s="2524" t="s">
        <v>2304</v>
      </c>
      <c r="C103" s="738">
        <f ca="1">C20</f>
        <v>3</v>
      </c>
      <c r="D103" s="739">
        <f ca="1">D20</f>
        <v>19780</v>
      </c>
      <c r="E103" s="3148" t="s">
        <v>2305</v>
      </c>
      <c r="F103" s="3149"/>
      <c r="G103" s="2525" t="s">
        <v>2306</v>
      </c>
      <c r="H103" s="1048">
        <f>IF(D36="正常操作",H104+H105+H106,H105+H106)</f>
        <v>0</v>
      </c>
      <c r="I103" s="138"/>
    </row>
    <row r="104" spans="1:35" ht="18.75" customHeight="1">
      <c r="A104" s="3109" t="s">
        <v>2307</v>
      </c>
      <c r="B104" s="2526" t="s">
        <v>2302</v>
      </c>
      <c r="C104" s="740">
        <f ca="1">H118</f>
        <v>517</v>
      </c>
      <c r="D104" s="741"/>
      <c r="E104" s="2271" t="s">
        <v>2308</v>
      </c>
      <c r="F104" s="2262"/>
      <c r="G104" s="2525" t="s">
        <v>2306</v>
      </c>
      <c r="H104" s="1049">
        <f>IF(D36="同一抵押权人同一抵押物续贷",C36&amp;"（未扣减，详见特别提示）",C36)</f>
        <v>0</v>
      </c>
      <c r="I104" s="138"/>
    </row>
    <row r="105" spans="1:35" ht="18.75" customHeight="1" thickBot="1">
      <c r="A105" s="3110"/>
      <c r="B105" s="2527" t="s">
        <v>2304</v>
      </c>
      <c r="C105" s="742">
        <f ca="1">I118</f>
        <v>3953</v>
      </c>
      <c r="D105" s="743"/>
      <c r="E105" s="2271" t="s">
        <v>2309</v>
      </c>
      <c r="F105" s="2262"/>
      <c r="G105" s="2525" t="s">
        <v>2306</v>
      </c>
      <c r="H105" s="1049">
        <f>C37</f>
        <v>0</v>
      </c>
      <c r="I105" s="138"/>
    </row>
    <row r="106" spans="1:35" ht="18.75" customHeight="1">
      <c r="A106" s="2422" t="s">
        <v>2310</v>
      </c>
      <c r="B106" s="2422"/>
      <c r="C106" s="2422"/>
      <c r="D106" s="2422"/>
      <c r="E106" s="2528" t="s">
        <v>2311</v>
      </c>
      <c r="F106" s="2262"/>
      <c r="G106" s="2525" t="s">
        <v>2306</v>
      </c>
      <c r="H106" s="1049">
        <f>C38</f>
        <v>0</v>
      </c>
      <c r="I106" s="138"/>
    </row>
    <row r="107" spans="1:35" ht="18.75" customHeight="1">
      <c r="A107" s="138"/>
      <c r="B107" s="138"/>
      <c r="C107" s="138"/>
      <c r="D107" s="138"/>
      <c r="E107" s="3106" t="str">
        <f>IF(项目基本情况!E8="已注销","——","3.房地产抵押价值")</f>
        <v>3.房地产抵押价值</v>
      </c>
      <c r="F107" s="3107"/>
      <c r="G107" s="2524" t="s">
        <v>2302</v>
      </c>
      <c r="H107" s="1048">
        <f ca="1">IF(E107="——","——",H101-H103)</f>
        <v>517</v>
      </c>
      <c r="I107" s="138"/>
    </row>
    <row r="108" spans="1:35" ht="18.75" customHeight="1">
      <c r="A108" s="138"/>
      <c r="B108" s="138"/>
      <c r="C108" s="138"/>
      <c r="D108" s="138"/>
      <c r="E108" s="3106"/>
      <c r="F108" s="3107"/>
      <c r="G108" s="2524" t="s">
        <v>2304</v>
      </c>
      <c r="H108" s="371">
        <f ca="1">ROUND(H107*10000/'数据-汇总表'!E3,0)</f>
        <v>3953</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4" t="s">
        <v>2302</v>
      </c>
      <c r="H109" s="348" t="str">
        <f>IF(E109="——","——",H101-H105-H106)</f>
        <v>——</v>
      </c>
      <c r="I109" s="138"/>
    </row>
    <row r="110" spans="1:35" ht="18.75" customHeight="1">
      <c r="A110" s="138"/>
      <c r="B110" s="138"/>
      <c r="C110" s="138"/>
      <c r="D110" s="138"/>
      <c r="E110" s="3106"/>
      <c r="F110" s="3107"/>
      <c r="G110" s="2524" t="s">
        <v>2304</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4" t="s">
        <v>2302</v>
      </c>
      <c r="H111" s="1048" t="str">
        <f>IF(E111="——","——",N59)</f>
        <v>——</v>
      </c>
      <c r="I111" s="138"/>
    </row>
    <row r="112" spans="1:35" ht="18.75" customHeight="1" thickBot="1">
      <c r="A112" s="138"/>
      <c r="B112" s="138"/>
      <c r="C112" s="138"/>
      <c r="D112" s="138"/>
      <c r="E112" s="3143"/>
      <c r="F112" s="3144"/>
      <c r="G112" s="2529" t="s">
        <v>2304</v>
      </c>
      <c r="H112" s="790" t="str">
        <f>IF(E111="——","——",N61)</f>
        <v>——</v>
      </c>
      <c r="I112" s="138"/>
    </row>
    <row r="113" spans="1:11" ht="18.75" customHeight="1">
      <c r="A113" s="138"/>
      <c r="B113" s="138"/>
      <c r="C113" s="138"/>
      <c r="D113" s="138"/>
      <c r="E113" s="3111" t="s">
        <v>2310</v>
      </c>
      <c r="F113" s="3111"/>
      <c r="G113" s="3111"/>
      <c r="H113" s="3111"/>
      <c r="I113" s="138"/>
    </row>
    <row r="114" spans="1:11" ht="3.75" customHeight="1">
      <c r="A114" s="2422"/>
      <c r="B114" s="2422"/>
      <c r="C114" s="2422"/>
      <c r="D114" s="2422"/>
      <c r="E114" s="2500"/>
      <c r="F114" s="2500"/>
      <c r="G114" s="2500"/>
      <c r="H114" s="2500"/>
      <c r="I114" s="2422"/>
    </row>
    <row r="115" spans="1:11" ht="18.75" customHeight="1">
      <c r="A115" s="3124" t="s">
        <v>2312</v>
      </c>
      <c r="B115" s="3125"/>
      <c r="C115" s="3125"/>
      <c r="D115" s="3125"/>
      <c r="E115" s="3125"/>
      <c r="F115" s="3125"/>
      <c r="G115" s="3125"/>
      <c r="H115" s="3125"/>
      <c r="I115" s="3126"/>
    </row>
    <row r="116" spans="1:11" ht="27" customHeight="1">
      <c r="A116" s="3017" t="s">
        <v>2313</v>
      </c>
      <c r="B116" s="3112" t="s">
        <v>2314</v>
      </c>
      <c r="C116" s="3112" t="s">
        <v>2315</v>
      </c>
      <c r="D116" s="3128" t="s">
        <v>2316</v>
      </c>
      <c r="E116" s="3129"/>
      <c r="F116" s="3120" t="s">
        <v>2317</v>
      </c>
      <c r="G116" s="3120"/>
      <c r="H116" s="3017" t="s">
        <v>2318</v>
      </c>
      <c r="I116" s="3017"/>
    </row>
    <row r="117" spans="1:11" ht="18.75" customHeight="1">
      <c r="A117" s="3017"/>
      <c r="B117" s="3113"/>
      <c r="C117" s="3113"/>
      <c r="D117" s="1798" t="s">
        <v>2319</v>
      </c>
      <c r="E117" s="1798" t="s">
        <v>2320</v>
      </c>
      <c r="F117" s="1798" t="s">
        <v>2319</v>
      </c>
      <c r="G117" s="1798" t="s">
        <v>2321</v>
      </c>
      <c r="H117" s="1798" t="s">
        <v>2319</v>
      </c>
      <c r="I117" s="1798" t="s">
        <v>2321</v>
      </c>
    </row>
    <row r="118" spans="1:11" ht="24.75" customHeight="1">
      <c r="A118" s="2530" t="str">
        <f>项目基本情况!S2</f>
        <v>北京市出让国有建设用地使用权及在建建筑物房地产</v>
      </c>
      <c r="B118" s="1798">
        <f>M18</f>
        <v>1307.9000000000001</v>
      </c>
      <c r="C118" s="1798">
        <f>M19</f>
        <v>1307.9000000000001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517</v>
      </c>
      <c r="I118" s="1798">
        <f ca="1">ROUND(IF(D32="楼面单价",C32,H118*10000/B118),0)</f>
        <v>3953</v>
      </c>
    </row>
    <row r="119" spans="1:11" ht="18.75" customHeight="1">
      <c r="A119" s="3017" t="s">
        <v>2322</v>
      </c>
      <c r="B119" s="3017"/>
      <c r="C119" s="3017"/>
      <c r="D119" s="3117" t="e">
        <f ca="1">NUMBERSTRING(INT(D118*10000),2)&amp;"元整"</f>
        <v>#REF!</v>
      </c>
      <c r="E119" s="3119"/>
      <c r="F119" s="3117" t="e">
        <f ca="1">NUMBERSTRING(INT(F118*10000),2)&amp;"元整"</f>
        <v>#REF!</v>
      </c>
      <c r="G119" s="3119"/>
      <c r="H119" s="3117" t="str">
        <f ca="1">NUMBERSTRING(INT(H118*10000),2)&amp;"元整"</f>
        <v>伍佰壹拾柒万元整</v>
      </c>
      <c r="I119" s="3119"/>
    </row>
    <row r="120" spans="1:11" ht="18.75" customHeight="1">
      <c r="A120" s="3145" t="str">
        <f>IF(项目基本情况!B9="房地产市场价值","",MID(E103,3,LEN(E103)-2))</f>
        <v/>
      </c>
      <c r="B120" s="3146"/>
      <c r="C120" s="3147"/>
      <c r="D120" s="3145">
        <f>H103</f>
        <v>0</v>
      </c>
      <c r="E120" s="3146"/>
      <c r="F120" s="3146"/>
      <c r="G120" s="3146"/>
      <c r="H120" s="3146"/>
      <c r="I120" s="3147"/>
      <c r="K120" s="2427" t="str">
        <f>IF(D120=0,"故，本次评估不存在"&amp;A120,"故，本次评估"&amp;A120&amp;"为人民币"&amp;D120&amp;"万元整。")</f>
        <v>故，本次评估不存在</v>
      </c>
    </row>
    <row r="121" spans="1:11" ht="18.75" customHeight="1">
      <c r="A121" s="3121" t="s">
        <v>2322</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
      </c>
      <c r="B122" s="3108"/>
      <c r="C122" s="3108"/>
      <c r="D122" s="3145">
        <f ca="1">H107</f>
        <v>517</v>
      </c>
      <c r="E122" s="3146"/>
      <c r="F122" s="3146"/>
      <c r="G122" s="3146"/>
      <c r="H122" s="3146"/>
      <c r="I122" s="3147"/>
    </row>
    <row r="123" spans="1:11" ht="18.75" customHeight="1">
      <c r="A123" s="3017" t="s">
        <v>2322</v>
      </c>
      <c r="B123" s="3017"/>
      <c r="C123" s="3017"/>
      <c r="D123" s="3117" t="str">
        <f ca="1">NUMBERSTRING(INT(D122*10000),2)&amp;"元整"</f>
        <v>伍佰壹拾柒万元整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2322</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2322</v>
      </c>
      <c r="B127" s="3017"/>
      <c r="C127" s="3017"/>
      <c r="D127" s="3117" t="e">
        <f>NUMBERSTRING(INT(D126*10000),2)&amp;"元整"</f>
        <v>#VALUE!</v>
      </c>
      <c r="E127" s="3118"/>
      <c r="F127" s="3118"/>
      <c r="G127" s="3118"/>
      <c r="H127" s="3118"/>
      <c r="I127" s="3119"/>
    </row>
    <row r="128" spans="1:11" ht="21.75" customHeight="1">
      <c r="A128" s="3127" t="s">
        <v>2323</v>
      </c>
      <c r="B128" s="3127"/>
      <c r="C128" s="3127"/>
      <c r="D128" s="3127"/>
      <c r="E128" s="3127"/>
      <c r="F128" s="3127"/>
      <c r="G128" s="3127"/>
      <c r="H128" s="3127"/>
      <c r="I128" s="3127"/>
    </row>
    <row r="129" spans="1:35" ht="21.75" customHeight="1">
      <c r="A129" s="2531" t="s">
        <v>2324</v>
      </c>
      <c r="B129" s="2532"/>
      <c r="C129" s="2533" t="s">
        <v>2325</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2326</v>
      </c>
      <c r="G135" s="2548"/>
      <c r="H135" s="2548"/>
      <c r="I135" s="2549" t="s">
        <v>2327</v>
      </c>
    </row>
    <row r="136" spans="1:35" ht="21.75" customHeight="1">
      <c r="A136" s="795"/>
      <c r="B136" s="2550"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2329</v>
      </c>
    </row>
    <row r="139" spans="1:35" ht="21.75" customHeight="1">
      <c r="A139" s="795"/>
      <c r="B139" s="2550" t="s">
        <v>2330</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2329</v>
      </c>
    </row>
    <row r="142" spans="1:35" ht="21.75" customHeight="1">
      <c r="A142" s="795"/>
      <c r="B142" s="2550"/>
      <c r="C142" s="2551"/>
      <c r="D142" s="2552"/>
      <c r="E142" s="2552"/>
      <c r="F142" s="2345"/>
      <c r="G142" s="795"/>
      <c r="H142" s="795"/>
      <c r="I142" s="795"/>
    </row>
    <row r="143" spans="1:35" s="139" customFormat="1" ht="21.75" customHeight="1">
      <c r="A143" s="795"/>
      <c r="B143" s="2550"/>
      <c r="C143" s="2551"/>
      <c r="D143" s="2552"/>
      <c r="E143" s="2552"/>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90" zoomScaleNormal="90" workbookViewId="0">
      <selection activeCell="H37" sqref="H3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2707</v>
      </c>
      <c r="C1" s="1623" t="s">
        <v>2535</v>
      </c>
      <c r="D1" s="1624" t="s">
        <v>3060</v>
      </c>
      <c r="E1" s="1633"/>
      <c r="F1" s="2590" t="s">
        <v>3127</v>
      </c>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f>IF(C2="——",ROUND(C43*D3/10000,0),ROUND(C43*D3/10000,0)-D2)</f>
        <v>0</v>
      </c>
      <c r="C2" s="2592" t="s">
        <v>70</v>
      </c>
      <c r="D2" s="1127" t="e">
        <f ca="1">SUMIF(INDIRECT("'"&amp;F2&amp;"'"&amp;"!A:A"),"承租人权益价值",INDIRECT("'"&amp;F2&amp;"'"&amp;"!c:c"))</f>
        <v>#REF!</v>
      </c>
      <c r="E2" s="2593" t="s">
        <v>2333</v>
      </c>
      <c r="F2" s="2594" t="s">
        <v>3071</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f>IF(C2="——",C43,ROUND(B2*10000/D3,0))</f>
        <v>3</v>
      </c>
      <c r="C3" s="400" t="s">
        <v>2649</v>
      </c>
      <c r="D3" s="399">
        <f>IF(D1="",'数据-汇总表'!E3,SUMIF('数据-汇总表'!$C19:$C33,D1,'数据-汇总表'!$E19:$E33))</f>
        <v>1307.9000000000001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2" t="s">
        <v>2651</v>
      </c>
      <c r="D4" s="3173"/>
      <c r="E4" s="3174" t="s">
        <v>2652</v>
      </c>
      <c r="F4" s="3175"/>
      <c r="G4" s="3172" t="s">
        <v>2653</v>
      </c>
      <c r="H4" s="3173"/>
      <c r="I4" s="3172" t="s">
        <v>2654</v>
      </c>
      <c r="J4" s="3173"/>
      <c r="K4" s="610" t="s">
        <v>2655</v>
      </c>
      <c r="L4" s="1133"/>
      <c r="M4" s="1134"/>
      <c r="N4" s="1134"/>
      <c r="O4" s="1134"/>
      <c r="P4" s="3176" t="s">
        <v>2656</v>
      </c>
      <c r="Q4" s="3177"/>
      <c r="R4" s="3182" t="s">
        <v>2652</v>
      </c>
      <c r="S4" s="3183"/>
      <c r="T4" s="3182" t="s">
        <v>2653</v>
      </c>
      <c r="U4" s="3183"/>
      <c r="V4" s="3188" t="s">
        <v>2654</v>
      </c>
      <c r="W4" s="3188"/>
      <c r="X4" s="1816"/>
      <c r="Y4" s="3182" t="s">
        <v>2656</v>
      </c>
      <c r="Z4" s="3183"/>
      <c r="AA4" s="3169" t="s">
        <v>2652</v>
      </c>
      <c r="AB4" s="3170" t="s">
        <v>2653</v>
      </c>
      <c r="AC4" s="3169" t="s">
        <v>2654</v>
      </c>
    </row>
    <row r="5" spans="1:29" ht="15.75" thickBot="1">
      <c r="A5" s="404"/>
      <c r="B5" s="405"/>
      <c r="C5" s="3191" t="s">
        <v>3129</v>
      </c>
      <c r="D5" s="3192"/>
      <c r="E5" s="3198" t="s">
        <v>3144</v>
      </c>
      <c r="F5" s="3199"/>
      <c r="G5" s="3191" t="s">
        <v>3145</v>
      </c>
      <c r="H5" s="3192"/>
      <c r="I5" s="3191" t="s">
        <v>3102</v>
      </c>
      <c r="J5" s="3192"/>
      <c r="K5" s="610"/>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2551</v>
      </c>
      <c r="D6" s="3190"/>
      <c r="E6" s="3196" t="s">
        <v>2551</v>
      </c>
      <c r="F6" s="3197"/>
      <c r="G6" s="3189" t="s">
        <v>2551</v>
      </c>
      <c r="H6" s="3190"/>
      <c r="I6" s="3189" t="s">
        <v>2551</v>
      </c>
      <c r="J6" s="3190"/>
      <c r="K6" s="610" t="s">
        <v>2552</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2553</v>
      </c>
      <c r="B7" s="409"/>
      <c r="C7" s="410">
        <f>'数据-取费表'!B2</f>
        <v>43220</v>
      </c>
      <c r="D7" s="411">
        <v>100</v>
      </c>
      <c r="E7" s="412">
        <v>43220</v>
      </c>
      <c r="F7" s="413">
        <f>SUMIF(52:52,YEAR(E7)&amp;"-"&amp;MONTH(E7),53:53)</f>
        <v>100</v>
      </c>
      <c r="G7" s="412">
        <v>43220</v>
      </c>
      <c r="H7" s="411">
        <f>SUMIF(52:52,YEAR(G7)&amp;"-"&amp;MONTH(G7),53:53)</f>
        <v>100</v>
      </c>
      <c r="I7" s="412">
        <v>43220</v>
      </c>
      <c r="J7" s="411">
        <f>SUMIF(52:52,YEAR(I7)&amp;"-"&amp;MONTH(I7),53:53)</f>
        <v>100</v>
      </c>
      <c r="K7" s="611"/>
      <c r="L7" s="1135"/>
      <c r="M7" s="1136"/>
      <c r="N7" s="1136"/>
      <c r="O7" s="1136"/>
      <c r="P7" s="3193" t="s">
        <v>2554</v>
      </c>
      <c r="Q7" s="3195"/>
      <c r="R7" s="770" t="s">
        <v>17</v>
      </c>
      <c r="S7" s="771">
        <f t="shared" ref="S7:S15" si="0">F7</f>
        <v>100</v>
      </c>
      <c r="T7" s="770" t="s">
        <v>17</v>
      </c>
      <c r="U7" s="771">
        <f t="shared" ref="U7:U15" si="1">H7</f>
        <v>100</v>
      </c>
      <c r="V7" s="770" t="s">
        <v>17</v>
      </c>
      <c r="W7" s="771">
        <f t="shared" ref="W7:W15" si="2">J7</f>
        <v>100</v>
      </c>
      <c r="X7" s="772"/>
      <c r="Y7" s="3193" t="s">
        <v>2554</v>
      </c>
      <c r="Z7" s="3194"/>
      <c r="AA7" s="773">
        <f>D7/F7</f>
        <v>1</v>
      </c>
      <c r="AB7" s="773">
        <f>D7/H7</f>
        <v>1</v>
      </c>
      <c r="AC7" s="773">
        <f>D7/J7</f>
        <v>1</v>
      </c>
    </row>
    <row r="8" spans="1:29" s="117" customFormat="1" ht="15.75" thickBot="1">
      <c r="A8" s="408" t="s">
        <v>2555</v>
      </c>
      <c r="B8" s="409"/>
      <c r="C8" s="414" t="s">
        <v>2556</v>
      </c>
      <c r="D8" s="411">
        <v>100</v>
      </c>
      <c r="E8" s="414" t="s">
        <v>3103</v>
      </c>
      <c r="F8" s="413">
        <f>SUMIF(55:55,E8,56:56)-SUMIF(55:55,C8,56:56)+100</f>
        <v>100</v>
      </c>
      <c r="G8" s="414" t="s">
        <v>3103</v>
      </c>
      <c r="H8" s="411">
        <f>SUMIF(55:55,G8,56:56)-SUMIF(55:55,C8,56:56)+100</f>
        <v>100</v>
      </c>
      <c r="I8" s="414" t="s">
        <v>3103</v>
      </c>
      <c r="J8" s="411">
        <f>SUMIF(55:55,I8,56:56)-SUMIF(55:55,C8,56:56)+100</f>
        <v>100</v>
      </c>
      <c r="K8" s="611"/>
      <c r="L8" s="1135"/>
      <c r="M8" s="1136"/>
      <c r="N8" s="1136"/>
      <c r="O8" s="1136"/>
      <c r="P8" s="3193" t="s">
        <v>2557</v>
      </c>
      <c r="Q8" s="3194"/>
      <c r="R8" s="770" t="s">
        <v>17</v>
      </c>
      <c r="S8" s="771">
        <f t="shared" si="0"/>
        <v>100</v>
      </c>
      <c r="T8" s="770" t="s">
        <v>17</v>
      </c>
      <c r="U8" s="771">
        <f t="shared" si="1"/>
        <v>100</v>
      </c>
      <c r="V8" s="770" t="s">
        <v>17</v>
      </c>
      <c r="W8" s="771">
        <f t="shared" si="2"/>
        <v>100</v>
      </c>
      <c r="X8" s="772"/>
      <c r="Y8" s="3193" t="s">
        <v>2557</v>
      </c>
      <c r="Z8" s="3194"/>
      <c r="AA8" s="773">
        <f t="shared" ref="AA8:AA40" si="3">D8/F8</f>
        <v>1</v>
      </c>
      <c r="AB8" s="773">
        <f t="shared" ref="AB8:AB40" si="4">D8/H8</f>
        <v>1</v>
      </c>
      <c r="AC8" s="773">
        <f t="shared" ref="AC8:AC40" si="5">D8/J8</f>
        <v>1</v>
      </c>
    </row>
    <row r="9" spans="1:29" s="117" customFormat="1">
      <c r="A9" s="415" t="s">
        <v>2558</v>
      </c>
      <c r="B9" s="71" t="s">
        <v>2559</v>
      </c>
      <c r="C9" s="2961" t="s">
        <v>3149</v>
      </c>
      <c r="D9" s="135">
        <v>100</v>
      </c>
      <c r="E9" s="2965" t="s">
        <v>3150</v>
      </c>
      <c r="F9" s="135">
        <f>SUMIF(57:57,E9,58:58)-SUMIF(57:57,C9,58:58)+100</f>
        <v>120</v>
      </c>
      <c r="G9" s="2966" t="s">
        <v>3150</v>
      </c>
      <c r="H9" s="135">
        <f>SUMIF(57:57,G9,58:58)-SUMIF(57:57,C9,58:58)+100</f>
        <v>120</v>
      </c>
      <c r="I9" s="2966" t="s">
        <v>3150</v>
      </c>
      <c r="J9" s="135">
        <f>SUMIF(57:57,I9,58:58)-SUMIF(57:57,C9,58:58)+100</f>
        <v>120</v>
      </c>
      <c r="K9" s="611"/>
      <c r="L9" s="1135"/>
      <c r="M9" s="1136"/>
      <c r="N9" s="1136"/>
      <c r="O9" s="1137"/>
      <c r="P9" s="3159" t="s">
        <v>2560</v>
      </c>
      <c r="Q9" s="1798" t="str">
        <f t="shared" ref="Q9:Q15" si="6">B9</f>
        <v>用途</v>
      </c>
      <c r="R9" s="770" t="s">
        <v>17</v>
      </c>
      <c r="S9" s="771">
        <f t="shared" si="0"/>
        <v>120</v>
      </c>
      <c r="T9" s="770" t="s">
        <v>17</v>
      </c>
      <c r="U9" s="771">
        <f t="shared" si="1"/>
        <v>120</v>
      </c>
      <c r="V9" s="770" t="s">
        <v>17</v>
      </c>
      <c r="W9" s="771">
        <f t="shared" si="2"/>
        <v>120</v>
      </c>
      <c r="X9" s="772"/>
      <c r="Y9" s="3017" t="s">
        <v>2561</v>
      </c>
      <c r="Z9" s="55" t="str">
        <f t="shared" ref="Z9:Z15" si="7">Q9</f>
        <v>用途</v>
      </c>
      <c r="AA9" s="773">
        <f t="shared" si="3"/>
        <v>0.83333333333333337</v>
      </c>
      <c r="AB9" s="773">
        <f t="shared" si="4"/>
        <v>0.83333333333333337</v>
      </c>
      <c r="AC9" s="773">
        <f t="shared" si="5"/>
        <v>0.83333333333333337</v>
      </c>
    </row>
    <row r="10" spans="1:29" s="427" customFormat="1" ht="27.75" thickBot="1">
      <c r="A10" s="421"/>
      <c r="B10" s="422" t="s">
        <v>2562</v>
      </c>
      <c r="C10" s="423" t="s">
        <v>3143</v>
      </c>
      <c r="D10" s="136">
        <v>100</v>
      </c>
      <c r="E10" s="423" t="s">
        <v>3143</v>
      </c>
      <c r="F10" s="136">
        <f>SUMIF(59:59,E10,60:60)-SUMIF(59:59,C10,60:60)+100</f>
        <v>100</v>
      </c>
      <c r="G10" s="424" t="s">
        <v>3143</v>
      </c>
      <c r="H10" s="136">
        <f>SUMIF(59:59,G10,60:60)-SUMIF(59:59,C10,60:60)+100</f>
        <v>100</v>
      </c>
      <c r="I10" s="423" t="s">
        <v>3143</v>
      </c>
      <c r="J10" s="136">
        <f>SUMIF(59:59,I10,60:60)-SUMIF(59:59,C10,60:60)+100</f>
        <v>100</v>
      </c>
      <c r="K10" s="612">
        <v>1</v>
      </c>
      <c r="L10" s="1138"/>
      <c r="M10" s="1139"/>
      <c r="N10" s="1139"/>
      <c r="O10" s="1140"/>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hidden="1">
      <c r="A11" s="428"/>
      <c r="B11" s="422" t="s">
        <v>2563</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v>1</v>
      </c>
      <c r="L11" s="1141"/>
      <c r="M11" s="1134"/>
      <c r="N11" s="1134"/>
      <c r="O11" s="1142"/>
      <c r="P11" s="3159"/>
      <c r="Q11" s="1798"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773">
        <f t="shared" si="5"/>
        <v>1</v>
      </c>
    </row>
    <row r="12" spans="1:29" s="117" customFormat="1" ht="15" hidden="1">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hidden="1">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hidden="1"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2564</v>
      </c>
      <c r="B15" s="69" t="s">
        <v>2708</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164" t="s">
        <v>2565</v>
      </c>
      <c r="Q15" s="1813" t="str">
        <f t="shared" si="6"/>
        <v>产业集聚程度</v>
      </c>
      <c r="R15" s="774" t="s">
        <v>17</v>
      </c>
      <c r="S15" s="775">
        <f t="shared" si="0"/>
        <v>100</v>
      </c>
      <c r="T15" s="774" t="s">
        <v>17</v>
      </c>
      <c r="U15" s="775">
        <f t="shared" si="1"/>
        <v>100</v>
      </c>
      <c r="V15" s="774" t="s">
        <v>17</v>
      </c>
      <c r="W15" s="775">
        <f t="shared" si="2"/>
        <v>100</v>
      </c>
      <c r="X15" s="1816"/>
      <c r="Y15" s="3164" t="s">
        <v>2565</v>
      </c>
      <c r="Z15" s="1817" t="str">
        <f t="shared" si="7"/>
        <v>产业集聚程度</v>
      </c>
      <c r="AA15" s="1814">
        <f t="shared" si="3"/>
        <v>1</v>
      </c>
      <c r="AB15" s="1814">
        <f t="shared" si="4"/>
        <v>1</v>
      </c>
      <c r="AC15" s="1814">
        <f t="shared" si="5"/>
        <v>1</v>
      </c>
    </row>
    <row r="16" spans="1:29" ht="15">
      <c r="A16" s="428"/>
      <c r="B16" s="446"/>
      <c r="C16" s="447" t="s">
        <v>3117</v>
      </c>
      <c r="D16" s="448"/>
      <c r="E16" s="447" t="s">
        <v>3117</v>
      </c>
      <c r="F16" s="449"/>
      <c r="G16" s="447" t="s">
        <v>3117</v>
      </c>
      <c r="H16" s="450"/>
      <c r="I16" s="447" t="s">
        <v>3117</v>
      </c>
      <c r="J16" s="448"/>
      <c r="K16" s="615"/>
      <c r="L16" s="1143"/>
      <c r="M16" s="1134"/>
      <c r="N16" s="1134"/>
      <c r="O16" s="1142"/>
      <c r="P16" s="3165"/>
      <c r="Q16" s="1813"/>
      <c r="R16" s="774"/>
      <c r="S16" s="775"/>
      <c r="T16" s="774"/>
      <c r="U16" s="775"/>
      <c r="V16" s="774"/>
      <c r="W16" s="775"/>
      <c r="X16" s="1816"/>
      <c r="Y16" s="3165"/>
      <c r="Z16" s="1817"/>
      <c r="AA16" s="1814">
        <v>1</v>
      </c>
      <c r="AB16" s="1814">
        <v>1</v>
      </c>
      <c r="AC16" s="1814">
        <v>1</v>
      </c>
    </row>
    <row r="17" spans="1:29" ht="85.5">
      <c r="A17" s="428"/>
      <c r="B17" s="451" t="s">
        <v>2100</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14" t="s">
        <v>3119</v>
      </c>
      <c r="D18" s="450"/>
      <c r="E18" s="2616" t="s">
        <v>3119</v>
      </c>
      <c r="F18" s="453"/>
      <c r="G18" s="2615" t="s">
        <v>3119</v>
      </c>
      <c r="H18" s="448"/>
      <c r="I18" s="2616" t="s">
        <v>3119</v>
      </c>
      <c r="J18" s="448"/>
      <c r="K18" s="615"/>
      <c r="L18" s="1143"/>
      <c r="M18" s="1134"/>
      <c r="N18" s="1134"/>
      <c r="O18" s="1142"/>
      <c r="P18" s="3165"/>
      <c r="Q18" s="1813"/>
      <c r="R18" s="774"/>
      <c r="S18" s="775"/>
      <c r="T18" s="774"/>
      <c r="U18" s="775"/>
      <c r="V18" s="774"/>
      <c r="W18" s="775"/>
      <c r="X18" s="1816"/>
      <c r="Y18" s="3165"/>
      <c r="Z18" s="1817"/>
      <c r="AA18" s="1814">
        <v>1</v>
      </c>
      <c r="AB18" s="1814">
        <v>1</v>
      </c>
      <c r="AC18" s="1814">
        <v>1</v>
      </c>
    </row>
    <row r="19" spans="1:29" ht="42.75">
      <c r="A19" s="428"/>
      <c r="B19" s="451" t="s">
        <v>2693</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165"/>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t="s">
        <v>3118</v>
      </c>
      <c r="D20" s="448"/>
      <c r="E20" s="2611" t="s">
        <v>3118</v>
      </c>
      <c r="F20" s="449"/>
      <c r="G20" s="2610" t="s">
        <v>3118</v>
      </c>
      <c r="H20" s="448"/>
      <c r="I20" s="2611" t="s">
        <v>3118</v>
      </c>
      <c r="J20" s="448"/>
      <c r="K20" s="615"/>
      <c r="L20" s="1143"/>
      <c r="M20" s="1134"/>
      <c r="N20" s="1134"/>
      <c r="O20" s="1142"/>
      <c r="P20" s="3165"/>
      <c r="Q20" s="1813"/>
      <c r="R20" s="774"/>
      <c r="S20" s="775"/>
      <c r="T20" s="774"/>
      <c r="U20" s="775"/>
      <c r="V20" s="774"/>
      <c r="W20" s="775"/>
      <c r="X20" s="1816"/>
      <c r="Y20" s="3165"/>
      <c r="Z20" s="1817"/>
      <c r="AA20" s="1814">
        <v>1</v>
      </c>
      <c r="AB20" s="1814">
        <v>1</v>
      </c>
      <c r="AC20" s="1814">
        <v>1</v>
      </c>
    </row>
    <row r="21" spans="1:29" ht="28.5">
      <c r="A21" s="428"/>
      <c r="B21" s="1387" t="s">
        <v>2694</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165"/>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4" t="s">
        <v>3130</v>
      </c>
      <c r="D22" s="448"/>
      <c r="E22" s="447" t="s">
        <v>3130</v>
      </c>
      <c r="F22" s="449"/>
      <c r="G22" s="447" t="s">
        <v>3130</v>
      </c>
      <c r="H22" s="448"/>
      <c r="I22" s="447" t="s">
        <v>3130</v>
      </c>
      <c r="J22" s="448"/>
      <c r="K22" s="1386"/>
      <c r="L22" s="1143"/>
      <c r="M22" s="1134"/>
      <c r="N22" s="1134"/>
      <c r="O22" s="1142"/>
      <c r="P22" s="3165"/>
      <c r="Q22" s="1813"/>
      <c r="R22" s="774"/>
      <c r="S22" s="775"/>
      <c r="T22" s="774"/>
      <c r="U22" s="775"/>
      <c r="V22" s="774"/>
      <c r="W22" s="775"/>
      <c r="X22" s="1816"/>
      <c r="Y22" s="3165"/>
      <c r="Z22" s="1817"/>
      <c r="AA22" s="1814">
        <v>1</v>
      </c>
      <c r="AB22" s="1814">
        <v>1</v>
      </c>
      <c r="AC22" s="1814">
        <v>1</v>
      </c>
    </row>
    <row r="23" spans="1:29" ht="71.25">
      <c r="A23" s="428"/>
      <c r="B23" s="451" t="s">
        <v>2695</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5"/>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1814">
        <f t="shared" si="5"/>
        <v>1</v>
      </c>
    </row>
    <row r="24" spans="1:29" ht="15.75" thickBot="1">
      <c r="A24" s="428"/>
      <c r="B24" s="1387"/>
      <c r="C24" s="447" t="s">
        <v>3118</v>
      </c>
      <c r="D24" s="448"/>
      <c r="E24" s="2611" t="s">
        <v>3118</v>
      </c>
      <c r="F24" s="449"/>
      <c r="G24" s="2610" t="s">
        <v>3118</v>
      </c>
      <c r="H24" s="448"/>
      <c r="I24" s="2611" t="s">
        <v>3118</v>
      </c>
      <c r="J24" s="448"/>
      <c r="K24" s="615"/>
      <c r="L24" s="1143"/>
      <c r="M24" s="1134"/>
      <c r="N24" s="1134"/>
      <c r="O24" s="1142"/>
      <c r="P24" s="3165"/>
      <c r="Q24" s="1813"/>
      <c r="R24" s="774"/>
      <c r="S24" s="775"/>
      <c r="T24" s="774"/>
      <c r="U24" s="775"/>
      <c r="V24" s="774"/>
      <c r="W24" s="775"/>
      <c r="X24" s="1816"/>
      <c r="Y24" s="3165"/>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5"/>
      <c r="Q25" s="1813">
        <f>B25</f>
        <v>111</v>
      </c>
      <c r="R25" s="774" t="s">
        <v>17</v>
      </c>
      <c r="S25" s="775">
        <f>F25</f>
        <v>100</v>
      </c>
      <c r="T25" s="774" t="s">
        <v>17</v>
      </c>
      <c r="U25" s="775">
        <f>H25</f>
        <v>100</v>
      </c>
      <c r="V25" s="774" t="s">
        <v>17</v>
      </c>
      <c r="W25" s="775">
        <f>J25</f>
        <v>100</v>
      </c>
      <c r="X25" s="1816"/>
      <c r="Y25" s="3165"/>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5"/>
      <c r="Q26" s="1813">
        <f t="shared" ref="Q26:Q40" si="11">B26</f>
        <v>111</v>
      </c>
      <c r="R26" s="774" t="s">
        <v>17</v>
      </c>
      <c r="S26" s="775">
        <f>F26</f>
        <v>100</v>
      </c>
      <c r="T26" s="774" t="s">
        <v>17</v>
      </c>
      <c r="U26" s="775">
        <f>H26</f>
        <v>100</v>
      </c>
      <c r="V26" s="774" t="s">
        <v>17</v>
      </c>
      <c r="W26" s="775">
        <f>J26</f>
        <v>100</v>
      </c>
      <c r="X26" s="1816"/>
      <c r="Y26" s="3165"/>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5"/>
      <c r="Q27" s="1798">
        <f t="shared" si="11"/>
        <v>111</v>
      </c>
      <c r="R27" s="770" t="s">
        <v>17</v>
      </c>
      <c r="S27" s="771">
        <f>F27</f>
        <v>100</v>
      </c>
      <c r="T27" s="770" t="s">
        <v>17</v>
      </c>
      <c r="U27" s="771">
        <f>H27</f>
        <v>100</v>
      </c>
      <c r="V27" s="770" t="s">
        <v>17</v>
      </c>
      <c r="W27" s="771">
        <f>J27</f>
        <v>100</v>
      </c>
      <c r="X27" s="772"/>
      <c r="Y27" s="3165"/>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5"/>
      <c r="Q28" s="1813">
        <f t="shared" si="11"/>
        <v>111</v>
      </c>
      <c r="R28" s="774" t="s">
        <v>17</v>
      </c>
      <c r="S28" s="775">
        <f t="shared" ref="S28:S40" si="12">F28</f>
        <v>100</v>
      </c>
      <c r="T28" s="774" t="s">
        <v>17</v>
      </c>
      <c r="U28" s="775">
        <f t="shared" ref="U28:U40" si="13">H28</f>
        <v>100</v>
      </c>
      <c r="V28" s="774" t="s">
        <v>17</v>
      </c>
      <c r="W28" s="775">
        <f t="shared" ref="W28:W40" si="14">J28</f>
        <v>100</v>
      </c>
      <c r="X28" s="1816"/>
      <c r="Y28" s="3165"/>
      <c r="Z28" s="1817">
        <f t="shared" ref="Z28:Z40" si="15">Q28</f>
        <v>111</v>
      </c>
      <c r="AA28" s="1814">
        <f t="shared" si="3"/>
        <v>1</v>
      </c>
      <c r="AB28" s="1814">
        <f t="shared" si="4"/>
        <v>1</v>
      </c>
      <c r="AC28" s="1814">
        <f t="shared" si="5"/>
        <v>1</v>
      </c>
    </row>
    <row r="29" spans="1:29" ht="15">
      <c r="A29" s="466" t="s">
        <v>2568</v>
      </c>
      <c r="B29" s="71" t="s">
        <v>2698</v>
      </c>
      <c r="C29" s="2685" t="s">
        <v>3134</v>
      </c>
      <c r="D29" s="467">
        <v>100</v>
      </c>
      <c r="E29" s="2685" t="s">
        <v>3134</v>
      </c>
      <c r="F29" s="461">
        <f>SUMIF(88:88,E29,89:89)-SUMIF(88:88,C29,89:89)+100</f>
        <v>100</v>
      </c>
      <c r="G29" s="2685" t="s">
        <v>3134</v>
      </c>
      <c r="H29" s="435">
        <f>SUMIF(88:88,G29,89:89)-SUMIF(88:88,C29,89:89)+100</f>
        <v>100</v>
      </c>
      <c r="I29" s="2685" t="s">
        <v>3134</v>
      </c>
      <c r="J29" s="467">
        <f>SUMIF(88:88,I29,89:89)-SUMIF(88:88,C29,89:89)+100</f>
        <v>100</v>
      </c>
      <c r="K29" s="612"/>
      <c r="L29" s="1143"/>
      <c r="M29" s="1134"/>
      <c r="N29" s="1134"/>
      <c r="O29" s="1142"/>
      <c r="P29" s="3166" t="s">
        <v>2570</v>
      </c>
      <c r="Q29" s="1813" t="str">
        <f t="shared" si="11"/>
        <v>建筑类型</v>
      </c>
      <c r="R29" s="774" t="s">
        <v>17</v>
      </c>
      <c r="S29" s="775">
        <f t="shared" si="12"/>
        <v>100</v>
      </c>
      <c r="T29" s="774" t="s">
        <v>17</v>
      </c>
      <c r="U29" s="775">
        <f t="shared" si="13"/>
        <v>100</v>
      </c>
      <c r="V29" s="774" t="s">
        <v>17</v>
      </c>
      <c r="W29" s="775">
        <f t="shared" si="14"/>
        <v>100</v>
      </c>
      <c r="X29" s="1816"/>
      <c r="Y29" s="3167" t="s">
        <v>2570</v>
      </c>
      <c r="Z29" s="1817" t="str">
        <f t="shared" si="15"/>
        <v>建筑类型</v>
      </c>
      <c r="AA29" s="1814">
        <f t="shared" si="3"/>
        <v>1</v>
      </c>
      <c r="AB29" s="1814">
        <f t="shared" si="4"/>
        <v>1</v>
      </c>
      <c r="AC29" s="1814">
        <f t="shared" si="5"/>
        <v>1</v>
      </c>
    </row>
    <row r="30" spans="1:29" s="471" customFormat="1" ht="15">
      <c r="A30" s="468"/>
      <c r="B30" s="422" t="s">
        <v>2571</v>
      </c>
      <c r="C30" s="469">
        <f>'数据-汇总表'!E3</f>
        <v>1307.9000000000001</v>
      </c>
      <c r="D30" s="136">
        <v>100</v>
      </c>
      <c r="E30" s="430">
        <v>30</v>
      </c>
      <c r="F30" s="425">
        <f>LOOKUP(E30,91:91,92:92)-LOOKUP(C30,91:91,92:92)+100</f>
        <v>94</v>
      </c>
      <c r="G30" s="429">
        <v>519</v>
      </c>
      <c r="H30" s="136">
        <f>LOOKUP(G30,91:91,92:92)-LOOKUP(C30,91:91,92:92)+100</f>
        <v>96</v>
      </c>
      <c r="I30" s="429">
        <v>410.9</v>
      </c>
      <c r="J30" s="136">
        <f>LOOKUP(I30,91:91,92:92)-LOOKUP(C30,91:91,92:92)+100</f>
        <v>96</v>
      </c>
      <c r="K30" s="613"/>
      <c r="L30" s="1141"/>
      <c r="M30" s="1144"/>
      <c r="N30" s="1144"/>
      <c r="O30" s="1145"/>
      <c r="P30" s="3167"/>
      <c r="Q30" s="776" t="str">
        <f t="shared" si="11"/>
        <v>项目建筑规模</v>
      </c>
      <c r="R30" s="777" t="s">
        <v>17</v>
      </c>
      <c r="S30" s="778">
        <f t="shared" si="12"/>
        <v>94</v>
      </c>
      <c r="T30" s="777" t="s">
        <v>17</v>
      </c>
      <c r="U30" s="778">
        <f t="shared" si="13"/>
        <v>96</v>
      </c>
      <c r="V30" s="777" t="s">
        <v>17</v>
      </c>
      <c r="W30" s="778">
        <f t="shared" si="14"/>
        <v>96</v>
      </c>
      <c r="X30" s="779"/>
      <c r="Y30" s="3167"/>
      <c r="Z30" s="780" t="str">
        <f t="shared" si="15"/>
        <v>项目建筑规模</v>
      </c>
      <c r="AA30" s="1814">
        <f t="shared" si="3"/>
        <v>1.0638297872340425</v>
      </c>
      <c r="AB30" s="1814">
        <f t="shared" si="4"/>
        <v>1.0416666666666667</v>
      </c>
      <c r="AC30" s="1814">
        <f t="shared" si="5"/>
        <v>1.0416666666666667</v>
      </c>
    </row>
    <row r="31" spans="1:29" ht="15">
      <c r="A31" s="472"/>
      <c r="B31" s="422" t="s">
        <v>2572</v>
      </c>
      <c r="C31" s="460" t="s">
        <v>3136</v>
      </c>
      <c r="D31" s="435">
        <v>100</v>
      </c>
      <c r="E31" s="460" t="s">
        <v>3136</v>
      </c>
      <c r="F31" s="461">
        <f>SUMIF(93:93,E31,94:94)-SUMIF(93:93,C31,94:94)+100</f>
        <v>100</v>
      </c>
      <c r="G31" s="460" t="s">
        <v>3136</v>
      </c>
      <c r="H31" s="435">
        <f>SUMIF(93:93,G31,94:94)-SUMIF(93:93,C31,94:94)+100</f>
        <v>100</v>
      </c>
      <c r="I31" s="460" t="s">
        <v>3136</v>
      </c>
      <c r="J31" s="435">
        <f>SUMIF(93:93,I31,94:94)-SUMIF(93:93,C31,94:94)+100</f>
        <v>100</v>
      </c>
      <c r="K31" s="612"/>
      <c r="L31" s="1143"/>
      <c r="M31" s="1134"/>
      <c r="N31" s="1134"/>
      <c r="O31" s="1142"/>
      <c r="P31" s="3167"/>
      <c r="Q31" s="1813" t="str">
        <f t="shared" si="11"/>
        <v>建筑结构</v>
      </c>
      <c r="R31" s="774" t="s">
        <v>17</v>
      </c>
      <c r="S31" s="775">
        <f t="shared" si="12"/>
        <v>100</v>
      </c>
      <c r="T31" s="774" t="s">
        <v>17</v>
      </c>
      <c r="U31" s="775">
        <f t="shared" si="13"/>
        <v>100</v>
      </c>
      <c r="V31" s="774" t="s">
        <v>17</v>
      </c>
      <c r="W31" s="775">
        <f t="shared" si="14"/>
        <v>100</v>
      </c>
      <c r="X31" s="1816"/>
      <c r="Y31" s="3167"/>
      <c r="Z31" s="1817" t="str">
        <f t="shared" si="15"/>
        <v>建筑结构</v>
      </c>
      <c r="AA31" s="1814">
        <f t="shared" si="3"/>
        <v>1</v>
      </c>
      <c r="AB31" s="1814">
        <f t="shared" si="4"/>
        <v>1</v>
      </c>
      <c r="AC31" s="1814">
        <f t="shared" si="5"/>
        <v>1</v>
      </c>
    </row>
    <row r="32" spans="1:29" ht="15" hidden="1">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3" t="str">
        <f t="shared" si="11"/>
        <v>公共部分装修</v>
      </c>
      <c r="R32" s="774" t="s">
        <v>17</v>
      </c>
      <c r="S32" s="775">
        <f t="shared" si="12"/>
        <v>100</v>
      </c>
      <c r="T32" s="774" t="s">
        <v>17</v>
      </c>
      <c r="U32" s="775">
        <f t="shared" si="13"/>
        <v>100</v>
      </c>
      <c r="V32" s="774" t="s">
        <v>17</v>
      </c>
      <c r="W32" s="775">
        <f t="shared" si="14"/>
        <v>100</v>
      </c>
      <c r="X32" s="1816"/>
      <c r="Y32" s="3167"/>
      <c r="Z32" s="1817" t="str">
        <f t="shared" si="15"/>
        <v>公共部分装修</v>
      </c>
      <c r="AA32" s="1814">
        <f t="shared" si="3"/>
        <v>1</v>
      </c>
      <c r="AB32" s="1814">
        <f t="shared" si="4"/>
        <v>1</v>
      </c>
      <c r="AC32" s="1814">
        <f t="shared" si="5"/>
        <v>1</v>
      </c>
    </row>
    <row r="33" spans="1:29" ht="15">
      <c r="A33" s="472"/>
      <c r="B33" s="422" t="s">
        <v>2667</v>
      </c>
      <c r="C33" s="474">
        <v>0.6</v>
      </c>
      <c r="D33" s="435">
        <v>100</v>
      </c>
      <c r="E33" s="474">
        <v>0.6</v>
      </c>
      <c r="F33" s="461">
        <f>LOOKUP(E33,98:98,99:99)-LOOKUP(C33,98:98,99:99)+100</f>
        <v>100</v>
      </c>
      <c r="G33" s="474">
        <v>0.6</v>
      </c>
      <c r="H33" s="461">
        <f>LOOKUP(G33,98:98,99:99)-LOOKUP(C33,98:98,99:99)+100</f>
        <v>100</v>
      </c>
      <c r="I33" s="474">
        <v>0.6</v>
      </c>
      <c r="J33" s="435">
        <f>LOOKUP(I33,98:98,99:99)-LOOKUP(C33,98:98,99:99)+100</f>
        <v>100</v>
      </c>
      <c r="K33" s="612"/>
      <c r="L33" s="1143"/>
      <c r="M33" s="1134"/>
      <c r="N33" s="1134"/>
      <c r="O33" s="1142"/>
      <c r="P33" s="3167"/>
      <c r="Q33" s="1813" t="str">
        <f t="shared" si="11"/>
        <v>成新度</v>
      </c>
      <c r="R33" s="774" t="s">
        <v>17</v>
      </c>
      <c r="S33" s="775">
        <f t="shared" si="12"/>
        <v>100</v>
      </c>
      <c r="T33" s="774" t="s">
        <v>17</v>
      </c>
      <c r="U33" s="775">
        <f t="shared" si="13"/>
        <v>100</v>
      </c>
      <c r="V33" s="774" t="s">
        <v>17</v>
      </c>
      <c r="W33" s="775">
        <f t="shared" si="14"/>
        <v>100</v>
      </c>
      <c r="X33" s="1816"/>
      <c r="Y33" s="3167"/>
      <c r="Z33" s="1817" t="str">
        <f t="shared" si="15"/>
        <v>成新度</v>
      </c>
      <c r="AA33" s="1814">
        <f t="shared" si="3"/>
        <v>1</v>
      </c>
      <c r="AB33" s="1814">
        <f t="shared" si="4"/>
        <v>1</v>
      </c>
      <c r="AC33" s="1814">
        <f t="shared" si="5"/>
        <v>1</v>
      </c>
    </row>
    <row r="34" spans="1:29" s="117" customFormat="1" ht="15" hidden="1">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8"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2668</v>
      </c>
      <c r="C35" s="460" t="s">
        <v>3139</v>
      </c>
      <c r="D35" s="435">
        <v>100</v>
      </c>
      <c r="E35" s="460" t="s">
        <v>3139</v>
      </c>
      <c r="F35" s="461">
        <f>SUMIF(102:102,E35,103:103)-SUMIF(102:102,C35,103:103)+100</f>
        <v>100</v>
      </c>
      <c r="G35" s="460" t="s">
        <v>3139</v>
      </c>
      <c r="H35" s="435">
        <f>SUMIF(102:102,G35,103:103)-SUMIF(102:102,C35,103:103)+100</f>
        <v>100</v>
      </c>
      <c r="I35" s="460" t="s">
        <v>3139</v>
      </c>
      <c r="J35" s="435">
        <f>SUMIF(102:102,I35,103:103)-SUMIF(102:102,C35,103:103)+100</f>
        <v>100</v>
      </c>
      <c r="K35" s="612"/>
      <c r="L35" s="1143"/>
      <c r="M35" s="1134"/>
      <c r="N35" s="1134"/>
      <c r="O35" s="1142"/>
      <c r="P35" s="3167" t="s">
        <v>2570</v>
      </c>
      <c r="Q35" s="1813" t="str">
        <f t="shared" si="11"/>
        <v>市政基础设施</v>
      </c>
      <c r="R35" s="774" t="s">
        <v>17</v>
      </c>
      <c r="S35" s="775">
        <f t="shared" si="12"/>
        <v>100</v>
      </c>
      <c r="T35" s="774" t="s">
        <v>17</v>
      </c>
      <c r="U35" s="775">
        <f t="shared" si="13"/>
        <v>100</v>
      </c>
      <c r="V35" s="774" t="s">
        <v>17</v>
      </c>
      <c r="W35" s="775">
        <f t="shared" si="14"/>
        <v>100</v>
      </c>
      <c r="X35" s="1816"/>
      <c r="Y35" s="3167" t="s">
        <v>2570</v>
      </c>
      <c r="Z35" s="1817" t="str">
        <f t="shared" si="15"/>
        <v>市政基础设施</v>
      </c>
      <c r="AA35" s="1814">
        <f t="shared" si="3"/>
        <v>1</v>
      </c>
      <c r="AB35" s="1814">
        <f t="shared" si="4"/>
        <v>1</v>
      </c>
      <c r="AC35" s="1814">
        <f t="shared" si="5"/>
        <v>1</v>
      </c>
    </row>
    <row r="36" spans="1:29" ht="15">
      <c r="A36" s="472"/>
      <c r="B36" s="422" t="s">
        <v>2673</v>
      </c>
      <c r="C36" s="460" t="s">
        <v>3140</v>
      </c>
      <c r="D36" s="435">
        <v>100</v>
      </c>
      <c r="E36" s="460" t="s">
        <v>3140</v>
      </c>
      <c r="F36" s="461">
        <f>SUMIF(104:104,E36,105:105)-SUMIF(104:104,C36,105:105)+100</f>
        <v>100</v>
      </c>
      <c r="G36" s="460" t="s">
        <v>3140</v>
      </c>
      <c r="H36" s="435">
        <f>SUMIF(104:104,G36,105:105)-SUMIF(104:104,C36,105:105)+100</f>
        <v>100</v>
      </c>
      <c r="I36" s="460" t="s">
        <v>3140</v>
      </c>
      <c r="J36" s="435">
        <f>SUMIF(104:104,I36,105:105)-SUMIF(104:104,C36,105:105)+100</f>
        <v>100</v>
      </c>
      <c r="K36" s="612"/>
      <c r="L36" s="1143"/>
      <c r="M36" s="1134"/>
      <c r="N36" s="1134"/>
      <c r="O36" s="1142"/>
      <c r="P36" s="3167"/>
      <c r="Q36" s="1813" t="str">
        <f t="shared" si="11"/>
        <v>内部装修</v>
      </c>
      <c r="R36" s="774" t="s">
        <v>17</v>
      </c>
      <c r="S36" s="775">
        <f t="shared" si="12"/>
        <v>100</v>
      </c>
      <c r="T36" s="774" t="s">
        <v>17</v>
      </c>
      <c r="U36" s="775">
        <f t="shared" si="13"/>
        <v>100</v>
      </c>
      <c r="V36" s="774" t="s">
        <v>17</v>
      </c>
      <c r="W36" s="775">
        <f t="shared" si="14"/>
        <v>100</v>
      </c>
      <c r="X36" s="1816"/>
      <c r="Y36" s="3167"/>
      <c r="Z36" s="1817" t="str">
        <f t="shared" si="15"/>
        <v>内部装修</v>
      </c>
      <c r="AA36" s="1814">
        <f t="shared" si="3"/>
        <v>1</v>
      </c>
      <c r="AB36" s="1814">
        <f t="shared" si="4"/>
        <v>1</v>
      </c>
      <c r="AC36" s="1814">
        <f t="shared" si="5"/>
        <v>1</v>
      </c>
    </row>
    <row r="37" spans="1:29" ht="15.75" thickBot="1">
      <c r="A37" s="472"/>
      <c r="B37" s="422" t="s">
        <v>2709</v>
      </c>
      <c r="C37" s="616" t="s">
        <v>3118</v>
      </c>
      <c r="D37" s="435">
        <v>100</v>
      </c>
      <c r="E37" s="616" t="s">
        <v>3118</v>
      </c>
      <c r="F37" s="461">
        <f>SUMIF(106:106,E37,107:107)-SUMIF(106:106,C37,107:107)+100</f>
        <v>100</v>
      </c>
      <c r="G37" s="616" t="s">
        <v>3118</v>
      </c>
      <c r="H37" s="435">
        <f>SUMIF(106:106,G37,107:107)-SUMIF(106:106,C37,107:107)+100</f>
        <v>100</v>
      </c>
      <c r="I37" s="616" t="s">
        <v>3118</v>
      </c>
      <c r="J37" s="435">
        <f>SUMIF(106:106,I37,107:107)-SUMIF(106:106,C37,107:107)+100</f>
        <v>100</v>
      </c>
      <c r="K37" s="612"/>
      <c r="L37" s="1143"/>
      <c r="M37" s="1134"/>
      <c r="N37" s="1134"/>
      <c r="O37" s="1142"/>
      <c r="P37" s="3167"/>
      <c r="Q37" s="1813" t="str">
        <f t="shared" si="11"/>
        <v>内部装修状况</v>
      </c>
      <c r="R37" s="774" t="s">
        <v>17</v>
      </c>
      <c r="S37" s="775">
        <f t="shared" si="12"/>
        <v>100</v>
      </c>
      <c r="T37" s="774" t="s">
        <v>17</v>
      </c>
      <c r="U37" s="775">
        <f t="shared" si="13"/>
        <v>100</v>
      </c>
      <c r="V37" s="774" t="s">
        <v>17</v>
      </c>
      <c r="W37" s="775">
        <f t="shared" si="14"/>
        <v>100</v>
      </c>
      <c r="X37" s="1816"/>
      <c r="Y37" s="3167"/>
      <c r="Z37" s="1817" t="str">
        <f t="shared" si="15"/>
        <v>内部装修状况</v>
      </c>
      <c r="AA37" s="1814">
        <f t="shared" si="3"/>
        <v>1</v>
      </c>
      <c r="AB37" s="1814">
        <f t="shared" si="4"/>
        <v>1</v>
      </c>
      <c r="AC37" s="1814">
        <f t="shared" si="5"/>
        <v>1</v>
      </c>
    </row>
    <row r="38" spans="1:29" s="471" customFormat="1" ht="15.75" hidden="1" thickBot="1">
      <c r="A38" s="468"/>
      <c r="B38" s="2967" t="s">
        <v>3133</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t="str">
        <f t="shared" si="11"/>
        <v>建成年份</v>
      </c>
      <c r="R38" s="777" t="s">
        <v>17</v>
      </c>
      <c r="S38" s="778">
        <f t="shared" si="12"/>
        <v>100</v>
      </c>
      <c r="T38" s="777" t="s">
        <v>17</v>
      </c>
      <c r="U38" s="778">
        <f t="shared" si="13"/>
        <v>100</v>
      </c>
      <c r="V38" s="777" t="s">
        <v>17</v>
      </c>
      <c r="W38" s="778">
        <f t="shared" si="14"/>
        <v>100</v>
      </c>
      <c r="X38" s="779"/>
      <c r="Y38" s="3167"/>
      <c r="Z38" s="780" t="str">
        <f t="shared" si="15"/>
        <v>建成年份</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3">
        <f t="shared" si="11"/>
        <v>111</v>
      </c>
      <c r="R39" s="774" t="s">
        <v>17</v>
      </c>
      <c r="S39" s="775">
        <f t="shared" si="12"/>
        <v>100</v>
      </c>
      <c r="T39" s="774" t="s">
        <v>17</v>
      </c>
      <c r="U39" s="775">
        <f t="shared" si="13"/>
        <v>100</v>
      </c>
      <c r="V39" s="774" t="s">
        <v>17</v>
      </c>
      <c r="W39" s="775">
        <f t="shared" si="14"/>
        <v>100</v>
      </c>
      <c r="X39" s="1816"/>
      <c r="Y39" s="3167"/>
      <c r="Z39" s="1817">
        <f t="shared" si="15"/>
        <v>111</v>
      </c>
      <c r="AA39" s="1814">
        <f t="shared" si="3"/>
        <v>1</v>
      </c>
      <c r="AB39" s="1814">
        <f t="shared" si="4"/>
        <v>1</v>
      </c>
      <c r="AC39" s="1814">
        <f t="shared" si="5"/>
        <v>1</v>
      </c>
    </row>
    <row r="40" spans="1:29" ht="15.75" hidden="1"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8"/>
      <c r="Q40" s="1813">
        <f t="shared" si="11"/>
        <v>111</v>
      </c>
      <c r="R40" s="774" t="s">
        <v>17</v>
      </c>
      <c r="S40" s="775">
        <f t="shared" si="12"/>
        <v>100</v>
      </c>
      <c r="T40" s="774" t="s">
        <v>17</v>
      </c>
      <c r="U40" s="775">
        <f t="shared" si="13"/>
        <v>100</v>
      </c>
      <c r="V40" s="774" t="s">
        <v>17</v>
      </c>
      <c r="W40" s="775">
        <f t="shared" si="14"/>
        <v>100</v>
      </c>
      <c r="X40" s="1816"/>
      <c r="Y40" s="3168"/>
      <c r="Z40" s="1817">
        <f t="shared" si="15"/>
        <v>111</v>
      </c>
      <c r="AA40" s="1814">
        <f t="shared" si="3"/>
        <v>1</v>
      </c>
      <c r="AB40" s="1814">
        <f t="shared" si="4"/>
        <v>1</v>
      </c>
      <c r="AC40" s="1814">
        <f t="shared" si="5"/>
        <v>1</v>
      </c>
    </row>
    <row r="41" spans="1:29" ht="15">
      <c r="A41" s="479" t="s">
        <v>2582</v>
      </c>
      <c r="B41" s="480"/>
      <c r="C41" s="1410" t="s">
        <v>1</v>
      </c>
      <c r="D41" s="1411"/>
      <c r="E41" s="1412">
        <v>3</v>
      </c>
      <c r="F41" s="1413"/>
      <c r="G41" s="1414">
        <v>3.5</v>
      </c>
      <c r="H41" s="1415"/>
      <c r="I41" s="1412">
        <v>3.7</v>
      </c>
      <c r="J41" s="1415"/>
      <c r="K41" s="783"/>
      <c r="L41" s="1146"/>
      <c r="M41" s="1147"/>
      <c r="N41" s="1134"/>
      <c r="O41" s="1147"/>
      <c r="P41" s="3159" t="str">
        <f>A41</f>
        <v>成交单价（元/平方米）</v>
      </c>
      <c r="Q41" s="3159"/>
      <c r="R41" s="3160">
        <f>E41</f>
        <v>3</v>
      </c>
      <c r="S41" s="3160"/>
      <c r="T41" s="3160">
        <f>G41</f>
        <v>3.5</v>
      </c>
      <c r="U41" s="3160"/>
      <c r="V41" s="3160">
        <f>I41</f>
        <v>3.7</v>
      </c>
      <c r="W41" s="3160"/>
      <c r="X41" s="759"/>
      <c r="Y41" s="781"/>
      <c r="Z41" s="759"/>
      <c r="AA41" s="759"/>
      <c r="AB41" s="759"/>
      <c r="AC41" s="759"/>
    </row>
    <row r="42" spans="1:29" ht="15.75" thickBot="1">
      <c r="A42" s="486" t="s">
        <v>2674</v>
      </c>
      <c r="B42" s="487"/>
      <c r="C42" s="1416">
        <f>R43</f>
        <v>3</v>
      </c>
      <c r="D42" s="1417"/>
      <c r="E42" s="1418">
        <f>R42</f>
        <v>2.7</v>
      </c>
      <c r="F42" s="1418"/>
      <c r="G42" s="1416">
        <f>T42</f>
        <v>3</v>
      </c>
      <c r="H42" s="1417"/>
      <c r="I42" s="1418">
        <f>V42</f>
        <v>3.2</v>
      </c>
      <c r="J42" s="1417"/>
      <c r="K42" s="784"/>
      <c r="L42" s="1146"/>
      <c r="M42" s="1147"/>
      <c r="N42" s="1134"/>
      <c r="O42" s="1147"/>
      <c r="P42" s="3159" t="str">
        <f>A42</f>
        <v>比较价值（元/平方米）</v>
      </c>
      <c r="Q42" s="3159"/>
      <c r="R42" s="3160">
        <f>IF(F1="售价",ROUND(PRODUCT(R41,AA7:AA40),0),ROUND(PRODUCT(R41,AA7:AA40),1))</f>
        <v>2.7</v>
      </c>
      <c r="S42" s="3160"/>
      <c r="T42" s="3160">
        <f>IF(F1="售价",ROUND(PRODUCT(T41,AB7:AB40),0),ROUND(PRODUCT(T41,AB7:AB40),1))</f>
        <v>3</v>
      </c>
      <c r="U42" s="3160"/>
      <c r="V42" s="3160">
        <f>IF(F1="售价",ROUND(PRODUCT(V41,AC7:AC40),0),ROUND(PRODUCT(V41,AC7:AC40),1))</f>
        <v>3.2</v>
      </c>
      <c r="W42" s="3160"/>
      <c r="X42" s="759"/>
      <c r="Y42" s="759"/>
      <c r="Z42" s="759"/>
      <c r="AA42" s="759"/>
      <c r="AB42" s="759"/>
      <c r="AC42" s="759"/>
    </row>
    <row r="43" spans="1:29" ht="15.75" thickBot="1">
      <c r="A43" s="492" t="s">
        <v>2675</v>
      </c>
      <c r="B43" s="493"/>
      <c r="C43" s="1420">
        <f>R43</f>
        <v>3</v>
      </c>
      <c r="D43" s="1420"/>
      <c r="E43" s="1420"/>
      <c r="F43" s="1420"/>
      <c r="G43" s="1420"/>
      <c r="H43" s="1420"/>
      <c r="I43" s="1420"/>
      <c r="J43" s="1420"/>
      <c r="K43" s="785"/>
      <c r="L43" s="1146"/>
      <c r="M43" s="1147"/>
      <c r="N43" s="1147"/>
      <c r="O43" s="1147"/>
      <c r="P43" s="3161" t="str">
        <f>A43</f>
        <v>估价对象XX用房的比较价值（楼面单价，元/平方米）</v>
      </c>
      <c r="Q43" s="3162"/>
      <c r="R43" s="3163">
        <f>IF(F1="售价",ROUND(AVERAGE(R42:V42),0),ROUND(AVERAGE(R42:V42),1))</f>
        <v>3</v>
      </c>
      <c r="S43" s="3163"/>
      <c r="T43" s="3163"/>
      <c r="U43" s="3163"/>
      <c r="V43" s="3163"/>
      <c r="W43" s="316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f>IF(E41&lt;E42,E42/E41-1,E41/E42-1)</f>
        <v>0.11111111111111094</v>
      </c>
      <c r="F46" s="500" t="str">
        <f>IF(OR(E46&gt;=0.3,E46&lt;=-0.3),"超过30%","")</f>
        <v/>
      </c>
      <c r="G46" s="499">
        <f>IF(G41&lt;G42,G42/G41-1,G41/G42-1)</f>
        <v>0.16666666666666674</v>
      </c>
      <c r="H46" s="500" t="str">
        <f>IF(OR(G46&gt;=0.3,G46&lt;=-0.3),"超过30%","")</f>
        <v/>
      </c>
      <c r="I46" s="499">
        <f>IF(I41&lt;I42,I42/I41-1,I41/I42-1)</f>
        <v>0.15625</v>
      </c>
      <c r="J46" s="500" t="str">
        <f>IF(OR(I46&gt;=0.3,I46&lt;=-0.3),"超过30%","")</f>
        <v/>
      </c>
      <c r="K46" s="1108"/>
      <c r="L46" s="1109"/>
      <c r="M46" s="1147"/>
      <c r="N46" s="1147"/>
      <c r="O46" s="1147"/>
    </row>
    <row r="47" spans="1:29" ht="13.5" customHeight="1">
      <c r="A47" s="1147"/>
      <c r="B47" s="1147"/>
      <c r="C47" s="497" t="s">
        <v>2677</v>
      </c>
      <c r="D47" s="501"/>
      <c r="E47" s="499">
        <f>IF(E42&lt;G42,G42/E42-1,E42/G42-1)</f>
        <v>0.11111111111111094</v>
      </c>
      <c r="F47" s="500" t="str">
        <f>IF(OR(E47&gt;=0.2,E47&lt;=-0.2),"超过20%","")</f>
        <v/>
      </c>
      <c r="G47" s="499">
        <f>IF(G42&lt;I42,I42/G42-1,G42/I42-1)</f>
        <v>6.6666666666666652E-2</v>
      </c>
      <c r="H47" s="500" t="str">
        <f>IF(OR(G47&gt;=0.2,G47&lt;=-0.2),"超过20%","")</f>
        <v/>
      </c>
      <c r="I47" s="499">
        <f>IF(I42&lt;E42,E42/I42-1,I42/E42-1)</f>
        <v>0.18518518518518512</v>
      </c>
      <c r="J47" s="500" t="str">
        <f>IF(OR(I47&gt;=0.2,I47&lt;=-0.2),"超过20%","")</f>
        <v/>
      </c>
      <c r="K47" s="1108"/>
      <c r="L47" s="1109"/>
      <c r="M47" s="1147"/>
      <c r="N47" s="1147"/>
      <c r="O47" s="1147"/>
    </row>
    <row r="48" spans="1:29" s="502" customFormat="1" ht="13.5" customHeight="1">
      <c r="A48" s="1148"/>
      <c r="B48" s="1148"/>
      <c r="C48" s="497" t="s">
        <v>2678</v>
      </c>
      <c r="D48" s="501"/>
      <c r="E48" s="499">
        <f>IF(E41&lt;G41,G41/E41-1,E41/G41-1)</f>
        <v>0.16666666666666674</v>
      </c>
      <c r="F48" s="500" t="str">
        <f>IF(OR(E48&gt;=0.3,E48&lt;=-0.3),"超过30%","")</f>
        <v/>
      </c>
      <c r="G48" s="499">
        <f>IF(G41&lt;I41,I41/G41-1,G41/I41-1)</f>
        <v>5.7142857142857162E-2</v>
      </c>
      <c r="H48" s="500" t="str">
        <f>IF(OR(G48&gt;=0.3,G48&lt;=-0.3),"超过30%","")</f>
        <v/>
      </c>
      <c r="I48" s="499">
        <f>IF(I41&lt;E41,E41/I41-1,I41/E41-1)</f>
        <v>0.23333333333333339</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t="str">
        <f>C9</f>
        <v>公共设施</v>
      </c>
      <c r="D57" s="2962" t="s">
        <v>3151</v>
      </c>
      <c r="E57" s="530"/>
      <c r="F57" s="530"/>
      <c r="G57" s="530"/>
      <c r="H57" s="530"/>
      <c r="I57" s="530"/>
      <c r="J57" s="530"/>
      <c r="K57" s="531"/>
      <c r="L57" s="532"/>
      <c r="M57" s="533"/>
      <c r="N57" s="1155"/>
      <c r="O57" s="1155"/>
      <c r="P57" s="45"/>
      <c r="Q57" s="504"/>
    </row>
    <row r="58" spans="1:17" ht="15.75" thickBot="1">
      <c r="A58" s="534"/>
      <c r="B58" s="535"/>
      <c r="C58" s="536">
        <v>100</v>
      </c>
      <c r="D58" s="536">
        <v>120</v>
      </c>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hidden="1" thickTop="1">
      <c r="A61" s="534"/>
      <c r="B61" s="546" t="s">
        <v>2563</v>
      </c>
      <c r="C61" s="547" t="str">
        <f>C62&amp;"（含）"&amp;"-"&amp;D62</f>
        <v>1（含）-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hidden="1">
      <c r="A62" s="534"/>
      <c r="B62" s="548"/>
      <c r="C62" s="549">
        <v>1</v>
      </c>
      <c r="D62" s="549"/>
      <c r="E62" s="549"/>
      <c r="F62" s="549"/>
      <c r="G62" s="549"/>
      <c r="H62" s="549"/>
      <c r="I62" s="549"/>
      <c r="J62" s="549"/>
      <c r="K62" s="550"/>
      <c r="L62" s="551"/>
      <c r="M62" s="552"/>
      <c r="N62" s="1155"/>
      <c r="O62" s="1155"/>
      <c r="P62" s="45"/>
      <c r="Q62" s="504"/>
    </row>
    <row r="63" spans="1:17" ht="15.75" hidden="1"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hidden="1" thickTop="1">
      <c r="A64" s="553"/>
      <c r="B64" s="538">
        <f>B12</f>
        <v>111</v>
      </c>
      <c r="C64" s="554"/>
      <c r="D64" s="554"/>
      <c r="E64" s="554"/>
      <c r="F64" s="554"/>
      <c r="G64" s="554"/>
      <c r="H64" s="555"/>
      <c r="I64" s="555"/>
      <c r="J64" s="555"/>
      <c r="K64" s="555"/>
      <c r="L64" s="556"/>
      <c r="M64" s="557"/>
      <c r="N64" s="1157"/>
      <c r="O64" s="1157"/>
      <c r="P64" s="558"/>
      <c r="Q64" s="559"/>
    </row>
    <row r="65" spans="1:17" s="471" customFormat="1" ht="15.75" hidden="1" thickBot="1">
      <c r="A65" s="553"/>
      <c r="B65" s="543"/>
      <c r="C65" s="560"/>
      <c r="D65" s="536"/>
      <c r="E65" s="536"/>
      <c r="F65" s="536"/>
      <c r="G65" s="536"/>
      <c r="H65" s="536"/>
      <c r="I65" s="536"/>
      <c r="J65" s="536"/>
      <c r="K65" s="536"/>
      <c r="L65" s="536"/>
      <c r="M65" s="537"/>
      <c r="N65" s="1156"/>
      <c r="O65" s="1156"/>
      <c r="P65" s="558"/>
      <c r="Q65" s="559"/>
    </row>
    <row r="66" spans="1:17" s="471" customFormat="1" ht="15.75" hidden="1" thickTop="1">
      <c r="A66" s="553"/>
      <c r="B66" s="538">
        <f>B13</f>
        <v>111</v>
      </c>
      <c r="C66" s="554"/>
      <c r="D66" s="554"/>
      <c r="E66" s="554"/>
      <c r="F66" s="554"/>
      <c r="G66" s="554"/>
      <c r="H66" s="555"/>
      <c r="I66" s="555"/>
      <c r="J66" s="555"/>
      <c r="K66" s="555"/>
      <c r="L66" s="556"/>
      <c r="M66" s="557"/>
      <c r="N66" s="1157"/>
      <c r="O66" s="1157"/>
      <c r="P66" s="470"/>
      <c r="Q66" s="561"/>
    </row>
    <row r="67" spans="1:17" s="471" customFormat="1" ht="15.75" hidden="1" thickBot="1">
      <c r="A67" s="553"/>
      <c r="B67" s="543"/>
      <c r="C67" s="560"/>
      <c r="D67" s="536"/>
      <c r="E67" s="536"/>
      <c r="F67" s="536"/>
      <c r="G67" s="560"/>
      <c r="H67" s="562"/>
      <c r="I67" s="562"/>
      <c r="J67" s="562"/>
      <c r="K67" s="562"/>
      <c r="L67" s="562"/>
      <c r="M67" s="563"/>
      <c r="N67" s="1157"/>
      <c r="O67" s="1157"/>
      <c r="P67" s="558"/>
      <c r="Q67" s="559"/>
    </row>
    <row r="68" spans="1:17" s="471" customFormat="1" ht="15.75" hidden="1" thickTop="1">
      <c r="A68" s="553"/>
      <c r="B68" s="546">
        <f>B14</f>
        <v>111</v>
      </c>
      <c r="C68" s="523"/>
      <c r="D68" s="523"/>
      <c r="E68" s="523"/>
      <c r="F68" s="523"/>
      <c r="G68" s="523"/>
      <c r="H68" s="564"/>
      <c r="I68" s="564"/>
      <c r="J68" s="564"/>
      <c r="K68" s="564"/>
      <c r="L68" s="565"/>
      <c r="M68" s="566"/>
      <c r="N68" s="1157"/>
      <c r="O68" s="1157"/>
      <c r="P68" s="567"/>
      <c r="Q68" s="559"/>
    </row>
    <row r="69" spans="1:17" s="471" customFormat="1" ht="15.75" hidden="1" thickBot="1">
      <c r="A69" s="568"/>
      <c r="B69" s="569"/>
      <c r="C69" s="570"/>
      <c r="D69" s="570"/>
      <c r="E69" s="570"/>
      <c r="F69" s="570"/>
      <c r="G69" s="570"/>
      <c r="H69" s="571"/>
      <c r="I69" s="571"/>
      <c r="J69" s="571"/>
      <c r="K69" s="571"/>
      <c r="L69" s="571"/>
      <c r="M69" s="572"/>
      <c r="N69" s="1157"/>
      <c r="O69" s="1157"/>
      <c r="P69" s="558"/>
      <c r="Q69" s="559"/>
    </row>
    <row r="70" spans="1:17" ht="15" thickTop="1">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hidden="1" thickTop="1">
      <c r="A80" s="579"/>
      <c r="B80" s="538">
        <f>B25</f>
        <v>111</v>
      </c>
      <c r="C80" s="554"/>
      <c r="D80" s="554"/>
      <c r="E80" s="554"/>
      <c r="F80" s="554"/>
      <c r="G80" s="554"/>
      <c r="H80" s="554"/>
      <c r="I80" s="554"/>
      <c r="J80" s="554"/>
      <c r="K80" s="554"/>
      <c r="L80" s="580"/>
      <c r="M80" s="581"/>
      <c r="N80" s="1154"/>
      <c r="O80" s="1154"/>
      <c r="P80" s="45"/>
      <c r="Q80" s="504"/>
    </row>
    <row r="81" spans="1:17" s="117" customFormat="1" ht="15.75" hidden="1" thickBot="1">
      <c r="A81" s="579"/>
      <c r="B81" s="543"/>
      <c r="C81" s="560"/>
      <c r="D81" s="536"/>
      <c r="E81" s="536"/>
      <c r="F81" s="536"/>
      <c r="G81" s="536"/>
      <c r="H81" s="536"/>
      <c r="I81" s="536"/>
      <c r="J81" s="536"/>
      <c r="K81" s="536"/>
      <c r="L81" s="536"/>
      <c r="M81" s="537"/>
      <c r="N81" s="1156"/>
      <c r="O81" s="1156"/>
      <c r="P81" s="45"/>
      <c r="Q81" s="504"/>
    </row>
    <row r="82" spans="1:17" s="117" customFormat="1" ht="15.75" hidden="1" thickTop="1">
      <c r="A82" s="579"/>
      <c r="B82" s="538">
        <f>B26</f>
        <v>111</v>
      </c>
      <c r="C82" s="554"/>
      <c r="D82" s="554"/>
      <c r="E82" s="554"/>
      <c r="F82" s="554"/>
      <c r="G82" s="554"/>
      <c r="H82" s="554"/>
      <c r="I82" s="554"/>
      <c r="J82" s="554"/>
      <c r="K82" s="554"/>
      <c r="L82" s="580"/>
      <c r="M82" s="581"/>
      <c r="N82" s="1154"/>
      <c r="O82" s="1154"/>
      <c r="P82" s="45"/>
      <c r="Q82" s="504"/>
    </row>
    <row r="83" spans="1:17" s="117" customFormat="1" ht="15.75" hidden="1" thickBot="1">
      <c r="A83" s="579"/>
      <c r="B83" s="543"/>
      <c r="C83" s="560"/>
      <c r="D83" s="536"/>
      <c r="E83" s="536"/>
      <c r="F83" s="536"/>
      <c r="G83" s="536"/>
      <c r="H83" s="536"/>
      <c r="I83" s="536"/>
      <c r="J83" s="536"/>
      <c r="K83" s="536"/>
      <c r="L83" s="536"/>
      <c r="M83" s="537"/>
      <c r="N83" s="1156"/>
      <c r="O83" s="1156"/>
      <c r="P83" s="45"/>
      <c r="Q83" s="504"/>
    </row>
    <row r="84" spans="1:17" s="471" customFormat="1" ht="15.75" hidden="1" thickTop="1">
      <c r="A84" s="553"/>
      <c r="B84" s="538">
        <f>B27</f>
        <v>111</v>
      </c>
      <c r="C84" s="554"/>
      <c r="D84" s="554"/>
      <c r="E84" s="554"/>
      <c r="F84" s="554"/>
      <c r="G84" s="554"/>
      <c r="H84" s="554"/>
      <c r="I84" s="554"/>
      <c r="J84" s="554"/>
      <c r="K84" s="554"/>
      <c r="L84" s="580"/>
      <c r="M84" s="581"/>
      <c r="N84" s="1157"/>
      <c r="O84" s="1157"/>
      <c r="P84" s="558"/>
      <c r="Q84" s="559"/>
    </row>
    <row r="85" spans="1:17" s="471" customFormat="1" ht="15.75" hidden="1" thickBot="1">
      <c r="A85" s="553"/>
      <c r="B85" s="543"/>
      <c r="C85" s="560"/>
      <c r="D85" s="536"/>
      <c r="E85" s="536"/>
      <c r="F85" s="536"/>
      <c r="G85" s="536"/>
      <c r="H85" s="536"/>
      <c r="I85" s="536"/>
      <c r="J85" s="536"/>
      <c r="K85" s="536"/>
      <c r="L85" s="536"/>
      <c r="M85" s="537"/>
      <c r="N85" s="1157"/>
      <c r="O85" s="1157"/>
      <c r="P85" s="558"/>
      <c r="Q85" s="559"/>
    </row>
    <row r="86" spans="1:17" ht="15.75" hidden="1" thickTop="1">
      <c r="A86" s="534"/>
      <c r="B86" s="546">
        <f>B28</f>
        <v>111</v>
      </c>
      <c r="C86" s="523"/>
      <c r="D86" s="523"/>
      <c r="E86" s="523"/>
      <c r="F86" s="523"/>
      <c r="G86" s="587"/>
      <c r="H86" s="587"/>
      <c r="I86" s="587"/>
      <c r="J86" s="587"/>
      <c r="K86" s="588"/>
      <c r="L86" s="589"/>
      <c r="M86" s="590"/>
      <c r="N86" s="1155"/>
      <c r="O86" s="1155"/>
      <c r="P86" s="45"/>
      <c r="Q86" s="504"/>
    </row>
    <row r="87" spans="1:17" ht="15.75" hidden="1" thickBot="1">
      <c r="A87" s="2642"/>
      <c r="B87" s="569"/>
      <c r="C87" s="570"/>
      <c r="D87" s="570"/>
      <c r="E87" s="570"/>
      <c r="F87" s="570"/>
      <c r="G87" s="591"/>
      <c r="H87" s="591"/>
      <c r="I87" s="591"/>
      <c r="J87" s="591"/>
      <c r="K87" s="591"/>
      <c r="L87" s="591"/>
      <c r="M87" s="592"/>
      <c r="N87" s="1156"/>
      <c r="O87" s="1156"/>
      <c r="P87" s="45"/>
      <c r="Q87" s="504"/>
    </row>
    <row r="88" spans="1:17" ht="15" thickTop="1">
      <c r="A88" s="527" t="s">
        <v>2568</v>
      </c>
      <c r="B88" s="528" t="s">
        <v>2617</v>
      </c>
      <c r="C88" s="2962" t="s">
        <v>3135</v>
      </c>
      <c r="D88" s="2962"/>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2618</v>
      </c>
      <c r="C90" s="578" t="str">
        <f>C91&amp;"(含)"&amp;"-"&amp;D91</f>
        <v>0(含)-200</v>
      </c>
      <c r="D90" s="578" t="str">
        <f t="shared" ref="D90:L90" si="20">D91&amp;"(含)"&amp;"-"&amp;E91</f>
        <v>200(含)-400</v>
      </c>
      <c r="E90" s="578" t="str">
        <f t="shared" si="20"/>
        <v>400(含)-600</v>
      </c>
      <c r="F90" s="578" t="str">
        <f t="shared" si="20"/>
        <v>600(含)-800</v>
      </c>
      <c r="G90" s="578" t="str">
        <f t="shared" si="20"/>
        <v>800(含)-1000</v>
      </c>
      <c r="H90" s="578" t="str">
        <f t="shared" si="20"/>
        <v>1000(含)-1200</v>
      </c>
      <c r="I90" s="578" t="str">
        <f t="shared" si="20"/>
        <v>1200(含)-1400</v>
      </c>
      <c r="J90" s="578" t="str">
        <f t="shared" si="20"/>
        <v>1400(含)-</v>
      </c>
      <c r="K90" s="578" t="str">
        <f t="shared" si="20"/>
        <v>(含)-</v>
      </c>
      <c r="L90" s="578" t="str">
        <f t="shared" si="20"/>
        <v>(含)-</v>
      </c>
      <c r="M90" s="622" t="str">
        <f>M91&amp;"(含)"&amp;"-"&amp;P91</f>
        <v>(含)-</v>
      </c>
      <c r="N90" s="1154"/>
      <c r="O90" s="1154"/>
      <c r="P90" s="45"/>
      <c r="Q90" s="504"/>
    </row>
    <row r="91" spans="1:17" s="471" customFormat="1">
      <c r="A91" s="593"/>
      <c r="B91" s="594"/>
      <c r="C91" s="595">
        <v>0</v>
      </c>
      <c r="D91" s="595">
        <v>200</v>
      </c>
      <c r="E91" s="595">
        <v>400</v>
      </c>
      <c r="F91" s="595">
        <v>600</v>
      </c>
      <c r="G91" s="595">
        <v>800</v>
      </c>
      <c r="H91" s="595">
        <v>1000</v>
      </c>
      <c r="I91" s="595">
        <v>1200</v>
      </c>
      <c r="J91" s="596">
        <v>1400</v>
      </c>
      <c r="K91" s="596"/>
      <c r="L91" s="597"/>
      <c r="M91" s="598"/>
      <c r="N91" s="1157"/>
      <c r="O91" s="1157"/>
      <c r="P91" s="558"/>
      <c r="Q91" s="559"/>
    </row>
    <row r="92" spans="1:17" s="471" customFormat="1" ht="15.75" thickBot="1">
      <c r="A92" s="553"/>
      <c r="B92" s="543"/>
      <c r="C92" s="560">
        <v>100</v>
      </c>
      <c r="D92" s="536">
        <v>101</v>
      </c>
      <c r="E92" s="536">
        <v>102</v>
      </c>
      <c r="F92" s="536">
        <v>103</v>
      </c>
      <c r="G92" s="536">
        <v>104</v>
      </c>
      <c r="H92" s="536">
        <v>105</v>
      </c>
      <c r="I92" s="536">
        <v>106</v>
      </c>
      <c r="J92" s="536">
        <v>107</v>
      </c>
      <c r="K92" s="536"/>
      <c r="L92" s="536"/>
      <c r="M92" s="537"/>
      <c r="N92" s="1156"/>
      <c r="O92" s="1156"/>
      <c r="P92" s="558"/>
      <c r="Q92" s="559"/>
    </row>
    <row r="93" spans="1:17" ht="15" thickTop="1">
      <c r="A93" s="599"/>
      <c r="B93" s="538" t="s">
        <v>2619</v>
      </c>
      <c r="C93" s="2968" t="s">
        <v>3137</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2968" t="s">
        <v>3141</v>
      </c>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t="s">
        <v>3138</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2968" t="s">
        <v>3141</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t="str">
        <f>B38</f>
        <v>建成年份</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北京市出让国有建设用地使用权及在建建筑物房地产市场价值预评估</v>
      </c>
      <c r="C37" s="2973"/>
      <c r="D37" s="2973"/>
      <c r="E37" s="2973"/>
      <c r="F37" s="2973"/>
      <c r="G37" s="2973"/>
      <c r="H37" s="2973"/>
      <c r="I37" s="297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叶凌（注册号：1119970111)、陈颖（注册号：1120060040)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2534</v>
      </c>
      <c r="C1" s="1637" t="s">
        <v>2535</v>
      </c>
      <c r="D1" s="1624" t="s">
        <v>3060</v>
      </c>
      <c r="E1" s="2589"/>
      <c r="F1" s="2590" t="s">
        <v>2536</v>
      </c>
      <c r="G1" s="1634" t="s">
        <v>2537</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IF(C2="——",ROUND(C49*D3/10000,0),ROUND(C49*D3/10000,0)-D2)</f>
        <v>#N/A</v>
      </c>
      <c r="C2" s="2592" t="s">
        <v>70</v>
      </c>
      <c r="D2" s="1368">
        <f ca="1">SUMIF(INDIRECT("'"&amp;F2&amp;"'"&amp;"!A:A"),"承租人权益价值",INDIRECT("'"&amp;F2&amp;"'"&amp;"!c:c"))</f>
        <v>0</v>
      </c>
      <c r="E2" s="2593" t="s">
        <v>2538</v>
      </c>
      <c r="F2" s="2594" t="s">
        <v>3074</v>
      </c>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IF(C2="——",C49,ROUND(B2*10000/D3,0))</f>
        <v>#N/A</v>
      </c>
      <c r="C3" s="400" t="s">
        <v>2539</v>
      </c>
      <c r="D3" s="399">
        <f>IF(D1="",'数据-汇总表'!E3,SUMIF('数据-汇总表'!$C19:$C33,D1,'数据-汇总表'!$E19:$E33))</f>
        <v>1307.9000000000001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2540</v>
      </c>
      <c r="B4" s="402"/>
      <c r="C4" s="3172" t="s">
        <v>2541</v>
      </c>
      <c r="D4" s="3173"/>
      <c r="E4" s="3174" t="s">
        <v>2542</v>
      </c>
      <c r="F4" s="3175"/>
      <c r="G4" s="3172" t="s">
        <v>2543</v>
      </c>
      <c r="H4" s="3173"/>
      <c r="I4" s="3172" t="s">
        <v>2544</v>
      </c>
      <c r="J4" s="3173"/>
      <c r="K4" s="2602" t="s">
        <v>2545</v>
      </c>
      <c r="L4" s="1133"/>
      <c r="M4" s="1134"/>
      <c r="N4" s="1134"/>
      <c r="O4" s="1134"/>
      <c r="P4" s="3176" t="s">
        <v>2546</v>
      </c>
      <c r="Q4" s="3177"/>
      <c r="R4" s="3182" t="s">
        <v>2542</v>
      </c>
      <c r="S4" s="3183"/>
      <c r="T4" s="3182" t="s">
        <v>2543</v>
      </c>
      <c r="U4" s="3183"/>
      <c r="V4" s="3188" t="s">
        <v>2544</v>
      </c>
      <c r="W4" s="3188"/>
      <c r="X4" s="1816"/>
      <c r="Y4" s="3182" t="s">
        <v>2546</v>
      </c>
      <c r="Z4" s="3183"/>
      <c r="AA4" s="3169" t="s">
        <v>2542</v>
      </c>
      <c r="AB4" s="3169" t="s">
        <v>2543</v>
      </c>
      <c r="AC4" s="3169" t="s">
        <v>2544</v>
      </c>
    </row>
    <row r="5" spans="1:29" ht="15.75" thickBot="1">
      <c r="A5" s="404"/>
      <c r="B5" s="405"/>
      <c r="C5" s="3191" t="s">
        <v>3099</v>
      </c>
      <c r="D5" s="3192"/>
      <c r="E5" s="3198" t="s">
        <v>3100</v>
      </c>
      <c r="F5" s="3199"/>
      <c r="G5" s="3191" t="s">
        <v>3102</v>
      </c>
      <c r="H5" s="3192"/>
      <c r="I5" s="3206" t="s">
        <v>2550</v>
      </c>
      <c r="J5" s="3192"/>
      <c r="K5" s="2603"/>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2551</v>
      </c>
      <c r="D6" s="3190"/>
      <c r="E6" s="3196" t="s">
        <v>2551</v>
      </c>
      <c r="F6" s="3197"/>
      <c r="G6" s="3189" t="s">
        <v>2551</v>
      </c>
      <c r="H6" s="3190"/>
      <c r="I6" s="3189" t="s">
        <v>2551</v>
      </c>
      <c r="J6" s="3190"/>
      <c r="K6" s="2603" t="s">
        <v>2552</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2553</v>
      </c>
      <c r="B7" s="409"/>
      <c r="C7" s="410">
        <f>'数据-取费表'!B2</f>
        <v>43220</v>
      </c>
      <c r="D7" s="411">
        <v>100</v>
      </c>
      <c r="E7" s="412">
        <v>43220</v>
      </c>
      <c r="F7" s="413">
        <f>SUMIF(58:58,YEAR(E7)&amp;"-"&amp;MONTH(E7),59:59)</f>
        <v>100</v>
      </c>
      <c r="G7" s="412">
        <v>43220</v>
      </c>
      <c r="H7" s="411">
        <f>SUMIF(58:58,YEAR(G7)&amp;"-"&amp;MONTH(G7),59:59)</f>
        <v>100</v>
      </c>
      <c r="I7" s="412">
        <v>43220</v>
      </c>
      <c r="J7" s="411">
        <f>SUMIF(58:58,YEAR(I7)&amp;"-"&amp;MONTH(I7),59:59)</f>
        <v>100</v>
      </c>
      <c r="K7" s="2604"/>
      <c r="L7" s="1135"/>
      <c r="M7" s="1136"/>
      <c r="N7" s="1136"/>
      <c r="O7" s="1136"/>
      <c r="P7" s="3193" t="s">
        <v>2554</v>
      </c>
      <c r="Q7" s="3195"/>
      <c r="R7" s="770" t="s">
        <v>23</v>
      </c>
      <c r="S7" s="771">
        <f t="shared" ref="S7:S15" si="0">F7</f>
        <v>100</v>
      </c>
      <c r="T7" s="770" t="s">
        <v>23</v>
      </c>
      <c r="U7" s="771">
        <f t="shared" ref="U7:U15" si="1">H7</f>
        <v>100</v>
      </c>
      <c r="V7" s="770" t="s">
        <v>23</v>
      </c>
      <c r="W7" s="771">
        <f t="shared" ref="W7:W15" si="2">J7</f>
        <v>100</v>
      </c>
      <c r="X7" s="772"/>
      <c r="Y7" s="3193" t="s">
        <v>2554</v>
      </c>
      <c r="Z7" s="3194"/>
      <c r="AA7" s="773">
        <f>D7/F7</f>
        <v>1</v>
      </c>
      <c r="AB7" s="773">
        <f>D7/H7</f>
        <v>1</v>
      </c>
      <c r="AC7" s="773">
        <f>D7/J7</f>
        <v>1</v>
      </c>
    </row>
    <row r="8" spans="1:29" s="117" customFormat="1" ht="15.75" thickBot="1">
      <c r="A8" s="408" t="s">
        <v>2555</v>
      </c>
      <c r="B8" s="409"/>
      <c r="C8" s="414" t="s">
        <v>2556</v>
      </c>
      <c r="D8" s="411">
        <v>100</v>
      </c>
      <c r="E8" s="2605" t="s">
        <v>3103</v>
      </c>
      <c r="F8" s="413">
        <f>SUMIF(61:61,E8,62:62)-SUMIF(61:61,C8,62:62)+100</f>
        <v>100</v>
      </c>
      <c r="G8" s="414" t="s">
        <v>3103</v>
      </c>
      <c r="H8" s="411">
        <f>SUMIF(61:61,G8,62:62)-SUMIF(61:61,C8,62:62)+100</f>
        <v>100</v>
      </c>
      <c r="I8" s="2605" t="s">
        <v>3103</v>
      </c>
      <c r="J8" s="411">
        <f>SUMIF(61:61,I8,62:62)-SUMIF(61:61,C8,62:62)+100</f>
        <v>100</v>
      </c>
      <c r="K8" s="2604"/>
      <c r="L8" s="1135"/>
      <c r="M8" s="1136"/>
      <c r="N8" s="1136"/>
      <c r="O8" s="1136"/>
      <c r="P8" s="3193" t="s">
        <v>2557</v>
      </c>
      <c r="Q8" s="3194"/>
      <c r="R8" s="770" t="s">
        <v>23</v>
      </c>
      <c r="S8" s="771">
        <f t="shared" si="0"/>
        <v>100</v>
      </c>
      <c r="T8" s="770" t="s">
        <v>23</v>
      </c>
      <c r="U8" s="771">
        <f t="shared" si="1"/>
        <v>100</v>
      </c>
      <c r="V8" s="770" t="s">
        <v>23</v>
      </c>
      <c r="W8" s="771">
        <f t="shared" si="2"/>
        <v>100</v>
      </c>
      <c r="X8" s="772"/>
      <c r="Y8" s="3193" t="s">
        <v>2557</v>
      </c>
      <c r="Z8" s="3194"/>
      <c r="AA8" s="773">
        <f t="shared" ref="AA8:AA19" si="3">D8/F8</f>
        <v>1</v>
      </c>
      <c r="AB8" s="773">
        <f t="shared" ref="AB8:AB19" si="4">D8/H8</f>
        <v>1</v>
      </c>
      <c r="AC8" s="773">
        <f t="shared" ref="AC8:AC19" si="5">D8/J8</f>
        <v>1</v>
      </c>
    </row>
    <row r="9" spans="1:29" s="117" customFormat="1">
      <c r="A9" s="415" t="s">
        <v>2558</v>
      </c>
      <c r="B9" s="71" t="s">
        <v>2559</v>
      </c>
      <c r="C9" s="2961" t="s">
        <v>3105</v>
      </c>
      <c r="D9" s="135">
        <v>100</v>
      </c>
      <c r="E9" s="417" t="s">
        <v>3090</v>
      </c>
      <c r="F9" s="418">
        <f>SUMIF(63:63,E9,64:64)-SUMIF(63:63,C9,64:64)+100</f>
        <v>100</v>
      </c>
      <c r="G9" s="419" t="s">
        <v>3090</v>
      </c>
      <c r="H9" s="135">
        <f>SUMIF(63:63,G9,64:64)-SUMIF(63:63,C9,64:64)+100</f>
        <v>100</v>
      </c>
      <c r="I9" s="419" t="s">
        <v>3090</v>
      </c>
      <c r="J9" s="135">
        <f>SUMIF(63:63,I9,64:64)-SUMIF(63:63,C9,64:64)+100</f>
        <v>100</v>
      </c>
      <c r="K9" s="2604"/>
      <c r="L9" s="1135"/>
      <c r="M9" s="1136"/>
      <c r="N9" s="1136"/>
      <c r="O9" s="1136"/>
      <c r="P9" s="3205"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29" s="427" customFormat="1" ht="27.75" thickBot="1">
      <c r="A10" s="421"/>
      <c r="B10" s="422" t="s">
        <v>2562</v>
      </c>
      <c r="C10" s="423" t="s">
        <v>3115</v>
      </c>
      <c r="D10" s="136">
        <v>100</v>
      </c>
      <c r="E10" s="424" t="s">
        <v>3106</v>
      </c>
      <c r="F10" s="425">
        <f>SUMIF(65:65,E10,66:66)-SUMIF(65:65,C10,66:66)+100</f>
        <v>100</v>
      </c>
      <c r="G10" s="423" t="s">
        <v>3106</v>
      </c>
      <c r="H10" s="136">
        <f>SUMIF(65:65,G10,66:66)-SUMIF(65:65,C10,66:66)+100</f>
        <v>100</v>
      </c>
      <c r="I10" s="423" t="s">
        <v>3106</v>
      </c>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75" hidden="1" thickBot="1">
      <c r="A11" s="428"/>
      <c r="B11" s="422"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205"/>
      <c r="Q11" s="1798"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hidden="1">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hidden="1">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hidden="1"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2564</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2565</v>
      </c>
      <c r="Q15" s="1813" t="str">
        <f t="shared" si="6"/>
        <v>居住社区成熟度</v>
      </c>
      <c r="R15" s="774" t="s">
        <v>21</v>
      </c>
      <c r="S15" s="775">
        <f t="shared" si="0"/>
        <v>100</v>
      </c>
      <c r="T15" s="774" t="s">
        <v>21</v>
      </c>
      <c r="U15" s="775">
        <f t="shared" si="1"/>
        <v>100</v>
      </c>
      <c r="V15" s="774" t="s">
        <v>21</v>
      </c>
      <c r="W15" s="775">
        <f t="shared" si="2"/>
        <v>100</v>
      </c>
      <c r="X15" s="1816"/>
      <c r="Y15" s="3164" t="s">
        <v>2565</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04"/>
      <c r="Q16" s="1813"/>
      <c r="R16" s="774"/>
      <c r="S16" s="775"/>
      <c r="T16" s="774"/>
      <c r="U16" s="775"/>
      <c r="V16" s="774"/>
      <c r="W16" s="775"/>
      <c r="X16" s="1816"/>
      <c r="Y16" s="3165"/>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3" t="str">
        <f>B17</f>
        <v>交通便捷度</v>
      </c>
      <c r="R17" s="774" t="s">
        <v>21</v>
      </c>
      <c r="S17" s="775">
        <f>F17</f>
        <v>100</v>
      </c>
      <c r="T17" s="774" t="s">
        <v>21</v>
      </c>
      <c r="U17" s="775">
        <f>H17</f>
        <v>100</v>
      </c>
      <c r="V17" s="774" t="s">
        <v>21</v>
      </c>
      <c r="W17" s="775">
        <f>J17</f>
        <v>100</v>
      </c>
      <c r="X17" s="1816"/>
      <c r="Y17" s="3165"/>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04"/>
      <c r="Q18" s="1813"/>
      <c r="R18" s="774"/>
      <c r="S18" s="775"/>
      <c r="T18" s="774"/>
      <c r="U18" s="775"/>
      <c r="V18" s="774"/>
      <c r="W18" s="775"/>
      <c r="X18" s="1816"/>
      <c r="Y18" s="3165"/>
      <c r="Z18" s="1817"/>
      <c r="AA18" s="1814">
        <v>1</v>
      </c>
      <c r="AB18" s="1814">
        <v>1</v>
      </c>
      <c r="AC18" s="1814">
        <v>1</v>
      </c>
    </row>
    <row r="19" spans="1:29" ht="42.75">
      <c r="A19" s="428"/>
      <c r="B19" s="451" t="s">
        <v>2098</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3" t="str">
        <f>B19</f>
        <v>公共配套设施</v>
      </c>
      <c r="R19" s="774" t="s">
        <v>21</v>
      </c>
      <c r="S19" s="775">
        <f>F19</f>
        <v>100</v>
      </c>
      <c r="T19" s="774" t="s">
        <v>21</v>
      </c>
      <c r="U19" s="775">
        <f>H19</f>
        <v>100</v>
      </c>
      <c r="V19" s="774" t="s">
        <v>21</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04"/>
      <c r="Q20" s="1813"/>
      <c r="R20" s="774"/>
      <c r="S20" s="775"/>
      <c r="T20" s="774"/>
      <c r="U20" s="775"/>
      <c r="V20" s="774"/>
      <c r="W20" s="775"/>
      <c r="X20" s="1816"/>
      <c r="Y20" s="3165"/>
      <c r="Z20" s="1817"/>
      <c r="AA20" s="1814">
        <v>1</v>
      </c>
      <c r="AB20" s="1814">
        <v>1</v>
      </c>
      <c r="AC20" s="1814">
        <v>1</v>
      </c>
    </row>
    <row r="21" spans="1:29" ht="28.5">
      <c r="A21" s="428"/>
      <c r="B21" s="1387" t="s">
        <v>2101</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04"/>
      <c r="Q22" s="1813"/>
      <c r="R22" s="774"/>
      <c r="S22" s="775"/>
      <c r="T22" s="774"/>
      <c r="U22" s="775"/>
      <c r="V22" s="774"/>
      <c r="W22" s="775"/>
      <c r="X22" s="1816"/>
      <c r="Y22" s="3165"/>
      <c r="Z22" s="1817"/>
      <c r="AA22" s="1814">
        <v>1</v>
      </c>
      <c r="AB22" s="1814">
        <v>1</v>
      </c>
      <c r="AC22" s="1814">
        <v>1</v>
      </c>
    </row>
    <row r="23" spans="1:29" ht="57">
      <c r="A23" s="428"/>
      <c r="B23" s="451" t="s">
        <v>2105</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3" t="str">
        <f>B23</f>
        <v>自然及人文环境</v>
      </c>
      <c r="R23" s="774" t="s">
        <v>21</v>
      </c>
      <c r="S23" s="775">
        <f>F23</f>
        <v>100</v>
      </c>
      <c r="T23" s="774" t="s">
        <v>21</v>
      </c>
      <c r="U23" s="775">
        <f>H23</f>
        <v>100</v>
      </c>
      <c r="V23" s="774" t="s">
        <v>21</v>
      </c>
      <c r="W23" s="775">
        <f>J23</f>
        <v>100</v>
      </c>
      <c r="X23" s="1816"/>
      <c r="Y23" s="3165"/>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04"/>
      <c r="Q24" s="1813"/>
      <c r="R24" s="774"/>
      <c r="S24" s="775"/>
      <c r="T24" s="774"/>
      <c r="U24" s="775"/>
      <c r="V24" s="774"/>
      <c r="W24" s="775"/>
      <c r="X24" s="1816"/>
      <c r="Y24" s="3165"/>
      <c r="Z24" s="1817"/>
      <c r="AA24" s="1814">
        <v>1</v>
      </c>
      <c r="AB24" s="1814">
        <v>1</v>
      </c>
      <c r="AC24" s="1814">
        <v>1</v>
      </c>
    </row>
    <row r="25" spans="1:29" ht="15">
      <c r="A25" s="428"/>
      <c r="B25" s="422" t="s">
        <v>2566</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0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5"/>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04"/>
      <c r="Q26" s="1813" t="str">
        <f t="shared" si="11"/>
        <v>朝向</v>
      </c>
      <c r="R26" s="774" t="s">
        <v>21</v>
      </c>
      <c r="S26" s="775">
        <f t="shared" si="12"/>
        <v>100</v>
      </c>
      <c r="T26" s="774" t="s">
        <v>21</v>
      </c>
      <c r="U26" s="775">
        <f t="shared" si="13"/>
        <v>100</v>
      </c>
      <c r="V26" s="774" t="s">
        <v>21</v>
      </c>
      <c r="W26" s="775">
        <f t="shared" si="14"/>
        <v>100</v>
      </c>
      <c r="X26" s="1816"/>
      <c r="Y26" s="316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04"/>
      <c r="Q27" s="1798">
        <f t="shared" si="11"/>
        <v>111</v>
      </c>
      <c r="R27" s="770" t="s">
        <v>21</v>
      </c>
      <c r="S27" s="771">
        <f t="shared" si="12"/>
        <v>100</v>
      </c>
      <c r="T27" s="770" t="s">
        <v>21</v>
      </c>
      <c r="U27" s="771">
        <f t="shared" si="13"/>
        <v>100</v>
      </c>
      <c r="V27" s="770" t="s">
        <v>21</v>
      </c>
      <c r="W27" s="771">
        <f t="shared" si="14"/>
        <v>100</v>
      </c>
      <c r="X27" s="772"/>
      <c r="Y27" s="316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04"/>
      <c r="Q28" s="1813">
        <f t="shared" si="11"/>
        <v>111</v>
      </c>
      <c r="R28" s="774" t="s">
        <v>21</v>
      </c>
      <c r="S28" s="775">
        <f t="shared" si="12"/>
        <v>100</v>
      </c>
      <c r="T28" s="774" t="s">
        <v>21</v>
      </c>
      <c r="U28" s="775">
        <f t="shared" si="13"/>
        <v>100</v>
      </c>
      <c r="V28" s="774" t="s">
        <v>21</v>
      </c>
      <c r="W28" s="775">
        <f t="shared" si="14"/>
        <v>100</v>
      </c>
      <c r="X28" s="1816"/>
      <c r="Y28" s="316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04"/>
      <c r="Q29" s="1813">
        <f t="shared" si="11"/>
        <v>111</v>
      </c>
      <c r="R29" s="774" t="s">
        <v>21</v>
      </c>
      <c r="S29" s="775">
        <f t="shared" si="12"/>
        <v>100</v>
      </c>
      <c r="T29" s="774" t="s">
        <v>21</v>
      </c>
      <c r="U29" s="775">
        <f t="shared" si="13"/>
        <v>100</v>
      </c>
      <c r="V29" s="774" t="s">
        <v>21</v>
      </c>
      <c r="W29" s="775">
        <f t="shared" si="14"/>
        <v>100</v>
      </c>
      <c r="X29" s="1816"/>
      <c r="Y29" s="316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04"/>
      <c r="Q30" s="1813">
        <f t="shared" si="11"/>
        <v>111</v>
      </c>
      <c r="R30" s="774" t="s">
        <v>21</v>
      </c>
      <c r="S30" s="775">
        <f t="shared" si="12"/>
        <v>100</v>
      </c>
      <c r="T30" s="774" t="s">
        <v>21</v>
      </c>
      <c r="U30" s="775">
        <f t="shared" si="13"/>
        <v>100</v>
      </c>
      <c r="V30" s="774" t="s">
        <v>21</v>
      </c>
      <c r="W30" s="775">
        <f t="shared" si="14"/>
        <v>100</v>
      </c>
      <c r="X30" s="1816"/>
      <c r="Y30" s="316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04"/>
      <c r="Q31" s="1813">
        <f t="shared" si="11"/>
        <v>111</v>
      </c>
      <c r="R31" s="774" t="s">
        <v>21</v>
      </c>
      <c r="S31" s="775">
        <f t="shared" si="12"/>
        <v>100</v>
      </c>
      <c r="T31" s="774" t="s">
        <v>21</v>
      </c>
      <c r="U31" s="775">
        <f t="shared" si="13"/>
        <v>100</v>
      </c>
      <c r="V31" s="774" t="s">
        <v>21</v>
      </c>
      <c r="W31" s="775">
        <f t="shared" si="14"/>
        <v>100</v>
      </c>
      <c r="X31" s="1816"/>
      <c r="Y31" s="3165"/>
      <c r="Z31" s="1817">
        <f t="shared" si="18"/>
        <v>111</v>
      </c>
      <c r="AA31" s="1814">
        <f t="shared" si="15"/>
        <v>1</v>
      </c>
      <c r="AB31" s="1814">
        <f t="shared" si="16"/>
        <v>1</v>
      </c>
      <c r="AC31" s="1814">
        <f t="shared" si="17"/>
        <v>1</v>
      </c>
    </row>
    <row r="32" spans="1:29" ht="15">
      <c r="A32" s="440" t="s">
        <v>2568</v>
      </c>
      <c r="B32" s="71" t="s">
        <v>2569</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00" t="s">
        <v>2570</v>
      </c>
      <c r="Q32" s="1813" t="str">
        <f t="shared" si="11"/>
        <v>建筑类型</v>
      </c>
      <c r="R32" s="774" t="s">
        <v>21</v>
      </c>
      <c r="S32" s="775">
        <f t="shared" si="12"/>
        <v>100</v>
      </c>
      <c r="T32" s="774" t="s">
        <v>21</v>
      </c>
      <c r="U32" s="775">
        <f t="shared" si="13"/>
        <v>100</v>
      </c>
      <c r="V32" s="774" t="s">
        <v>21</v>
      </c>
      <c r="W32" s="775">
        <f t="shared" si="14"/>
        <v>100</v>
      </c>
      <c r="X32" s="1816"/>
      <c r="Y32" s="3167"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01"/>
      <c r="Q33" s="776" t="str">
        <f t="shared" si="11"/>
        <v>项目建筑规模</v>
      </c>
      <c r="R33" s="777" t="s">
        <v>21</v>
      </c>
      <c r="S33" s="778" t="e">
        <f t="shared" si="12"/>
        <v>#N/A</v>
      </c>
      <c r="T33" s="777" t="s">
        <v>21</v>
      </c>
      <c r="U33" s="778" t="e">
        <f t="shared" si="13"/>
        <v>#N/A</v>
      </c>
      <c r="V33" s="777" t="s">
        <v>21</v>
      </c>
      <c r="W33" s="778" t="e">
        <f t="shared" si="14"/>
        <v>#N/A</v>
      </c>
      <c r="X33" s="779"/>
      <c r="Y33" s="3167"/>
      <c r="Z33" s="780" t="str">
        <f t="shared" si="18"/>
        <v>项目建筑规模</v>
      </c>
      <c r="AA33" s="1814" t="e">
        <f t="shared" si="15"/>
        <v>#N/A</v>
      </c>
      <c r="AB33" s="1814" t="e">
        <f t="shared" si="16"/>
        <v>#N/A</v>
      </c>
      <c r="AC33" s="1814" t="e">
        <f t="shared" si="17"/>
        <v>#N/A</v>
      </c>
    </row>
    <row r="34" spans="1:29" ht="15">
      <c r="A34" s="472"/>
      <c r="B34" s="422" t="s">
        <v>2572</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01"/>
      <c r="Q34" s="1813" t="str">
        <f t="shared" si="11"/>
        <v>建筑结构</v>
      </c>
      <c r="R34" s="774" t="s">
        <v>21</v>
      </c>
      <c r="S34" s="775">
        <f t="shared" si="12"/>
        <v>100</v>
      </c>
      <c r="T34" s="774" t="s">
        <v>21</v>
      </c>
      <c r="U34" s="775">
        <f t="shared" si="13"/>
        <v>100</v>
      </c>
      <c r="V34" s="774" t="s">
        <v>21</v>
      </c>
      <c r="W34" s="775">
        <f t="shared" si="14"/>
        <v>100</v>
      </c>
      <c r="X34" s="1816"/>
      <c r="Y34" s="3167"/>
      <c r="Z34" s="1817" t="str">
        <f t="shared" si="18"/>
        <v>建筑结构</v>
      </c>
      <c r="AA34" s="1814">
        <f t="shared" si="15"/>
        <v>1</v>
      </c>
      <c r="AB34" s="1814">
        <f t="shared" si="16"/>
        <v>1</v>
      </c>
      <c r="AC34" s="1814">
        <f t="shared" si="17"/>
        <v>1</v>
      </c>
    </row>
    <row r="35" spans="1:29" ht="15">
      <c r="A35" s="472"/>
      <c r="B35" s="422" t="s">
        <v>2573</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01"/>
      <c r="Q35" s="1813" t="str">
        <f t="shared" si="11"/>
        <v>建筑品质</v>
      </c>
      <c r="R35" s="774" t="s">
        <v>21</v>
      </c>
      <c r="S35" s="775">
        <f t="shared" si="12"/>
        <v>100</v>
      </c>
      <c r="T35" s="774" t="s">
        <v>21</v>
      </c>
      <c r="U35" s="775">
        <f t="shared" si="13"/>
        <v>100</v>
      </c>
      <c r="V35" s="774" t="s">
        <v>21</v>
      </c>
      <c r="W35" s="775">
        <f t="shared" si="14"/>
        <v>100</v>
      </c>
      <c r="X35" s="1816"/>
      <c r="Y35" s="3167"/>
      <c r="Z35" s="1817" t="str">
        <f t="shared" si="18"/>
        <v>建筑品质</v>
      </c>
      <c r="AA35" s="1814">
        <f t="shared" si="15"/>
        <v>1</v>
      </c>
      <c r="AB35" s="1814">
        <f t="shared" si="16"/>
        <v>1</v>
      </c>
      <c r="AC35" s="1814">
        <f t="shared" si="17"/>
        <v>1</v>
      </c>
    </row>
    <row r="36" spans="1:29" ht="15">
      <c r="A36" s="472"/>
      <c r="B36" s="422" t="s">
        <v>2574</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01"/>
      <c r="Q36" s="1813" t="str">
        <f t="shared" si="11"/>
        <v>公共部分装修</v>
      </c>
      <c r="R36" s="774" t="s">
        <v>21</v>
      </c>
      <c r="S36" s="775">
        <f t="shared" si="12"/>
        <v>100</v>
      </c>
      <c r="T36" s="774" t="s">
        <v>21</v>
      </c>
      <c r="U36" s="775">
        <f t="shared" si="13"/>
        <v>100</v>
      </c>
      <c r="V36" s="774" t="s">
        <v>21</v>
      </c>
      <c r="W36" s="775">
        <f t="shared" si="14"/>
        <v>100</v>
      </c>
      <c r="X36" s="1816"/>
      <c r="Y36" s="3167"/>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1"/>
      <c r="Q37" s="1798" t="str">
        <f t="shared" si="11"/>
        <v>成新度</v>
      </c>
      <c r="R37" s="770" t="s">
        <v>21</v>
      </c>
      <c r="S37" s="771" t="e">
        <f t="shared" si="12"/>
        <v>#N/A</v>
      </c>
      <c r="T37" s="770" t="s">
        <v>21</v>
      </c>
      <c r="U37" s="771" t="e">
        <f t="shared" si="13"/>
        <v>#N/A</v>
      </c>
      <c r="V37" s="770" t="s">
        <v>21</v>
      </c>
      <c r="W37" s="771" t="e">
        <f t="shared" si="14"/>
        <v>#N/A</v>
      </c>
      <c r="X37" s="772"/>
      <c r="Y37" s="3167"/>
      <c r="Z37" s="55" t="str">
        <f t="shared" si="18"/>
        <v>成新度</v>
      </c>
      <c r="AA37" s="773" t="e">
        <f t="shared" si="15"/>
        <v>#N/A</v>
      </c>
      <c r="AB37" s="773" t="e">
        <f t="shared" si="16"/>
        <v>#N/A</v>
      </c>
      <c r="AC37" s="773" t="e">
        <f t="shared" si="17"/>
        <v>#N/A</v>
      </c>
    </row>
    <row r="38" spans="1:29" ht="15">
      <c r="A38" s="472"/>
      <c r="B38" s="422" t="s">
        <v>2576</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01" t="s">
        <v>2570</v>
      </c>
      <c r="Q38" s="1813" t="str">
        <f t="shared" si="11"/>
        <v>物业管理</v>
      </c>
      <c r="R38" s="774" t="s">
        <v>21</v>
      </c>
      <c r="S38" s="775">
        <f t="shared" si="12"/>
        <v>100</v>
      </c>
      <c r="T38" s="774" t="s">
        <v>21</v>
      </c>
      <c r="U38" s="775">
        <f t="shared" si="13"/>
        <v>100</v>
      </c>
      <c r="V38" s="774" t="s">
        <v>21</v>
      </c>
      <c r="W38" s="775">
        <f t="shared" si="14"/>
        <v>100</v>
      </c>
      <c r="X38" s="1816"/>
      <c r="Y38" s="3167" t="s">
        <v>2570</v>
      </c>
      <c r="Z38" s="1817" t="str">
        <f t="shared" si="18"/>
        <v>物业管理</v>
      </c>
      <c r="AA38" s="1814">
        <f t="shared" si="15"/>
        <v>1</v>
      </c>
      <c r="AB38" s="1814">
        <f t="shared" si="16"/>
        <v>1</v>
      </c>
      <c r="AC38" s="1814">
        <f t="shared" si="17"/>
        <v>1</v>
      </c>
    </row>
    <row r="39" spans="1:29" ht="15">
      <c r="A39" s="472"/>
      <c r="B39" s="422" t="s">
        <v>2577</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01"/>
      <c r="Q39" s="1813" t="str">
        <f t="shared" si="11"/>
        <v>市政基础设施</v>
      </c>
      <c r="R39" s="774" t="s">
        <v>21</v>
      </c>
      <c r="S39" s="775">
        <f t="shared" si="12"/>
        <v>100</v>
      </c>
      <c r="T39" s="774" t="s">
        <v>21</v>
      </c>
      <c r="U39" s="775">
        <f t="shared" si="13"/>
        <v>100</v>
      </c>
      <c r="V39" s="774" t="s">
        <v>21</v>
      </c>
      <c r="W39" s="775">
        <f t="shared" si="14"/>
        <v>100</v>
      </c>
      <c r="X39" s="1816"/>
      <c r="Y39" s="3167"/>
      <c r="Z39" s="1817" t="str">
        <f t="shared" si="18"/>
        <v>市政基础设施</v>
      </c>
      <c r="AA39" s="1814">
        <f t="shared" si="15"/>
        <v>1</v>
      </c>
      <c r="AB39" s="1814">
        <f t="shared" si="16"/>
        <v>1</v>
      </c>
      <c r="AC39" s="1814">
        <f t="shared" si="17"/>
        <v>1</v>
      </c>
    </row>
    <row r="40" spans="1:29" ht="15">
      <c r="A40" s="472"/>
      <c r="B40" s="422" t="s">
        <v>2578</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01"/>
      <c r="Q40" s="1813" t="str">
        <f t="shared" si="11"/>
        <v>房型</v>
      </c>
      <c r="R40" s="774" t="s">
        <v>21</v>
      </c>
      <c r="S40" s="775">
        <f t="shared" si="12"/>
        <v>100</v>
      </c>
      <c r="T40" s="774" t="s">
        <v>21</v>
      </c>
      <c r="U40" s="775">
        <f t="shared" si="13"/>
        <v>100</v>
      </c>
      <c r="V40" s="774" t="s">
        <v>21</v>
      </c>
      <c r="W40" s="775">
        <f t="shared" si="14"/>
        <v>100</v>
      </c>
      <c r="X40" s="1816"/>
      <c r="Y40" s="3167"/>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01"/>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4">
        <f t="shared" si="15"/>
        <v>1</v>
      </c>
      <c r="AB41" s="1814">
        <f t="shared" si="16"/>
        <v>1</v>
      </c>
      <c r="AC41" s="1814">
        <f t="shared" si="17"/>
        <v>1</v>
      </c>
    </row>
    <row r="42" spans="1:29" ht="15">
      <c r="A42" s="472"/>
      <c r="B42" s="422" t="s">
        <v>2580</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01"/>
      <c r="Q42" s="1813" t="str">
        <f t="shared" si="11"/>
        <v>内部装修</v>
      </c>
      <c r="R42" s="774" t="s">
        <v>21</v>
      </c>
      <c r="S42" s="775">
        <f t="shared" si="12"/>
        <v>100</v>
      </c>
      <c r="T42" s="774" t="s">
        <v>21</v>
      </c>
      <c r="U42" s="775">
        <f t="shared" si="13"/>
        <v>100</v>
      </c>
      <c r="V42" s="774" t="s">
        <v>21</v>
      </c>
      <c r="W42" s="775">
        <f t="shared" si="14"/>
        <v>100</v>
      </c>
      <c r="X42" s="1816"/>
      <c r="Y42" s="3167"/>
      <c r="Z42" s="1817" t="str">
        <f t="shared" si="18"/>
        <v>内部装修</v>
      </c>
      <c r="AA42" s="1814">
        <f t="shared" si="15"/>
        <v>1</v>
      </c>
      <c r="AB42" s="1814">
        <f t="shared" si="16"/>
        <v>1</v>
      </c>
      <c r="AC42" s="1814">
        <f t="shared" si="17"/>
        <v>1</v>
      </c>
    </row>
    <row r="43" spans="1:29" ht="15.75" thickBot="1">
      <c r="A43" s="472"/>
      <c r="B43" s="422" t="s">
        <v>2581</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01"/>
      <c r="Q43" s="1813" t="str">
        <f t="shared" si="11"/>
        <v>内部装修维护情况</v>
      </c>
      <c r="R43" s="774" t="s">
        <v>21</v>
      </c>
      <c r="S43" s="775">
        <f t="shared" si="12"/>
        <v>100</v>
      </c>
      <c r="T43" s="774" t="s">
        <v>21</v>
      </c>
      <c r="U43" s="775">
        <f t="shared" si="13"/>
        <v>100</v>
      </c>
      <c r="V43" s="774" t="s">
        <v>21</v>
      </c>
      <c r="W43" s="775">
        <f t="shared" si="14"/>
        <v>100</v>
      </c>
      <c r="X43" s="1816"/>
      <c r="Y43" s="3167"/>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01"/>
      <c r="Q44" s="1798">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01"/>
      <c r="Q45" s="1813">
        <f t="shared" si="11"/>
        <v>111</v>
      </c>
      <c r="R45" s="774" t="s">
        <v>21</v>
      </c>
      <c r="S45" s="775">
        <f t="shared" si="12"/>
        <v>100</v>
      </c>
      <c r="T45" s="774" t="s">
        <v>21</v>
      </c>
      <c r="U45" s="775">
        <f t="shared" si="13"/>
        <v>100</v>
      </c>
      <c r="V45" s="774" t="s">
        <v>21</v>
      </c>
      <c r="W45" s="775">
        <f t="shared" si="14"/>
        <v>100</v>
      </c>
      <c r="X45" s="1816"/>
      <c r="Y45" s="3167"/>
      <c r="Z45" s="1817">
        <f t="shared" si="18"/>
        <v>111</v>
      </c>
      <c r="AA45" s="1814">
        <f t="shared" si="15"/>
        <v>1</v>
      </c>
      <c r="AB45" s="1814">
        <f t="shared" si="16"/>
        <v>1</v>
      </c>
      <c r="AC45" s="1814">
        <f t="shared" si="17"/>
        <v>1</v>
      </c>
    </row>
    <row r="46" spans="1:29" ht="15.75" hidden="1"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02"/>
      <c r="Q46" s="1813">
        <f t="shared" si="11"/>
        <v>111</v>
      </c>
      <c r="R46" s="774" t="s">
        <v>20</v>
      </c>
      <c r="S46" s="775">
        <f t="shared" si="12"/>
        <v>100</v>
      </c>
      <c r="T46" s="774" t="s">
        <v>20</v>
      </c>
      <c r="U46" s="775">
        <f t="shared" si="13"/>
        <v>100</v>
      </c>
      <c r="V46" s="774" t="s">
        <v>20</v>
      </c>
      <c r="W46" s="775">
        <f t="shared" si="14"/>
        <v>100</v>
      </c>
      <c r="X46" s="1816"/>
      <c r="Y46" s="3168"/>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7"/>
      <c r="L47" s="1146"/>
      <c r="M47" s="1147"/>
      <c r="N47" s="1134"/>
      <c r="O47" s="1147"/>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2583</v>
      </c>
      <c r="B48" s="487"/>
      <c r="C48" s="1416" t="e">
        <f>R49</f>
        <v>#N/A</v>
      </c>
      <c r="D48" s="1417"/>
      <c r="E48" s="1418" t="e">
        <f>R48</f>
        <v>#N/A</v>
      </c>
      <c r="F48" s="1418"/>
      <c r="G48" s="1416" t="e">
        <f>T48</f>
        <v>#N/A</v>
      </c>
      <c r="H48" s="1417"/>
      <c r="I48" s="1418" t="e">
        <f>V48</f>
        <v>#N/A</v>
      </c>
      <c r="J48" s="1417"/>
      <c r="K48" s="2628"/>
      <c r="L48" s="1146"/>
      <c r="M48" s="1147"/>
      <c r="N48" s="1147"/>
      <c r="O48" s="1147"/>
      <c r="P48" s="3159" t="str">
        <f>A48</f>
        <v>比较价值（元/平方米）</v>
      </c>
      <c r="Q48" s="3159"/>
      <c r="R48" s="3160" t="e">
        <f>IF(F1="售价",ROUND(PRODUCT(R47,AA7:AA46),0),ROUND(PRODUCT(R47,AA7:AA46),1))</f>
        <v>#N/A</v>
      </c>
      <c r="S48" s="3160"/>
      <c r="T48" s="3160" t="e">
        <f>IF(F1="售价",ROUND(PRODUCT(T47,AB7:AB46),0),ROUND(PRODUCT(T47,AB7:AB46),1))</f>
        <v>#N/A</v>
      </c>
      <c r="U48" s="3160"/>
      <c r="V48" s="3160" t="e">
        <f>IF(F1="售价",ROUND(PRODUCT(V47,AC7:AC46),0),ROUND(PRODUCT(V47,AC7:AC46),1))</f>
        <v>#N/A</v>
      </c>
      <c r="W48" s="3160"/>
      <c r="X48" s="759"/>
      <c r="Y48" s="759"/>
      <c r="Z48" s="759"/>
      <c r="AA48" s="759"/>
      <c r="AB48" s="759"/>
      <c r="AC48" s="759"/>
    </row>
    <row r="49" spans="1:29" ht="15.75" thickBot="1">
      <c r="A49" s="492" t="s">
        <v>2584</v>
      </c>
      <c r="B49" s="493"/>
      <c r="C49" s="1419" t="e">
        <f>R49</f>
        <v>#N/A</v>
      </c>
      <c r="D49" s="1420"/>
      <c r="E49" s="1420"/>
      <c r="F49" s="1420"/>
      <c r="G49" s="1420"/>
      <c r="H49" s="1420"/>
      <c r="I49" s="1420"/>
      <c r="J49" s="1420"/>
      <c r="K49" s="2629"/>
      <c r="L49" s="1146"/>
      <c r="M49" s="1147"/>
      <c r="N49" s="1147"/>
      <c r="O49" s="1147"/>
      <c r="P49" s="3161" t="str">
        <f>A49</f>
        <v>估价对象XX用房的比较价值（楼面单价，元/平方米）</v>
      </c>
      <c r="Q49" s="3162"/>
      <c r="R49" s="3163" t="e">
        <f>IF(F1="售价",ROUND(AVERAGE(R48:V48),0),ROUND(AVERAGE(R48:V48),1))</f>
        <v>#N/A</v>
      </c>
      <c r="S49" s="3163"/>
      <c r="T49" s="3163"/>
      <c r="U49" s="3163"/>
      <c r="V49" s="3163"/>
      <c r="W49" s="31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8"/>
      <c r="L52" s="1109"/>
      <c r="M52" s="1147"/>
      <c r="N52" s="1147"/>
      <c r="O52" s="1147"/>
    </row>
    <row r="53" spans="1:29" ht="13.5" customHeight="1">
      <c r="A53" s="1147"/>
      <c r="B53" s="1147"/>
      <c r="C53" s="497" t="s">
        <v>2586</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2"/>
      <c r="Q57" s="504"/>
    </row>
    <row r="58" spans="1:29" s="508" customFormat="1" ht="15">
      <c r="A58" s="505" t="s">
        <v>2589</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2591</v>
      </c>
      <c r="B61" s="510"/>
      <c r="C61" s="522" t="s">
        <v>2592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t="str">
        <f>C9</f>
        <v>锅炉房</v>
      </c>
      <c r="D63" s="2962" t="s">
        <v>3104</v>
      </c>
      <c r="E63" s="530"/>
      <c r="F63" s="530"/>
      <c r="G63" s="530"/>
      <c r="H63" s="530"/>
      <c r="I63" s="530"/>
      <c r="J63" s="530"/>
      <c r="K63" s="531"/>
      <c r="L63" s="532"/>
      <c r="M63" s="533"/>
      <c r="N63" s="1155"/>
      <c r="O63" s="1155"/>
      <c r="P63" s="2636"/>
      <c r="Q63" s="504"/>
    </row>
    <row r="64" spans="1:29" ht="15.75" thickBot="1">
      <c r="A64" s="534"/>
      <c r="B64" s="535"/>
      <c r="C64" s="536">
        <v>100</v>
      </c>
      <c r="D64" s="536">
        <v>100</v>
      </c>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2563</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v>1</v>
      </c>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2101</v>
      </c>
      <c r="C82" s="539" t="s">
        <v>2609</v>
      </c>
      <c r="D82" s="539" t="s">
        <v>2610</v>
      </c>
      <c r="E82" s="539" t="s">
        <v>2611</v>
      </c>
      <c r="F82" s="539" t="s">
        <v>2612</v>
      </c>
      <c r="G82" s="539" t="s">
        <v>2613</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2616</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2568</v>
      </c>
      <c r="B100" s="528" t="s">
        <v>2617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2620</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2621</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2624</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2627</v>
      </c>
    </row>
    <row r="137" spans="1:17" ht="15">
      <c r="B137" s="2644" t="s">
        <v>2628</v>
      </c>
      <c r="C137" s="2645"/>
      <c r="D137" s="2645"/>
      <c r="E137" s="2645"/>
      <c r="F137" s="2645"/>
      <c r="G137" s="2646"/>
      <c r="H137" s="2647"/>
      <c r="I137" s="2648" t="s">
        <v>2629</v>
      </c>
      <c r="J137" s="2645"/>
      <c r="K137" s="2649"/>
    </row>
    <row r="138" spans="1:17" ht="15">
      <c r="B138" s="2650"/>
      <c r="C138" s="146" t="s">
        <v>2630</v>
      </c>
      <c r="D138" s="146" t="s">
        <v>2631</v>
      </c>
      <c r="E138" s="2651" t="s">
        <v>2632</v>
      </c>
      <c r="F138" s="2652" t="s">
        <v>2633</v>
      </c>
      <c r="G138" s="146" t="s">
        <v>2631</v>
      </c>
      <c r="H138" s="147" t="s">
        <v>2632</v>
      </c>
      <c r="I138" s="2653"/>
      <c r="J138" s="146" t="s">
        <v>2634</v>
      </c>
      <c r="K138" s="147" t="s">
        <v>2635</v>
      </c>
    </row>
    <row r="139" spans="1:17" ht="15">
      <c r="B139" s="1087">
        <v>6</v>
      </c>
      <c r="C139" s="1088">
        <v>96</v>
      </c>
      <c r="D139" s="2654" t="s">
        <v>2636</v>
      </c>
      <c r="E139" s="1089">
        <v>100</v>
      </c>
      <c r="F139" s="1090">
        <v>102.5</v>
      </c>
      <c r="G139" s="2654" t="s">
        <v>2636</v>
      </c>
      <c r="H139" s="1091">
        <v>105</v>
      </c>
      <c r="I139" s="2655" t="s">
        <v>2637</v>
      </c>
      <c r="J139" s="1088">
        <v>20</v>
      </c>
      <c r="K139" s="1092">
        <f>C145/(J139-2)</f>
        <v>4.0555555555555553E-3</v>
      </c>
    </row>
    <row r="140" spans="1:17" ht="15">
      <c r="B140" s="1093">
        <v>5</v>
      </c>
      <c r="C140" s="1094">
        <v>100</v>
      </c>
      <c r="D140" s="1094"/>
      <c r="E140" s="1095"/>
      <c r="F140" s="1096">
        <v>102</v>
      </c>
      <c r="G140" s="1094"/>
      <c r="H140" s="1097"/>
      <c r="I140" s="2656" t="s">
        <v>2638</v>
      </c>
      <c r="J140" s="315">
        <f>ROUNDUP((J139-1)/2,0)</f>
        <v>10</v>
      </c>
      <c r="K140" s="1098">
        <v>100</v>
      </c>
    </row>
    <row r="141" spans="1:17" ht="15">
      <c r="B141" s="1093">
        <v>4</v>
      </c>
      <c r="C141" s="1094">
        <v>102</v>
      </c>
      <c r="D141" s="1094"/>
      <c r="E141" s="1095"/>
      <c r="F141" s="1096">
        <v>101.5</v>
      </c>
      <c r="G141" s="1094"/>
      <c r="H141" s="1097"/>
      <c r="I141" s="2656" t="s">
        <v>2639</v>
      </c>
      <c r="J141" s="315">
        <v>1</v>
      </c>
      <c r="K141" s="1099">
        <f>ROUND(100+(J141-J140)*K139*100,1)</f>
        <v>96.4</v>
      </c>
    </row>
    <row r="142" spans="1:17" ht="15">
      <c r="B142" s="1093">
        <v>3</v>
      </c>
      <c r="C142" s="1094">
        <v>103</v>
      </c>
      <c r="D142" s="1094"/>
      <c r="E142" s="1095"/>
      <c r="F142" s="1096">
        <v>101</v>
      </c>
      <c r="G142" s="1094"/>
      <c r="H142" s="1097"/>
      <c r="I142" s="2656" t="s">
        <v>2640</v>
      </c>
      <c r="J142" s="315">
        <f>J139</f>
        <v>20</v>
      </c>
      <c r="K142" s="1100">
        <v>95</v>
      </c>
    </row>
    <row r="143" spans="1:17" ht="15">
      <c r="B143" s="1093">
        <v>2</v>
      </c>
      <c r="C143" s="1094">
        <v>100</v>
      </c>
      <c r="D143" s="1094"/>
      <c r="E143" s="1095"/>
      <c r="F143" s="1096">
        <v>100.5</v>
      </c>
      <c r="G143" s="1094"/>
      <c r="H143" s="1097"/>
      <c r="I143" s="2656" t="s">
        <v>2641</v>
      </c>
      <c r="J143" s="1094">
        <v>15</v>
      </c>
      <c r="K143" s="1099">
        <f>ROUND(100+(J143-J140)*K139*100,1)</f>
        <v>102</v>
      </c>
    </row>
    <row r="144" spans="1:17" ht="15">
      <c r="B144" s="1093">
        <v>1</v>
      </c>
      <c r="C144" s="1094">
        <v>98</v>
      </c>
      <c r="D144" s="2657" t="s">
        <v>2642</v>
      </c>
      <c r="E144" s="1095">
        <v>102</v>
      </c>
      <c r="F144" s="1101">
        <v>100</v>
      </c>
      <c r="G144" s="2657" t="s">
        <v>2642</v>
      </c>
      <c r="H144" s="1097">
        <v>105</v>
      </c>
      <c r="I144" s="2656" t="s">
        <v>2641</v>
      </c>
      <c r="J144" s="1094">
        <v>18</v>
      </c>
      <c r="K144" s="1099">
        <f>ROUND(100+(J144-J140)*K139*100,1)</f>
        <v>103.2</v>
      </c>
    </row>
    <row r="145" spans="2:11" ht="15.75" thickBot="1">
      <c r="B145" s="2658" t="s">
        <v>2643</v>
      </c>
      <c r="C145" s="1102">
        <f>ROUND(MAX(C139:C144)/MIN(C139:C144)-1,3)</f>
        <v>7.2999999999999995E-2</v>
      </c>
      <c r="D145" s="1103"/>
      <c r="E145" s="1103"/>
      <c r="F145" s="2659" t="s">
        <v>2644</v>
      </c>
      <c r="G145" s="2660"/>
      <c r="H145" s="2661"/>
      <c r="I145" s="2662" t="s">
        <v>2641</v>
      </c>
      <c r="J145" s="1104">
        <v>8</v>
      </c>
      <c r="K145" s="1105">
        <f>ROUND(100+(J145-J140)*K139*100,1)</f>
        <v>99.2</v>
      </c>
    </row>
    <row r="147" spans="2:11">
      <c r="B147" s="2643" t="s">
        <v>2645</v>
      </c>
    </row>
    <row r="148" spans="2:11">
      <c r="B148" s="2643"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t="s">
        <v>3060</v>
      </c>
      <c r="C1" s="242"/>
      <c r="D1" s="242"/>
      <c r="E1" s="242"/>
      <c r="F1" s="242"/>
      <c r="G1" s="1382">
        <f>MATCH(B1,'数据-取费表'!A6:A16,0)+5</f>
        <v>6</v>
      </c>
    </row>
    <row r="2" spans="1:9" s="244" customFormat="1" ht="18" customHeight="1">
      <c r="A2" s="245" t="s">
        <v>2332</v>
      </c>
      <c r="B2" s="246">
        <f ca="1">IF(D2="——",C52,C52-E2)</f>
        <v>2587</v>
      </c>
      <c r="C2" s="243" t="s">
        <v>2333</v>
      </c>
      <c r="D2" s="2553" t="s">
        <v>70</v>
      </c>
      <c r="E2" s="1443">
        <f ca="1">SUMIF(INDIRECT("'"&amp;G2&amp;"'"&amp;"!A:A"),"承租人权益价值",INDIRECT("'"&amp;G2&amp;"'"&amp;"!c:c"))</f>
        <v>-3008</v>
      </c>
      <c r="F2" s="2554" t="s">
        <v>2333</v>
      </c>
      <c r="G2" s="2555" t="s">
        <v>3071</v>
      </c>
    </row>
    <row r="3" spans="1:9" s="244" customFormat="1" ht="18" customHeight="1" thickBot="1">
      <c r="A3" s="247" t="s">
        <v>2334</v>
      </c>
      <c r="B3" s="248">
        <f ca="1">ROUND(B2*10000/(IF(B1="",'数据-汇总表'!E3,INDIRECT("'数据-取费表'!k"&amp;$G$1))),0)</f>
        <v>19780</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1947</v>
      </c>
      <c r="D5" s="255" t="s">
        <v>2339</v>
      </c>
      <c r="E5" s="256" t="s">
        <v>2340</v>
      </c>
      <c r="F5" s="256" t="s">
        <v>2341</v>
      </c>
      <c r="G5" s="257"/>
    </row>
    <row r="6" spans="1:9" s="258" customFormat="1" ht="13.5" customHeight="1">
      <c r="A6" s="952" t="s">
        <v>2342</v>
      </c>
      <c r="B6" s="259" t="s">
        <v>2343</v>
      </c>
      <c r="C6" s="260">
        <f ca="1">基准地价修正!C26</f>
        <v>1889</v>
      </c>
      <c r="D6" s="261"/>
      <c r="E6" s="262"/>
      <c r="F6" s="262"/>
      <c r="G6" s="263"/>
    </row>
    <row r="7" spans="1:9" s="258" customFormat="1" ht="13.5" customHeight="1">
      <c r="A7" s="952" t="s">
        <v>2344</v>
      </c>
      <c r="B7" s="259" t="s">
        <v>2345</v>
      </c>
      <c r="C7" s="264">
        <f ca="1">ROUND(C6*F7,0)</f>
        <v>58</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0</v>
      </c>
      <c r="D8" s="266"/>
      <c r="E8" s="264"/>
      <c r="F8" s="265"/>
      <c r="G8" s="2556" t="s">
        <v>3072</v>
      </c>
    </row>
    <row r="9" spans="1:9" s="258" customFormat="1" ht="13.5" customHeight="1">
      <c r="A9" s="953" t="s">
        <v>800</v>
      </c>
      <c r="B9" s="268" t="s">
        <v>2348</v>
      </c>
      <c r="C9" s="269">
        <f ca="1">ROUND(D9*E9/10000,0)</f>
        <v>0</v>
      </c>
      <c r="D9" s="1035">
        <f ca="1">IF(B1="",'数据-汇总表'!E5,IF(INDIRECT("'数据-取费表'!c"&amp;$G$1)="住宅",INDIRECT("'数据-取费表'!k"&amp;$G$1),0))</f>
        <v>1307.9000000000001</v>
      </c>
      <c r="E9" s="269">
        <f>'数据-取费表'!B27</f>
        <v>0</v>
      </c>
      <c r="F9" s="265"/>
      <c r="G9" s="2557" t="s">
        <v>3073</v>
      </c>
      <c r="H9" s="1393"/>
      <c r="I9" s="2558"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10" s="258" customFormat="1" ht="13.5" hidden="1" customHeight="1">
      <c r="A17" s="271" t="s">
        <v>13</v>
      </c>
      <c r="B17" s="259" t="s">
        <v>2358</v>
      </c>
      <c r="C17" s="273"/>
      <c r="D17" s="1038"/>
      <c r="E17" s="273"/>
      <c r="F17" s="273"/>
      <c r="G17" s="263" t="s">
        <v>2357</v>
      </c>
    </row>
    <row r="18" spans="1:10" s="258" customFormat="1" ht="13.5" hidden="1" customHeight="1">
      <c r="A18" s="271" t="s">
        <v>14</v>
      </c>
      <c r="B18" s="259" t="s">
        <v>2359</v>
      </c>
      <c r="C18" s="264">
        <v>0</v>
      </c>
      <c r="D18" s="1037"/>
      <c r="E18" s="262"/>
      <c r="F18" s="265">
        <v>3.0499999999999999E-2</v>
      </c>
      <c r="G18" s="263" t="s">
        <v>2360</v>
      </c>
    </row>
    <row r="19" spans="1:10" s="267" customFormat="1" ht="13.5" customHeight="1">
      <c r="A19" s="299" t="s">
        <v>2361</v>
      </c>
      <c r="B19" s="254" t="s">
        <v>2362</v>
      </c>
      <c r="C19" s="255">
        <f ca="1">IF(G19="已包含在土地取得成本中","0",ROUND(D19*E19/10000,0))</f>
        <v>26</v>
      </c>
      <c r="D19" s="1039">
        <f ca="1">D9+D10</f>
        <v>1307.9000000000001</v>
      </c>
      <c r="E19" s="255">
        <f>'数据-取费表'!B31</f>
        <v>200</v>
      </c>
      <c r="F19" s="275"/>
      <c r="G19" s="2556" t="s">
        <v>1074</v>
      </c>
    </row>
    <row r="20" spans="1:10" s="258" customFormat="1" ht="13.5" customHeight="1">
      <c r="A20" s="299" t="s">
        <v>2363</v>
      </c>
      <c r="B20" s="254" t="s">
        <v>2364</v>
      </c>
      <c r="C20" s="276">
        <f ca="1">ROUND((C5+C19)*F20,0)</f>
        <v>39</v>
      </c>
      <c r="D20" s="276"/>
      <c r="E20" s="276"/>
      <c r="F20" s="277">
        <f>'数据-取费表'!B37</f>
        <v>0.02</v>
      </c>
      <c r="G20" s="278" t="s">
        <v>2365</v>
      </c>
    </row>
    <row r="21" spans="1:10" s="258" customFormat="1" ht="13.5" customHeight="1">
      <c r="A21" s="299" t="s">
        <v>2366</v>
      </c>
      <c r="B21" s="254" t="s">
        <v>2367</v>
      </c>
      <c r="C21" s="279">
        <f>F21</f>
        <v>0.02</v>
      </c>
      <c r="D21" s="280" t="s">
        <v>2368</v>
      </c>
      <c r="E21" s="276"/>
      <c r="F21" s="277">
        <f>'数据-取费表'!B38</f>
        <v>0.02</v>
      </c>
      <c r="G21" s="278" t="s">
        <v>2369</v>
      </c>
    </row>
    <row r="22" spans="1:10" s="258" customFormat="1" ht="13.5" customHeight="1">
      <c r="A22" s="299" t="s">
        <v>2370</v>
      </c>
      <c r="B22" s="254" t="s">
        <v>2371</v>
      </c>
      <c r="C22" s="1357">
        <f ca="1">ROUND(SUM(C23:C25),0)</f>
        <v>87</v>
      </c>
      <c r="D22" s="279">
        <f ca="1">C26</f>
        <v>4.0000000000000002E-4</v>
      </c>
      <c r="E22" s="280" t="s">
        <v>2368</v>
      </c>
      <c r="F22" s="281">
        <f ca="1">'数据-取费表'!B40</f>
        <v>4.3499999999999997E-2</v>
      </c>
      <c r="G22" s="278" t="str">
        <f>IF('数据-取费表'!B22&lt;=1,"单利计息","复利计息")</f>
        <v>单利计息</v>
      </c>
    </row>
    <row r="23" spans="1:10" s="258" customFormat="1" ht="13.5" customHeight="1">
      <c r="A23" s="954" t="s">
        <v>2372</v>
      </c>
      <c r="B23" s="259" t="s">
        <v>2373</v>
      </c>
      <c r="C23" s="1358">
        <f ca="1">ROUND(IF('数据-取费表'!B22&lt;=1,C5*F22*'数据-取费表'!B23,C5*(POWER((1+F22),'数据-取费表'!B23)-1)),0)</f>
        <v>85</v>
      </c>
      <c r="D23" s="282"/>
      <c r="E23" s="282"/>
      <c r="F23" s="283"/>
      <c r="G23" s="284" t="s">
        <v>2374</v>
      </c>
    </row>
    <row r="24" spans="1:10" s="258" customFormat="1" ht="13.5" customHeight="1">
      <c r="A24" s="954" t="s">
        <v>2375</v>
      </c>
      <c r="B24" s="259" t="s">
        <v>2376</v>
      </c>
      <c r="C24" s="1358">
        <f ca="1">ROUND(IF('数据-取费表'!B22&lt;=1,C19*F22*('数据-取费表'!B19/2+'数据-取费表'!B21),C19*(POWER((1+F22),('数据-取费表'!B19/2+'数据-取费表'!B21))-1)),0)</f>
        <v>1</v>
      </c>
      <c r="D24" s="282"/>
      <c r="E24" s="282"/>
      <c r="F24" s="283"/>
      <c r="G24" s="284" t="s">
        <v>2377</v>
      </c>
    </row>
    <row r="25" spans="1:10" s="258" customFormat="1" ht="24">
      <c r="A25" s="954" t="s">
        <v>2378</v>
      </c>
      <c r="B25" s="259" t="s">
        <v>2379</v>
      </c>
      <c r="C25" s="1358">
        <f ca="1">ROUND(IF('数据-取费表'!B22&lt;=1,C20*F22*'数据-取费表'!B23/2,C20*(POWER((1+F22),'数据-取费表'!B23/2)-1)),0)</f>
        <v>1</v>
      </c>
      <c r="D25" s="282"/>
      <c r="E25" s="285"/>
      <c r="F25" s="283"/>
      <c r="G25" s="286" t="s">
        <v>2380</v>
      </c>
      <c r="I25" s="2963" t="s">
        <v>3122</v>
      </c>
      <c r="J25" s="258">
        <f ca="1">ROUND(基准地价修正!E29*0.15,0)</f>
        <v>283</v>
      </c>
    </row>
    <row r="26" spans="1:10" s="258" customFormat="1">
      <c r="A26" s="954" t="s">
        <v>795</v>
      </c>
      <c r="B26" s="259" t="s">
        <v>2381</v>
      </c>
      <c r="C26" s="282">
        <f ca="1">ROUND(IF('数据-取费表'!B22&lt;=1,F21*F22*'数据-取费表'!B23/2,F21*(POWER((1+F22),'数据-取费表'!B23/2)-1)),4)</f>
        <v>4.0000000000000002E-4</v>
      </c>
      <c r="D26" s="282"/>
      <c r="E26" s="285"/>
      <c r="F26" s="283"/>
      <c r="G26" s="287"/>
      <c r="I26" s="2963" t="s">
        <v>3123</v>
      </c>
      <c r="J26" s="2964">
        <f ca="1">B2-J25</f>
        <v>2304</v>
      </c>
    </row>
    <row r="27" spans="1:10" s="258" customFormat="1" ht="24.75">
      <c r="A27" s="299" t="s">
        <v>2382</v>
      </c>
      <c r="B27" s="288" t="s">
        <v>2383</v>
      </c>
      <c r="C27" s="289">
        <f ca="1">C28</f>
        <v>101</v>
      </c>
      <c r="D27" s="279">
        <f ca="1">C29</f>
        <v>1E-3</v>
      </c>
      <c r="E27" s="280" t="s">
        <v>2384</v>
      </c>
      <c r="F27" s="290">
        <f ca="1">IF(B1="",'数据-取费表'!Q16,INDIRECT("'数据-取费表'!q"&amp;$G$1))</f>
        <v>0.05</v>
      </c>
      <c r="G27" s="291" t="s">
        <v>2385</v>
      </c>
    </row>
    <row r="28" spans="1:10" s="258" customFormat="1" ht="13.5" customHeight="1">
      <c r="A28" s="954" t="s">
        <v>791</v>
      </c>
      <c r="B28" s="292" t="s">
        <v>2386</v>
      </c>
      <c r="C28" s="293">
        <f ca="1">ROUND((C5+C19+C20)*F27*'数据-取费表'!B21/'数据-取费表'!B20,0)</f>
        <v>101</v>
      </c>
      <c r="D28" s="279"/>
      <c r="E28" s="280"/>
      <c r="F28" s="290"/>
      <c r="G28" s="291"/>
    </row>
    <row r="29" spans="1:10" s="258" customFormat="1" ht="13.5" customHeight="1">
      <c r="A29" s="954" t="s">
        <v>792</v>
      </c>
      <c r="B29" s="292" t="s">
        <v>2387</v>
      </c>
      <c r="C29" s="282">
        <f ca="1">ROUND(C21*F27*'数据-取费表'!B21/'数据-取费表'!B20,4)</f>
        <v>1E-3</v>
      </c>
      <c r="D29" s="279"/>
      <c r="E29" s="280"/>
      <c r="F29" s="290"/>
      <c r="G29" s="291"/>
    </row>
    <row r="30" spans="1:10"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10" ht="16.5" customHeight="1">
      <c r="A31" s="253">
        <v>1</v>
      </c>
      <c r="B31" s="254" t="s">
        <v>2391</v>
      </c>
      <c r="C31" s="255">
        <f ca="1">ROUND((C5+C19+C20+C22+C27)/(1-C21-D22-D27-C30),0)</f>
        <v>2375</v>
      </c>
      <c r="D31" s="274"/>
      <c r="E31" s="255"/>
      <c r="F31" s="294"/>
      <c r="G31" s="278" t="s">
        <v>2392</v>
      </c>
    </row>
    <row r="32" spans="1:10" s="252" customFormat="1" ht="15.75">
      <c r="A32" s="296" t="s">
        <v>2393</v>
      </c>
      <c r="B32" s="297"/>
      <c r="C32" s="297"/>
      <c r="D32" s="297"/>
      <c r="E32" s="297"/>
      <c r="F32" s="297"/>
      <c r="G32" s="298"/>
    </row>
    <row r="33" spans="1:7" s="258" customFormat="1" ht="13.5" customHeight="1">
      <c r="A33" s="299" t="s">
        <v>782</v>
      </c>
      <c r="B33" s="254" t="s">
        <v>2394</v>
      </c>
      <c r="C33" s="300">
        <f ca="1">SUM(C34:C38)</f>
        <v>300</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262</v>
      </c>
      <c r="D34" s="261"/>
      <c r="E34" s="264"/>
      <c r="F34" s="301">
        <f ca="1">IF('数据-取费表'!B24=0,1,IF(B1="",'数据-取费表'!N16,INDIRECT("'数据-取费表'!n"&amp;$G$1)))</f>
        <v>1</v>
      </c>
      <c r="G34" s="263" t="s">
        <v>2396</v>
      </c>
    </row>
    <row r="35" spans="1:7" ht="13.5" customHeight="1">
      <c r="A35" s="954" t="s">
        <v>796</v>
      </c>
      <c r="B35" s="259" t="s">
        <v>2397</v>
      </c>
      <c r="C35" s="264">
        <f ca="1">ROUND(C34*F35,0)</f>
        <v>8</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26</v>
      </c>
      <c r="D37" s="261">
        <f ca="1">D19</f>
        <v>1307.9000000000001</v>
      </c>
      <c r="E37" s="293">
        <f>'数据-取费表'!B35</f>
        <v>200</v>
      </c>
      <c r="F37" s="303"/>
      <c r="G37" s="305" t="s">
        <v>2402</v>
      </c>
    </row>
    <row r="38" spans="1:7" ht="13.5" customHeight="1">
      <c r="A38" s="954" t="s">
        <v>799</v>
      </c>
      <c r="B38" s="259" t="s">
        <v>2403</v>
      </c>
      <c r="C38" s="264">
        <f ca="1">ROUND(C34*F38,0)</f>
        <v>4</v>
      </c>
      <c r="D38" s="264"/>
      <c r="E38" s="264"/>
      <c r="F38" s="303">
        <f>'数据-取费表'!B36</f>
        <v>1.4999999999999999E-2</v>
      </c>
      <c r="G38" s="263" t="s">
        <v>2398</v>
      </c>
    </row>
    <row r="39" spans="1:7" s="258" customFormat="1" ht="13.5" customHeight="1">
      <c r="A39" s="299" t="s">
        <v>2404</v>
      </c>
      <c r="B39" s="254" t="s">
        <v>2405</v>
      </c>
      <c r="C39" s="276">
        <f ca="1">ROUND(C33*F20,0)</f>
        <v>6</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7</v>
      </c>
      <c r="D41" s="279">
        <f ca="1">C44</f>
        <v>4.0000000000000002E-4</v>
      </c>
      <c r="E41" s="280" t="s">
        <v>2409</v>
      </c>
      <c r="F41" s="281"/>
      <c r="G41" s="278" t="str">
        <f>IF('数据-取费表'!B22&lt;=1,"单利计息","复利计息")</f>
        <v>单利计息</v>
      </c>
    </row>
    <row r="42" spans="1:7" ht="13.5" customHeight="1">
      <c r="A42" s="954" t="s">
        <v>791</v>
      </c>
      <c r="B42" s="259" t="s">
        <v>2413</v>
      </c>
      <c r="C42" s="282">
        <f ca="1">ROUND(IF('数据-取费表'!B22&lt;=1,C33*F22*'数据-取费表'!B21/2,C33*(POWER((1+F22),'数据-取费表'!B21/2)-1)),0)</f>
        <v>7</v>
      </c>
      <c r="D42" s="282"/>
      <c r="E42" s="282"/>
      <c r="F42" s="283"/>
      <c r="G42" s="3207" t="s">
        <v>2414</v>
      </c>
    </row>
    <row r="43" spans="1:7" ht="13.5" customHeight="1">
      <c r="A43" s="954" t="s">
        <v>792</v>
      </c>
      <c r="B43" s="259" t="s">
        <v>2415</v>
      </c>
      <c r="C43" s="282">
        <f ca="1">ROUND(IF('数据-取费表'!B22&lt;=1,C39*F22*'数据-取费表'!B21/2,C39*(POWER((1+F22),'数据-取费表'!B21/2)-1)),0)</f>
        <v>0</v>
      </c>
      <c r="D43" s="282"/>
      <c r="E43" s="282"/>
      <c r="F43" s="283"/>
      <c r="G43" s="3208"/>
    </row>
    <row r="44" spans="1:7" ht="13.5" customHeight="1">
      <c r="A44" s="954" t="s">
        <v>793</v>
      </c>
      <c r="B44" s="259" t="s">
        <v>2416</v>
      </c>
      <c r="C44" s="282">
        <f ca="1">ROUND(IF('数据-取费表'!B22&lt;=1,C40*F22*'数据-取费表'!B21/2,C40*(POWER((1+F22),'数据-取费表'!B21/2)-1)),4)</f>
        <v>4.0000000000000002E-4</v>
      </c>
      <c r="D44" s="282"/>
      <c r="E44" s="282"/>
      <c r="F44" s="283"/>
      <c r="G44" s="3209"/>
    </row>
    <row r="45" spans="1:7" s="258" customFormat="1" ht="13.5" customHeight="1">
      <c r="A45" s="299" t="s">
        <v>2417</v>
      </c>
      <c r="B45" s="288" t="s">
        <v>2383</v>
      </c>
      <c r="C45" s="289">
        <f ca="1">C46</f>
        <v>15</v>
      </c>
      <c r="D45" s="279">
        <f ca="1">C47</f>
        <v>1E-3</v>
      </c>
      <c r="E45" s="280" t="s">
        <v>2409</v>
      </c>
      <c r="F45" s="290"/>
      <c r="G45" s="291" t="s">
        <v>2418</v>
      </c>
    </row>
    <row r="46" spans="1:7" s="258" customFormat="1" ht="13.5" customHeight="1">
      <c r="A46" s="954" t="s">
        <v>791</v>
      </c>
      <c r="B46" s="292" t="s">
        <v>2419</v>
      </c>
      <c r="C46" s="293">
        <f ca="1">ROUND((C33+C39)*F27,0)</f>
        <v>15</v>
      </c>
      <c r="D46" s="307"/>
      <c r="E46" s="280"/>
      <c r="F46" s="290"/>
      <c r="G46" s="291"/>
    </row>
    <row r="47" spans="1:7" s="258" customFormat="1" ht="13.5" customHeight="1">
      <c r="A47" s="954" t="s">
        <v>792</v>
      </c>
      <c r="B47" s="292" t="s">
        <v>2420</v>
      </c>
      <c r="C47" s="282">
        <f ca="1">ROUND(C40*F27,4)</f>
        <v>1E-3</v>
      </c>
      <c r="D47" s="307"/>
      <c r="E47" s="280"/>
      <c r="F47" s="290"/>
      <c r="G47" s="291"/>
    </row>
    <row r="48" spans="1:7" s="258" customFormat="1" ht="13.5" customHeight="1">
      <c r="A48" s="299" t="s">
        <v>2382</v>
      </c>
      <c r="B48" s="254" t="s">
        <v>2421</v>
      </c>
      <c r="C48" s="1731">
        <f>ROUND(F30/(1+'数据-取费表'!C42),4)</f>
        <v>5.2400000000000002E-2</v>
      </c>
      <c r="D48" s="280" t="s">
        <v>2409</v>
      </c>
      <c r="E48" s="276"/>
      <c r="F48" s="281"/>
      <c r="G48" s="278" t="s">
        <v>2422</v>
      </c>
    </row>
    <row r="49" spans="1:7" ht="16.5" customHeight="1">
      <c r="A49" s="299" t="s">
        <v>2388</v>
      </c>
      <c r="B49" s="254" t="s">
        <v>2423</v>
      </c>
      <c r="C49" s="276">
        <f ca="1">ROUND((C33+C39+C41+C45)/(1-C40-D41-D45-C48),0)</f>
        <v>354</v>
      </c>
      <c r="D49" s="276"/>
      <c r="E49" s="276"/>
      <c r="F49" s="308"/>
      <c r="G49" s="278" t="s">
        <v>2424</v>
      </c>
    </row>
    <row r="50" spans="1:7" s="302" customFormat="1" ht="24">
      <c r="A50" s="299" t="s">
        <v>2425</v>
      </c>
      <c r="B50" s="254" t="s">
        <v>2426</v>
      </c>
      <c r="C50" s="276"/>
      <c r="D50" s="276"/>
      <c r="E50" s="276"/>
      <c r="F50" s="308">
        <f>IF('数据-取费表'!B24=0,'数据-取费表'!N16,1)</f>
        <v>0.6</v>
      </c>
      <c r="G50" s="291" t="s">
        <v>2427</v>
      </c>
    </row>
    <row r="51" spans="1:7" ht="16.5" customHeight="1">
      <c r="A51" s="299" t="s">
        <v>2428</v>
      </c>
      <c r="B51" s="254" t="s">
        <v>2429</v>
      </c>
      <c r="C51" s="276">
        <f ca="1">ROUND(C49*F50,0)</f>
        <v>212</v>
      </c>
      <c r="D51" s="276"/>
      <c r="E51" s="276"/>
      <c r="F51" s="308"/>
      <c r="G51" s="278" t="s">
        <v>2430</v>
      </c>
    </row>
    <row r="52" spans="1:7" s="252" customFormat="1" ht="16.5" thickBot="1">
      <c r="A52" s="309" t="s">
        <v>2431</v>
      </c>
      <c r="B52" s="310"/>
      <c r="C52" s="311">
        <f ca="1">C31+C51</f>
        <v>2587</v>
      </c>
      <c r="D52" s="310"/>
      <c r="E52" s="310"/>
      <c r="F52" s="310"/>
      <c r="G52" s="312"/>
    </row>
    <row r="55" spans="1:7" ht="15">
      <c r="B55" s="314" t="s">
        <v>2432</v>
      </c>
      <c r="C55" s="315"/>
    </row>
    <row r="56" spans="1:7">
      <c r="B56" s="317" t="s">
        <v>1513</v>
      </c>
      <c r="C56" s="319">
        <f ca="1">1-C57</f>
        <v>0.91800000000000004</v>
      </c>
    </row>
    <row r="57" spans="1:7">
      <c r="B57" s="317" t="s">
        <v>1514</v>
      </c>
      <c r="C57" s="318">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40" workbookViewId="0">
      <selection activeCell="C5" sqref="C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t="s">
        <v>3060</v>
      </c>
      <c r="C1" s="2559" t="s">
        <v>2433</v>
      </c>
      <c r="D1" s="242"/>
      <c r="E1" s="242"/>
      <c r="F1" s="242"/>
      <c r="G1" s="1382">
        <f>MATCH(B1,'数据-取费表'!A6:A16,0)+5</f>
        <v>6</v>
      </c>
      <c r="H1" s="1285" t="str">
        <f>IF(ISERROR(FIND("住宅",B1)),"非住宅","住宅")</f>
        <v>非住宅</v>
      </c>
    </row>
    <row r="2" spans="1:8" s="244" customFormat="1" ht="18" customHeight="1">
      <c r="A2" s="245" t="s">
        <v>2332</v>
      </c>
      <c r="B2" s="246">
        <f ca="1">ROUND(IF(D2="——",C52/10000,C52/10000-E2),0)</f>
        <v>2587</v>
      </c>
      <c r="C2" s="243" t="s">
        <v>2333</v>
      </c>
      <c r="D2" s="2553" t="s">
        <v>70</v>
      </c>
      <c r="E2" s="1443">
        <f ca="1">SUMIF(INDIRECT("'"&amp;G2&amp;"'"&amp;"!A:A"),"承租人权益价值",INDIRECT("'"&amp;G2&amp;"'"&amp;"!c:c"))</f>
        <v>-3008</v>
      </c>
      <c r="F2" s="2554" t="s">
        <v>2333</v>
      </c>
      <c r="G2" s="2555" t="s">
        <v>3071</v>
      </c>
    </row>
    <row r="3" spans="1:8" s="244" customFormat="1" ht="18" customHeight="1" thickBot="1">
      <c r="A3" s="247" t="s">
        <v>2334</v>
      </c>
      <c r="B3" s="248">
        <f ca="1">ROUND(B2*10000/(IF(B1="",'数据-汇总表'!E3,INDIRECT("'数据-取费表'!k"&amp;$G$1))),0)</f>
        <v>19780</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19470188</v>
      </c>
      <c r="D5" s="255" t="s">
        <v>2339</v>
      </c>
      <c r="E5" s="256" t="s">
        <v>2340</v>
      </c>
      <c r="F5" s="256" t="s">
        <v>2341</v>
      </c>
      <c r="G5" s="257"/>
    </row>
    <row r="6" spans="1:8" s="258" customFormat="1" ht="13.5" customHeight="1">
      <c r="A6" s="952" t="s">
        <v>2342</v>
      </c>
      <c r="B6" s="259" t="s">
        <v>2343</v>
      </c>
      <c r="C6" s="260">
        <f ca="1">ROUND(基准地价修正!C29*基准地价修正!D29,0)</f>
        <v>18893923</v>
      </c>
      <c r="D6" s="261"/>
      <c r="E6" s="262"/>
      <c r="F6" s="262"/>
      <c r="G6" s="263"/>
    </row>
    <row r="7" spans="1:8" s="258" customFormat="1" ht="13.5" customHeight="1">
      <c r="A7" s="952" t="s">
        <v>2344</v>
      </c>
      <c r="B7" s="259" t="s">
        <v>2345</v>
      </c>
      <c r="C7" s="264">
        <f ca="1">ROUND(C6*F7,0)</f>
        <v>576265</v>
      </c>
      <c r="D7" s="264"/>
      <c r="E7" s="262"/>
      <c r="F7" s="265">
        <f>'数据-取费表'!B48+'数据-取费表'!B49</f>
        <v>3.0499999999999999E-2</v>
      </c>
      <c r="G7" s="263"/>
    </row>
    <row r="8" spans="1:8" s="267" customFormat="1">
      <c r="A8" s="952" t="s">
        <v>2346</v>
      </c>
      <c r="B8" s="259" t="s">
        <v>2347</v>
      </c>
      <c r="C8" s="264">
        <f ca="1">IF(G8="已包含在土地购买价格中",0,C9+C10)</f>
        <v>0</v>
      </c>
      <c r="D8" s="266"/>
      <c r="E8" s="264"/>
      <c r="F8" s="265"/>
      <c r="G8" s="2556" t="s">
        <v>3072</v>
      </c>
    </row>
    <row r="9" spans="1:8" s="258" customFormat="1" ht="13.5" customHeight="1">
      <c r="A9" s="953" t="s">
        <v>800</v>
      </c>
      <c r="B9" s="268" t="s">
        <v>2348</v>
      </c>
      <c r="C9" s="269">
        <f ca="1">ROUND(D9*E9,0)</f>
        <v>0</v>
      </c>
      <c r="D9" s="1035">
        <f ca="1">IF(B1="",'数据-汇总表'!E5,IF(INDIRECT("'数据-取费表'!c"&amp;$G$1)="住宅",INDIRECT("'数据-取费表'!k"&amp;$G$1),0))</f>
        <v>1307.9000000000001</v>
      </c>
      <c r="E9" s="269">
        <f>'数据-取费表'!B27</f>
        <v>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261580</v>
      </c>
      <c r="D19" s="1039">
        <f ca="1">D9+D10</f>
        <v>1307.9000000000001</v>
      </c>
      <c r="E19" s="255">
        <f>'数据-取费表'!B31</f>
        <v>200</v>
      </c>
      <c r="F19" s="275"/>
      <c r="G19" s="2556" t="s">
        <v>1074</v>
      </c>
    </row>
    <row r="20" spans="1:7" s="258" customFormat="1" ht="13.5" customHeight="1">
      <c r="A20" s="299" t="s">
        <v>2444</v>
      </c>
      <c r="B20" s="254" t="s">
        <v>2445</v>
      </c>
      <c r="C20" s="276">
        <f ca="1">ROUND((C5+C19)*F20,0)</f>
        <v>394635</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866915</v>
      </c>
      <c r="D22" s="279">
        <f ca="1">C26</f>
        <v>4.0000000000000002E-4</v>
      </c>
      <c r="E22" s="280" t="s">
        <v>2449</v>
      </c>
      <c r="F22" s="281">
        <f ca="1">'数据-取费表'!B40</f>
        <v>4.3499999999999997E-2</v>
      </c>
      <c r="G22" s="278" t="str">
        <f>IF('数据-取费表'!B22&lt;=1,"单利计息","复利计息")</f>
        <v>单利计息</v>
      </c>
    </row>
    <row r="23" spans="1:7" s="258" customFormat="1" ht="13.5" customHeight="1">
      <c r="A23" s="954" t="s">
        <v>2342</v>
      </c>
      <c r="B23" s="259" t="s">
        <v>2453</v>
      </c>
      <c r="C23" s="1384">
        <f ca="1">ROUND(IF('数据-取费表'!B22&lt;=1,C5*F22*'数据-取费表'!B22,C5*(POWER((1+F22),'数据-取费表'!B22)-1)),0)</f>
        <v>846953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11379</v>
      </c>
      <c r="D24" s="282"/>
      <c r="E24" s="282"/>
      <c r="F24" s="283"/>
      <c r="G24" s="284" t="s">
        <v>2456</v>
      </c>
    </row>
    <row r="25" spans="1:7" s="258" customFormat="1" ht="24">
      <c r="A25" s="954" t="s">
        <v>2346</v>
      </c>
      <c r="B25" s="259" t="s">
        <v>2457</v>
      </c>
      <c r="C25" s="1384">
        <f ca="1">ROUND(IF('数据-取费表'!B22&lt;=1,C20*F22*'数据-取费表'!B22/2,C20*(POWER((1+F22),'数据-取费表'!B22/2)-1)),0)</f>
        <v>8583</v>
      </c>
      <c r="D25" s="282"/>
      <c r="E25" s="285"/>
      <c r="F25" s="283"/>
      <c r="G25" s="286" t="s">
        <v>2458</v>
      </c>
    </row>
    <row r="26" spans="1:7" s="258" customFormat="1">
      <c r="A26" s="954" t="s">
        <v>795</v>
      </c>
      <c r="B26" s="259" t="s">
        <v>2381</v>
      </c>
      <c r="C26" s="282">
        <f ca="1">ROUND(IF('数据-取费表'!B22&lt;=1,F21*F22*'数据-取费表'!B22/2,F21*(POWER((1+F22),'数据-取费表'!B22/2)-1)),4)</f>
        <v>4.0000000000000002E-4</v>
      </c>
      <c r="D26" s="282"/>
      <c r="E26" s="285"/>
      <c r="F26" s="283"/>
      <c r="G26" s="287"/>
    </row>
    <row r="27" spans="1:7" s="258" customFormat="1" ht="24.75">
      <c r="A27" s="299" t="s">
        <v>2382</v>
      </c>
      <c r="B27" s="288" t="s">
        <v>2383</v>
      </c>
      <c r="C27" s="289">
        <f ca="1">C28</f>
        <v>1006320</v>
      </c>
      <c r="D27" s="279">
        <f ca="1">C29</f>
        <v>1E-3</v>
      </c>
      <c r="E27" s="280" t="s">
        <v>2384</v>
      </c>
      <c r="F27" s="290">
        <f ca="1">IF(B1="",'数据-取费表'!Q16,INDIRECT("'数据-取费表'!q"&amp;$G$1))</f>
        <v>0.05</v>
      </c>
      <c r="G27" s="291" t="s">
        <v>2385</v>
      </c>
    </row>
    <row r="28" spans="1:7" s="258" customFormat="1" ht="13.5" customHeight="1">
      <c r="A28" s="954" t="s">
        <v>791</v>
      </c>
      <c r="B28" s="292" t="s">
        <v>2386</v>
      </c>
      <c r="C28" s="293">
        <f ca="1">ROUND((C5+C19+C20)*F27,0)</f>
        <v>1006320</v>
      </c>
      <c r="D28" s="279"/>
      <c r="E28" s="280"/>
      <c r="F28" s="290"/>
      <c r="G28" s="291"/>
    </row>
    <row r="29" spans="1:7" s="258" customFormat="1" ht="13.5" customHeight="1">
      <c r="A29" s="954" t="s">
        <v>792</v>
      </c>
      <c r="B29" s="292" t="s">
        <v>2387</v>
      </c>
      <c r="C29" s="282">
        <f ca="1">ROUND(C21*F27,4)</f>
        <v>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23752578</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2995091</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2615800</v>
      </c>
      <c r="D34" s="261"/>
      <c r="E34" s="264"/>
      <c r="F34" s="301"/>
      <c r="G34" s="263"/>
    </row>
    <row r="35" spans="1:7" ht="13.5" customHeight="1">
      <c r="A35" s="954" t="s">
        <v>796</v>
      </c>
      <c r="B35" s="259" t="s">
        <v>2397</v>
      </c>
      <c r="C35" s="264">
        <f ca="1">ROUND(C34*F35,0)</f>
        <v>78474</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261580</v>
      </c>
      <c r="D37" s="261">
        <f ca="1">D19</f>
        <v>1307.9000000000001</v>
      </c>
      <c r="E37" s="293">
        <f>'数据-取费表'!B35</f>
        <v>200</v>
      </c>
      <c r="F37" s="303"/>
      <c r="G37" s="305"/>
    </row>
    <row r="38" spans="1:7" ht="13.5" customHeight="1">
      <c r="A38" s="954" t="s">
        <v>799</v>
      </c>
      <c r="B38" s="259" t="s">
        <v>2403</v>
      </c>
      <c r="C38" s="264">
        <f ca="1">ROUND(C34*F38,0)</f>
        <v>39237</v>
      </c>
      <c r="D38" s="264"/>
      <c r="E38" s="264"/>
      <c r="F38" s="303">
        <f>'数据-取费表'!B36</f>
        <v>1.4999999999999999E-2</v>
      </c>
      <c r="G38" s="263" t="s">
        <v>2398</v>
      </c>
    </row>
    <row r="39" spans="1:7" s="258" customFormat="1" ht="13.5" customHeight="1">
      <c r="A39" s="299" t="s">
        <v>2404</v>
      </c>
      <c r="B39" s="254" t="s">
        <v>2405</v>
      </c>
      <c r="C39" s="276">
        <f ca="1">ROUND(C33*F20,0)</f>
        <v>59902</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66446</v>
      </c>
      <c r="D41" s="279">
        <f ca="1">C44</f>
        <v>4.0000000000000002E-4</v>
      </c>
      <c r="E41" s="280" t="s">
        <v>2409</v>
      </c>
      <c r="F41" s="281"/>
      <c r="G41" s="278" t="str">
        <f>IF('数据-取费表'!B22&lt;=1,"单利计息","复利计息")</f>
        <v>单利计息</v>
      </c>
    </row>
    <row r="42" spans="1:7" ht="13.5" customHeight="1">
      <c r="A42" s="954" t="s">
        <v>791</v>
      </c>
      <c r="B42" s="259" t="s">
        <v>2413</v>
      </c>
      <c r="C42" s="282">
        <f ca="1">ROUND(IF('数据-取费表'!B22&lt;=1,C33*F22*'数据-取费表'!B20/2,C33*(POWER((1+F22),'数据-取费表'!B20/2)-1)),0)</f>
        <v>65143</v>
      </c>
      <c r="D42" s="282"/>
      <c r="E42" s="282"/>
      <c r="F42" s="283"/>
      <c r="G42" s="3207" t="s">
        <v>2461</v>
      </c>
    </row>
    <row r="43" spans="1:7" ht="13.5" customHeight="1">
      <c r="A43" s="954" t="s">
        <v>792</v>
      </c>
      <c r="B43" s="259" t="s">
        <v>2415</v>
      </c>
      <c r="C43" s="282">
        <f ca="1">ROUND(IF('数据-取费表'!B22&lt;=1,C39*F22*'数据-取费表'!B20/2,C39*(POWER((1+F22),'数据-取费表'!B20/2)-1)),0)</f>
        <v>1303</v>
      </c>
      <c r="D43" s="282"/>
      <c r="E43" s="282"/>
      <c r="F43" s="283"/>
      <c r="G43" s="3208"/>
    </row>
    <row r="44" spans="1:7" ht="13.5" customHeight="1">
      <c r="A44" s="954" t="s">
        <v>793</v>
      </c>
      <c r="B44" s="259" t="s">
        <v>2416</v>
      </c>
      <c r="C44" s="282">
        <f ca="1">ROUND(IF('数据-取费表'!B22&lt;=1,C40*F22*'数据-取费表'!B20/2,C40*(POWER((1+F22),'数据-取费表'!B20/2)-1)),4)</f>
        <v>4.0000000000000002E-4</v>
      </c>
      <c r="D44" s="282"/>
      <c r="E44" s="282"/>
      <c r="F44" s="283"/>
      <c r="G44" s="3209"/>
    </row>
    <row r="45" spans="1:7" s="258" customFormat="1" ht="13.5" customHeight="1">
      <c r="A45" s="299" t="s">
        <v>2417</v>
      </c>
      <c r="B45" s="288" t="s">
        <v>2383</v>
      </c>
      <c r="C45" s="289">
        <f ca="1">C46</f>
        <v>152750</v>
      </c>
      <c r="D45" s="279">
        <f ca="1">C47</f>
        <v>1E-3</v>
      </c>
      <c r="E45" s="280" t="s">
        <v>2409</v>
      </c>
      <c r="F45" s="290"/>
      <c r="G45" s="291" t="s">
        <v>2418</v>
      </c>
    </row>
    <row r="46" spans="1:7" s="258" customFormat="1" ht="13.5" customHeight="1">
      <c r="A46" s="954" t="s">
        <v>791</v>
      </c>
      <c r="B46" s="292" t="s">
        <v>2419</v>
      </c>
      <c r="C46" s="293">
        <f ca="1">ROUND((C33+C39)*F27,0)</f>
        <v>152750</v>
      </c>
      <c r="D46" s="307"/>
      <c r="E46" s="280"/>
      <c r="F46" s="290"/>
      <c r="G46" s="291"/>
    </row>
    <row r="47" spans="1:7" s="258" customFormat="1" ht="13.5" customHeight="1">
      <c r="A47" s="954" t="s">
        <v>792</v>
      </c>
      <c r="B47" s="292" t="s">
        <v>2420</v>
      </c>
      <c r="C47" s="282">
        <f ca="1">ROUND(C40*F27,4)</f>
        <v>1E-3</v>
      </c>
      <c r="D47" s="307"/>
      <c r="E47" s="280"/>
      <c r="F47" s="290"/>
      <c r="G47" s="291"/>
    </row>
    <row r="48" spans="1:7" s="258" customFormat="1" ht="13.5" customHeight="1">
      <c r="A48" s="299" t="s">
        <v>2382</v>
      </c>
      <c r="B48" s="254" t="s">
        <v>2421</v>
      </c>
      <c r="C48" s="306">
        <f>ROUND(F30/(1+'数据-取费表'!C42),4)</f>
        <v>5.2400000000000002E-2</v>
      </c>
      <c r="D48" s="280" t="s">
        <v>2409</v>
      </c>
      <c r="E48" s="276"/>
      <c r="F48" s="281"/>
      <c r="G48" s="278" t="s">
        <v>2422</v>
      </c>
    </row>
    <row r="49" spans="1:7" ht="16.5" customHeight="1">
      <c r="A49" s="299" t="s">
        <v>2388</v>
      </c>
      <c r="B49" s="254" t="s">
        <v>2462</v>
      </c>
      <c r="C49" s="276">
        <f ca="1">ROUND((C33+C39+C41+C45)/(1-C40-D41-D45-C48),0)</f>
        <v>3535078</v>
      </c>
      <c r="D49" s="276"/>
      <c r="E49" s="276"/>
      <c r="F49" s="308"/>
      <c r="G49" s="278" t="s">
        <v>2424</v>
      </c>
    </row>
    <row r="50" spans="1:7" s="302" customFormat="1">
      <c r="A50" s="299" t="s">
        <v>2425</v>
      </c>
      <c r="B50" s="254" t="s">
        <v>2426</v>
      </c>
      <c r="C50" s="276"/>
      <c r="D50" s="276"/>
      <c r="E50" s="276"/>
      <c r="F50" s="308">
        <f>IF('数据-取费表'!B24=0,'数据-取费表'!N16,1)</f>
        <v>0.6</v>
      </c>
      <c r="G50" s="291"/>
    </row>
    <row r="51" spans="1:7" ht="16.5" customHeight="1">
      <c r="A51" s="299" t="s">
        <v>2428</v>
      </c>
      <c r="B51" s="254" t="s">
        <v>2463</v>
      </c>
      <c r="C51" s="276">
        <f ca="1">ROUND(C49*F50,0)</f>
        <v>2121047</v>
      </c>
      <c r="D51" s="276"/>
      <c r="E51" s="276"/>
      <c r="F51" s="308"/>
      <c r="G51" s="278" t="s">
        <v>2430</v>
      </c>
    </row>
    <row r="52" spans="1:7" s="252" customFormat="1" ht="16.5" thickBot="1">
      <c r="A52" s="309" t="s">
        <v>2431</v>
      </c>
      <c r="B52" s="310"/>
      <c r="C52" s="311">
        <f ca="1">C31+C51</f>
        <v>25873625</v>
      </c>
      <c r="D52" s="310"/>
      <c r="E52" s="310"/>
      <c r="F52" s="310"/>
      <c r="G52" s="312"/>
    </row>
    <row r="55" spans="1:7" ht="15">
      <c r="B55" s="314" t="s">
        <v>2432</v>
      </c>
      <c r="C55" s="315"/>
    </row>
    <row r="56" spans="1:7">
      <c r="B56" s="317" t="s">
        <v>1513</v>
      </c>
      <c r="C56" s="319">
        <f ca="1">1-C57</f>
        <v>0.91800000000000004</v>
      </c>
    </row>
    <row r="57" spans="1:7">
      <c r="B57" s="317" t="s">
        <v>1514</v>
      </c>
      <c r="C57" s="318">
        <f ca="1">ROUND(C51/C52,3)</f>
        <v>8.2000000000000003E-2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7</v>
      </c>
    </row>
    <row r="2" spans="1:33" ht="18" customHeight="1">
      <c r="A2" s="245" t="s">
        <v>2332</v>
      </c>
      <c r="B2" s="248">
        <f ca="1">C32</f>
        <v>208</v>
      </c>
      <c r="C2" s="320" t="s">
        <v>2465</v>
      </c>
      <c r="D2" s="320"/>
      <c r="E2" s="320"/>
      <c r="F2" s="320"/>
      <c r="G2" s="320"/>
      <c r="H2" s="320"/>
      <c r="I2" s="320"/>
      <c r="J2" s="320"/>
      <c r="K2" s="320"/>
    </row>
    <row r="3" spans="1:33" ht="18" customHeight="1" thickBot="1">
      <c r="A3" s="247" t="s">
        <v>2334</v>
      </c>
      <c r="B3" s="248">
        <f ca="1">ROUND(B2*10000/IF(C1="",'数据-汇总表'!E3,INDIRECT("'数据-取费表'!K"&amp;$K$1)),0)</f>
        <v>1590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0" t="s">
        <v>2470</v>
      </c>
      <c r="D5" s="2560" t="s">
        <v>2471</v>
      </c>
      <c r="E5" s="2560" t="s">
        <v>2472</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1307.9000000000001</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1307.9000000000001</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-200</v>
      </c>
      <c r="D18" s="1036"/>
      <c r="E18" s="24"/>
      <c r="F18" s="979"/>
      <c r="G18" s="2562"/>
      <c r="H18" s="1580"/>
      <c r="I18" s="2563"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1307.9000000000001</v>
      </c>
      <c r="E19" s="24">
        <f>'数据-取费表'!B27</f>
        <v>0</v>
      </c>
      <c r="F19" s="979"/>
      <c r="G19" s="15"/>
      <c r="H19" s="1582"/>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2501</v>
      </c>
      <c r="C21" s="989">
        <f ca="1">C16+C17+C18</f>
        <v>-200</v>
      </c>
      <c r="D21" s="990"/>
      <c r="E21" s="325"/>
      <c r="F21" s="325"/>
      <c r="G21" s="140" t="s">
        <v>2502</v>
      </c>
      <c r="H21" s="982"/>
      <c r="I21" s="982"/>
      <c r="J21" s="982"/>
      <c r="K21" s="983"/>
    </row>
    <row r="22" spans="1:33" s="978" customFormat="1" ht="13.5" customHeight="1">
      <c r="A22" s="964" t="s">
        <v>2474</v>
      </c>
      <c r="B22" s="988" t="s">
        <v>2503</v>
      </c>
      <c r="C22" s="989">
        <f ca="1">ROUND(C21*F22,0)</f>
        <v>-4</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2514</v>
      </c>
      <c r="B28" s="2565" t="s">
        <v>2515</v>
      </c>
      <c r="C28" s="331">
        <f ca="1">C30</f>
        <v>-10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-10</v>
      </c>
      <c r="D30" s="328"/>
      <c r="E30" s="329"/>
      <c r="F30" s="334"/>
      <c r="G30" s="140"/>
      <c r="H30" s="982"/>
      <c r="I30" s="982"/>
      <c r="J30" s="982"/>
      <c r="K30" s="983"/>
    </row>
    <row r="31" spans="1:33" s="978" customFormat="1" ht="13.5" customHeight="1" thickBot="1">
      <c r="A31" s="2566" t="s">
        <v>2519</v>
      </c>
      <c r="B31" s="1008" t="s">
        <v>2520</v>
      </c>
      <c r="C31" s="1009">
        <f>ROUND(C4*F31/(1+'数据-取费表'!C42),0)</f>
        <v>0</v>
      </c>
      <c r="D31" s="1010"/>
      <c r="E31" s="1011"/>
      <c r="F31" s="1012">
        <f>'数据-取费表'!B41</f>
        <v>5.5000000000000007E-2</v>
      </c>
      <c r="G31" s="1013" t="s">
        <v>2521</v>
      </c>
      <c r="H31" s="1014"/>
      <c r="I31" s="1014"/>
      <c r="J31" s="1014"/>
      <c r="K31" s="1015"/>
    </row>
    <row r="32" spans="1:33" s="973" customFormat="1" ht="13.5" customHeight="1" thickBot="1">
      <c r="A32" s="1003" t="s">
        <v>2522</v>
      </c>
      <c r="B32" s="1004"/>
      <c r="C32" s="1005">
        <f ca="1">ROUND((C4-C21-C22-C23-C25-C28-C31)/(1+C24+D25+D28),0)</f>
        <v>208</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2" zoomScale="90" zoomScaleNormal="90" zoomScaleSheetLayoutView="96" workbookViewId="0">
      <selection activeCell="J81" sqref="J8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2809</v>
      </c>
      <c r="B1" s="241"/>
      <c r="C1" s="245" t="s">
        <v>2810</v>
      </c>
      <c r="D1" s="388">
        <f>SUM(D29:D30,D33:D39)</f>
        <v>1307.9000000000001</v>
      </c>
      <c r="E1" s="2723"/>
      <c r="F1" s="2723"/>
      <c r="G1" s="2723"/>
      <c r="H1" s="2723"/>
      <c r="I1" s="2723"/>
      <c r="J1" s="2723"/>
      <c r="K1" s="1373"/>
      <c r="L1" s="2724" t="s">
        <v>2811</v>
      </c>
      <c r="M1" s="1083">
        <f>SUMPRODUCT((区片价!B5:B9=I2)*(区片价!C3:F3=E2)*(区片价!C5:F9))</f>
        <v>0</v>
      </c>
      <c r="N1" s="1086">
        <f>SUMPRODUCT((因素修正幅度!B5:B9=I2)*(因素修正幅度!C3:F3=E2)*(因素修正幅度!C5:F9))</f>
        <v>0</v>
      </c>
      <c r="O1" s="2725"/>
      <c r="P1" s="2725"/>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f ca="1">C26</f>
        <v>1889</v>
      </c>
      <c r="C2" s="2727" t="s">
        <v>2818</v>
      </c>
      <c r="D2" s="2728" t="s">
        <v>2819</v>
      </c>
      <c r="E2" s="2729" t="s">
        <v>3152</v>
      </c>
      <c r="F2" s="2728" t="s">
        <v>2820</v>
      </c>
      <c r="G2" s="2730" t="str">
        <f>IF(E2="商业",项目基本情况!B37,IF(E2="办公",项目基本情况!C37,IF(E2="住宅",项目基本情况!D37,项目基本情况!E37)))</f>
        <v>七级</v>
      </c>
      <c r="H2" s="2728" t="s">
        <v>2821</v>
      </c>
      <c r="I2" s="2730" t="str">
        <f>IF(E2="商业",项目基本情况!B38,IF(E2="办公",项目基本情况!C38,IF(E2="住宅",项目基本情况!D38,项目基本情况!E38)))</f>
        <v>Ⅶ-兴1</v>
      </c>
      <c r="J2" s="2731"/>
      <c r="K2" s="1373"/>
      <c r="L2" s="2732"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21745</v>
      </c>
      <c r="U2" s="1606"/>
      <c r="V2" s="1605">
        <f ca="1">ROUND(T2*U2/10000,0)</f>
        <v>0</v>
      </c>
      <c r="W2" s="1609"/>
      <c r="X2" s="1609"/>
      <c r="Y2" s="1609"/>
      <c r="Z2" s="1609"/>
      <c r="AA2" s="1609"/>
      <c r="AB2" s="1609"/>
      <c r="AC2" s="1610"/>
      <c r="AD2" s="1611"/>
      <c r="AE2" s="1611"/>
      <c r="AF2" s="1611"/>
      <c r="AG2" s="1611"/>
      <c r="AH2" s="1611"/>
      <c r="AI2" s="1611"/>
      <c r="AJ2" s="1612"/>
    </row>
    <row r="3" spans="1:36" ht="25.5">
      <c r="A3" s="247" t="s">
        <v>2823</v>
      </c>
      <c r="B3" s="248">
        <f ca="1">ROUND(B2*10000/D1,0)</f>
        <v>14443</v>
      </c>
      <c r="C3" s="2727" t="s">
        <v>2824</v>
      </c>
      <c r="D3" s="2728" t="s">
        <v>2825</v>
      </c>
      <c r="E3" s="2733" t="s">
        <v>3153</v>
      </c>
      <c r="F3" s="2734" t="s">
        <v>3116</v>
      </c>
      <c r="G3" s="916">
        <f>IF(F3="宗地容积率",'数据-汇总表'!I4,IF(F3="估价对象容积率",'数据-汇总表'!I6,'数据-汇总表'!I7))</f>
        <v>1</v>
      </c>
      <c r="H3" s="198" t="s">
        <v>2826</v>
      </c>
      <c r="I3" s="947">
        <v>1</v>
      </c>
      <c r="J3" s="2731" t="s">
        <v>2827</v>
      </c>
      <c r="K3" s="1373"/>
      <c r="L3" s="2732" t="s">
        <v>2828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15608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3"/>
      <c r="B4" s="3214"/>
      <c r="C4" s="3214"/>
      <c r="D4" s="3215"/>
      <c r="E4" s="3215"/>
      <c r="F4" s="3215"/>
      <c r="G4" s="3215"/>
      <c r="H4" s="3215"/>
      <c r="I4" s="3215"/>
      <c r="J4" s="3216"/>
      <c r="K4" s="1373"/>
      <c r="L4" s="2732" t="s">
        <v>2829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12592</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2830</v>
      </c>
      <c r="C5" s="917">
        <f>ROUND(IF(E2="商业",IF(F16="增加",C6*C7+C16,C6*C7-C16),IF(E2="住宅",IF(F16="增加",C6*C12+C16,C6*C12-C16),IF(F16="增加",C6+C16,C6-C16))),0)</f>
        <v>9570</v>
      </c>
      <c r="D5" s="1790">
        <f>ROUND(IF(E2="商业",IF(F16="增加",C6+C16,C6-C16)),0)</f>
        <v>0</v>
      </c>
      <c r="E5" s="2737"/>
      <c r="F5" s="2737"/>
      <c r="G5" s="2738"/>
      <c r="H5" s="2738"/>
      <c r="I5" s="2738"/>
      <c r="J5" s="2739"/>
      <c r="K5" s="2740"/>
      <c r="L5" s="2732" t="s">
        <v>2831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10104</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2832</v>
      </c>
      <c r="B6" s="2746" t="s">
        <v>2833</v>
      </c>
      <c r="C6" s="918">
        <f>SUMIF(L1:L12,G2,M1:M12)</f>
        <v>8740</v>
      </c>
      <c r="D6" s="2747" t="s">
        <v>2834</v>
      </c>
      <c r="E6" s="2748"/>
      <c r="F6" s="2748"/>
      <c r="G6" s="2749"/>
      <c r="H6" s="2749"/>
      <c r="I6" s="2749"/>
      <c r="J6" s="2750"/>
      <c r="K6" s="1845"/>
      <c r="L6" s="2732" t="s">
        <v>2835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8604</v>
      </c>
      <c r="U6" s="1606"/>
      <c r="V6" s="1605">
        <f t="shared" ca="1" si="1"/>
        <v>0</v>
      </c>
      <c r="W6" s="1609"/>
      <c r="X6" s="1609"/>
      <c r="Y6" s="1609"/>
      <c r="Z6" s="1609"/>
      <c r="AA6" s="1609"/>
      <c r="AB6" s="1609"/>
      <c r="AC6" s="2741"/>
      <c r="AD6" s="2742"/>
      <c r="AE6" s="2742"/>
      <c r="AF6" s="2742"/>
      <c r="AG6" s="2742"/>
      <c r="AH6" s="2742"/>
      <c r="AI6" s="2742"/>
      <c r="AJ6" s="2743"/>
    </row>
    <row r="7" spans="1:36" ht="24">
      <c r="A7" s="3217" t="str">
        <f>IF(E2="商业",IF(C8="不临58条商业街","",2),"")</f>
        <v/>
      </c>
      <c r="B7" s="2751" t="s">
        <v>2836</v>
      </c>
      <c r="C7" s="919">
        <f>IF(C8="不临58条商业街",1,ROUND(1+(1.6*E8+1.2*E9+0.8*E10+0.4*E11)*C9,4))</f>
        <v>1</v>
      </c>
      <c r="D7" s="2752" t="s">
        <v>2837</v>
      </c>
      <c r="E7" s="948">
        <v>60</v>
      </c>
      <c r="F7" s="2753"/>
      <c r="G7" s="2754"/>
      <c r="H7" s="2754"/>
      <c r="I7" s="2754"/>
      <c r="J7" s="2755"/>
      <c r="K7" s="1845"/>
      <c r="L7" s="2732" t="s">
        <v>2838</v>
      </c>
      <c r="M7" s="1084">
        <f>SUMPRODUCT((区片价!B158:B205=I2)*(区片价!C3:F3=E2)*(区片价!C158:F205))</f>
        <v>8740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7566</v>
      </c>
      <c r="U7" s="1606"/>
      <c r="V7" s="1605">
        <f t="shared" ca="1" si="1"/>
        <v>0</v>
      </c>
      <c r="W7" s="1819" t="s">
        <v>2839</v>
      </c>
      <c r="X7" s="1607" t="str">
        <f>G2</f>
        <v>七级</v>
      </c>
      <c r="Y7" s="1607" t="s">
        <v>2840</v>
      </c>
      <c r="Z7" s="1608">
        <f>G3</f>
        <v>1</v>
      </c>
      <c r="AA7" s="1609"/>
      <c r="AB7" s="1609"/>
      <c r="AC7" s="1610"/>
      <c r="AD7" s="1611"/>
      <c r="AE7" s="1611"/>
      <c r="AF7" s="1611"/>
      <c r="AG7" s="1611"/>
      <c r="AH7" s="1611"/>
      <c r="AI7" s="1611"/>
      <c r="AJ7" s="1612"/>
    </row>
    <row r="8" spans="1:36" ht="25.5">
      <c r="A8" s="3218"/>
      <c r="B8" s="198" t="s">
        <v>2841</v>
      </c>
      <c r="C8" s="2756" t="s">
        <v>3065</v>
      </c>
      <c r="D8" s="920" t="s">
        <v>139</v>
      </c>
      <c r="E8" s="921">
        <f>ROUND(C11/E7,4)</f>
        <v>0</v>
      </c>
      <c r="F8" s="2757" t="s">
        <v>2842</v>
      </c>
      <c r="G8" s="2758"/>
      <c r="H8" s="2758"/>
      <c r="I8" s="2758"/>
      <c r="J8" s="2759"/>
      <c r="K8" s="1373"/>
      <c r="L8" s="2732"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0" t="s">
        <v>2844</v>
      </c>
      <c r="X8" s="3211"/>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218"/>
      <c r="B9" s="198" t="s">
        <v>2857</v>
      </c>
      <c r="C9" s="922">
        <f>SUMIF(修正!C59:C119,C8,修正!E59:E119)</f>
        <v>0</v>
      </c>
      <c r="D9" s="200" t="s">
        <v>140</v>
      </c>
      <c r="E9" s="200">
        <f>ROUND(C11/E7,4)</f>
        <v>0</v>
      </c>
      <c r="F9" s="2757" t="s">
        <v>2858</v>
      </c>
      <c r="G9" s="2758"/>
      <c r="H9" s="2758"/>
      <c r="I9" s="2758"/>
      <c r="J9" s="2759"/>
      <c r="K9" s="1373"/>
      <c r="L9" s="2732"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2"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8"/>
      <c r="B10" s="198" t="s">
        <v>2862</v>
      </c>
      <c r="C10" s="200">
        <f>SUMIF(修正!C59:C119,C8,修正!F59:F119)</f>
        <v>0</v>
      </c>
      <c r="D10" s="200" t="s">
        <v>141</v>
      </c>
      <c r="E10" s="200">
        <f>ROUND(C11/E7,4)</f>
        <v>0</v>
      </c>
      <c r="F10" s="2757" t="s">
        <v>2863</v>
      </c>
      <c r="G10" s="2758"/>
      <c r="H10" s="2758"/>
      <c r="I10" s="2758"/>
      <c r="J10" s="2759"/>
      <c r="K10" s="1373"/>
      <c r="L10" s="2732"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8"/>
      <c r="B11" s="2760" t="s">
        <v>2865</v>
      </c>
      <c r="C11" s="923">
        <f>C10/4</f>
        <v>0</v>
      </c>
      <c r="D11" s="923" t="s">
        <v>142</v>
      </c>
      <c r="E11" s="923">
        <f>ROUND(C11/E7,4)</f>
        <v>0</v>
      </c>
      <c r="F11" s="2761" t="s">
        <v>2866</v>
      </c>
      <c r="G11" s="2762"/>
      <c r="H11" s="2762"/>
      <c r="I11" s="2762"/>
      <c r="J11" s="2763"/>
      <c r="K11" s="1373"/>
      <c r="L11" s="2732"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2" t="s">
        <v>2868</v>
      </c>
      <c r="X11" s="1617" t="s">
        <v>2869</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217" t="s">
        <v>2870</v>
      </c>
      <c r="B12" s="2764" t="s">
        <v>2871</v>
      </c>
      <c r="C12" s="919">
        <f>ROUND(C15*D15*E15*F15*G15*H15*I15*J15,4)</f>
        <v>1.1000000000000001</v>
      </c>
      <c r="D12" s="2765" t="s">
        <v>2872</v>
      </c>
      <c r="E12" s="2766"/>
      <c r="F12" s="2766"/>
      <c r="G12" s="2767"/>
      <c r="H12" s="2767"/>
      <c r="I12" s="2767"/>
      <c r="J12" s="2768"/>
      <c r="K12" s="1373"/>
      <c r="L12" s="2769"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2"/>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9"/>
      <c r="B13" s="2770" t="s">
        <v>2875</v>
      </c>
      <c r="C13" s="2771" t="s">
        <v>2876</v>
      </c>
      <c r="D13" s="1811" t="s">
        <v>2877</v>
      </c>
      <c r="E13" s="1811" t="s">
        <v>2878</v>
      </c>
      <c r="F13" s="30" t="s">
        <v>2879</v>
      </c>
      <c r="G13" s="2772" t="s">
        <v>2880</v>
      </c>
      <c r="H13" s="2772" t="s">
        <v>2880</v>
      </c>
      <c r="I13" s="2772" t="s">
        <v>2880</v>
      </c>
      <c r="J13" s="2773" t="s">
        <v>2880</v>
      </c>
      <c r="K13" s="1373"/>
      <c r="L13" s="1373"/>
      <c r="M13" s="1373"/>
      <c r="N13" s="1373"/>
      <c r="O13" s="1373"/>
      <c r="P13" s="1373"/>
      <c r="Q13" s="1373"/>
      <c r="R13" s="1605">
        <v>12</v>
      </c>
      <c r="S13" s="1606"/>
      <c r="T13" s="1605">
        <f t="shared" ca="1" si="0"/>
        <v>0</v>
      </c>
      <c r="U13" s="1606"/>
      <c r="V13" s="1605">
        <f t="shared" ca="1" si="1"/>
        <v>0</v>
      </c>
      <c r="W13" s="3212"/>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19"/>
      <c r="B14" s="2774"/>
      <c r="C14" s="2775" t="s">
        <v>3067</v>
      </c>
      <c r="D14" s="2776" t="s">
        <v>3066</v>
      </c>
      <c r="E14" s="2776" t="s">
        <v>3066</v>
      </c>
      <c r="F14" s="2777" t="s">
        <v>3068</v>
      </c>
      <c r="G14" s="2778" t="s">
        <v>2881</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0"/>
      <c r="B15" s="2782" t="s">
        <v>2882</v>
      </c>
      <c r="C15" s="229">
        <f>IF(C14="有",1.1,1)</f>
        <v>1.1000000000000001</v>
      </c>
      <c r="D15" s="229">
        <f>IF(D14="有",1.1,1)</f>
        <v>1</v>
      </c>
      <c r="E15" s="229">
        <f>IF(E14="有",1.1,1)</f>
        <v>1</v>
      </c>
      <c r="F15" s="229">
        <f>IF(F14="500米范围内",1.2,IF(F14="500-1000米",1.1,1))</f>
        <v>1</v>
      </c>
      <c r="G15" s="949">
        <v>1</v>
      </c>
      <c r="H15" s="949">
        <v>1</v>
      </c>
      <c r="I15" s="949">
        <v>1</v>
      </c>
      <c r="J15" s="950">
        <v>1</v>
      </c>
      <c r="K15" s="1373"/>
      <c r="L15" s="2783" t="s">
        <v>2819</v>
      </c>
      <c r="M15" s="920" t="s">
        <v>2883</v>
      </c>
      <c r="N15" s="920" t="s">
        <v>2884</v>
      </c>
      <c r="O15" s="920" t="s">
        <v>2885</v>
      </c>
      <c r="P15" s="2784" t="s">
        <v>2886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7" t="s">
        <v>2887</v>
      </c>
      <c r="B16" s="2751" t="s">
        <v>2888</v>
      </c>
      <c r="C16" s="1804">
        <f>ROUND(SUM(G17:J17)/C17,0)</f>
        <v>44</v>
      </c>
      <c r="D16" s="2785" t="s">
        <v>2889</v>
      </c>
      <c r="E16" s="2786" t="s">
        <v>3146</v>
      </c>
      <c r="F16" s="2787" t="s">
        <v>3110</v>
      </c>
      <c r="G16" s="2788" t="s">
        <v>3131</v>
      </c>
      <c r="H16" s="2788" t="s">
        <v>3132</v>
      </c>
      <c r="I16" s="2788" t="s">
        <v>3147</v>
      </c>
      <c r="J16" s="2789"/>
      <c r="K16" s="1373"/>
      <c r="L16" s="2790" t="s">
        <v>2890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8"/>
      <c r="B17" s="2791" t="s">
        <v>2891</v>
      </c>
      <c r="C17" s="924">
        <f>SUMPRODUCT((修正!A2:A5=E2)*(修正!B1:M1=G2)*(修正!B2:M5))</f>
        <v>2.5</v>
      </c>
      <c r="D17" s="2792" t="s">
        <v>2892</v>
      </c>
      <c r="E17" s="923" t="str">
        <f>IF(OR(G2="八级",G2="九级",G2="十级",G2="十一级",G2="十二级"),"五通一平","七通一平")</f>
        <v>七通一平</v>
      </c>
      <c r="F17" s="924" t="s">
        <v>2893</v>
      </c>
      <c r="G17" s="924">
        <f>SUMPRODUCT((七通一平=G16)*(修正!B1:M1=G2)*(修正!B6:M14))</f>
        <v>25</v>
      </c>
      <c r="H17" s="924">
        <f>SUMPRODUCT((七通一平=H16)*(修正!B1:M1=G2)*(修正!B6:M14))</f>
        <v>35</v>
      </c>
      <c r="I17" s="924">
        <f>SUMPRODUCT((七通一平=I16)*(修正!B1:M1=G2)*(修正!B6:M14))</f>
        <v>50</v>
      </c>
      <c r="J17" s="925">
        <f>SUMPRODUCT((七通一平=J16)*(修正!B1:M1=G2)*(修正!B6:M14))</f>
        <v>0</v>
      </c>
      <c r="K17" s="1373"/>
      <c r="L17" s="2793"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2895</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2896</v>
      </c>
      <c r="C19" s="927">
        <f>ROUND(IF(H19="按公示增长率计算",SUMPRODUCT((地价!A3:A23=YEAR(G19)&amp;"-"&amp;ROUNDUP(MONTH(G19)/3,0))*(地价!X2:AB2=E2)*(地价!X3:AB23)),IF(H19="地价指数",M20/M19,(1+I19)^O19)),4)</f>
        <v>1.5306999999999999</v>
      </c>
      <c r="D19" s="2803" t="s">
        <v>2897</v>
      </c>
      <c r="E19" s="928">
        <v>41640</v>
      </c>
      <c r="F19" s="2803" t="s">
        <v>2898</v>
      </c>
      <c r="G19" s="929">
        <f>'数据-取费表'!B2</f>
        <v>43220</v>
      </c>
      <c r="H19" s="2804" t="s">
        <v>3070</v>
      </c>
      <c r="I19" s="930" t="str">
        <f>IF(H19="季度增幅（自定义）",SUMIF(N21:N24,E2,O21:O24),"")</f>
        <v/>
      </c>
      <c r="J19" s="2801"/>
      <c r="K19" s="1380"/>
      <c r="L19" s="2805" t="s">
        <v>2899</v>
      </c>
      <c r="M19" s="1737">
        <f>ROUND(SUMIF(地价!B2:F2,E2,地价!B23:F23),0)</f>
        <v>423</v>
      </c>
      <c r="N19" s="2806" t="s">
        <v>2900</v>
      </c>
      <c r="O19" s="931">
        <f>ROUNDDOWN(DATEDIF(E19,G19,"M")/3,0)</f>
        <v>17</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2901</v>
      </c>
      <c r="C20" s="932">
        <f ca="1">ROUND(POWER(1+G20,J20-I20)*(POWER(1+G20,I20)-1)/(POWER(1+G20,J20)-1),4)</f>
        <v>0.75700000000000001</v>
      </c>
      <c r="D20" s="2812" t="s">
        <v>2902</v>
      </c>
      <c r="E20" s="1771">
        <f ca="1">存贷款利率!D4/100</f>
        <v>4.3499999999999997E-2</v>
      </c>
      <c r="F20" s="2812" t="s">
        <v>2894</v>
      </c>
      <c r="G20" s="937">
        <f ca="1">SUMIF(M15:P15,E2,M17:P17)</f>
        <v>0.05</v>
      </c>
      <c r="H20" s="2812" t="s">
        <v>2903</v>
      </c>
      <c r="I20" s="938">
        <f>SUMIF('数据-取费表'!C6:C15,E2,'数据-取费表'!F6:F15)/COUNTIF('数据-取费表'!C6:C15,E2)</f>
        <v>27</v>
      </c>
      <c r="J20" s="939">
        <f>IF(E2="住宅",70,IF(E2="商业",40,50))</f>
        <v>70</v>
      </c>
      <c r="K20" s="1380"/>
      <c r="L20" s="2813" t="s">
        <v>2904</v>
      </c>
      <c r="M20" s="1738">
        <f>ROUND(SUMPRODUCT((地价!A4:A23=YEAR(G19)&amp;"-"&amp;ROUNDUP(MONTH(G19)/3,0))*(地价!B2:F2=E2)*(地价!B4:F23)),0)</f>
        <v>647</v>
      </c>
      <c r="N20" s="2814" t="s">
        <v>2905</v>
      </c>
      <c r="O20" s="2815" t="s">
        <v>2906</v>
      </c>
      <c r="P20" s="2816" t="s">
        <v>2907</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3069</v>
      </c>
      <c r="C21" s="940">
        <f>IF(B21="容积率修正",IF(G3&lt;=10,D22,J22),C23)</f>
        <v>1.2376</v>
      </c>
      <c r="D21" s="2819"/>
      <c r="E21" s="2819"/>
      <c r="F21" s="2819"/>
      <c r="G21" s="2819"/>
      <c r="H21" s="2819"/>
      <c r="I21" s="2819"/>
      <c r="J21" s="2820"/>
      <c r="K21" s="1380"/>
      <c r="N21" s="2821" t="s">
        <v>2908</v>
      </c>
      <c r="O21" s="1564"/>
      <c r="P21" s="1565">
        <f>SUMPRODUCT((地价!A3:A23=YEAR(G19)&amp;"-"&amp;ROUNDUP(MONTH(G19)/3,0))*(地价!AD2:AH2=N21)*(地价!AD3:AH23))</f>
        <v>1.6199999999999999E-2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1.2376</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813" t="s">
        <v>155</v>
      </c>
      <c r="J22" s="941" t="str">
        <f>IF(G3&gt;10,D113,"——")</f>
        <v>——</v>
      </c>
      <c r="K22" s="1380"/>
      <c r="N22" s="2821" t="s">
        <v>2912</v>
      </c>
      <c r="O22" s="1564"/>
      <c r="P22" s="1565">
        <f>SUMPRODUCT((地价!A3:A23=YEAR(G19)&amp;"-"&amp;ROUNDUP(MONTH(G19)/3,0))*(地价!AD2:AH2=N22)*(地价!AD3:AH23))</f>
        <v>1.6199999999999999E-2</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1.8629</v>
      </c>
      <c r="D23" s="2779"/>
      <c r="E23" s="2779"/>
      <c r="F23" s="2824"/>
      <c r="G23" s="2825"/>
      <c r="H23" s="2826"/>
      <c r="I23" s="2827"/>
      <c r="J23" s="2828"/>
      <c r="K23" s="1373"/>
      <c r="N23" s="2821" t="s">
        <v>2915</v>
      </c>
      <c r="O23" s="1564"/>
      <c r="P23" s="1565">
        <f>SUMPRODUCT((地价!A3:A23=YEAR(G19)&amp;"-"&amp;ROUNDUP(MONTH(G19)/3,0))*(地价!AD2:AH2=N23)*(地价!AD3:AH23))</f>
        <v>2.5899999999999999E-2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1.0526</v>
      </c>
      <c r="D24" s="2799"/>
      <c r="E24" s="2829"/>
      <c r="F24" s="2829"/>
      <c r="G24" s="2829"/>
      <c r="H24" s="2829"/>
      <c r="I24" s="2829"/>
      <c r="J24" s="2830"/>
      <c r="K24" s="1380"/>
      <c r="N24" s="2831" t="s">
        <v>2917</v>
      </c>
      <c r="O24" s="1566"/>
      <c r="P24" s="1567">
        <f>SUMPRODUCT((地价!A3:A23=YEAR(G19)&amp;"-"&amp;ROUNDUP(MONTH(G19)/3,0))*(地价!AD2:AH2=N24)*(地价!AD3:AH23))</f>
        <v>1.49E-2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SUMPRODUCT((地价!A3:A23=YEAR(G19)&amp;"-"&amp;ROUNDUP(MONTH(G19)/3,0))*(地价!AD2:AH2=N25)*(地价!AD3:AH23))</f>
        <v>2.35E-2</v>
      </c>
      <c r="R25" s="1379"/>
      <c r="S25" s="1379"/>
      <c r="T25" s="1374"/>
      <c r="U25" s="1374"/>
      <c r="V25" s="1374"/>
      <c r="W25" s="1373"/>
      <c r="X25" s="1373"/>
      <c r="Y25" s="1373"/>
      <c r="Z25" s="1380"/>
      <c r="AA25" s="1381"/>
      <c r="AB25" s="1381"/>
      <c r="AC25" s="1381"/>
      <c r="AD25" s="1381"/>
    </row>
    <row r="26" spans="1:37" ht="15">
      <c r="A26" s="2835"/>
      <c r="B26" s="2822" t="s">
        <v>2920</v>
      </c>
      <c r="C26" s="206">
        <f ca="1">E29+SUM(E33:E39)</f>
        <v>1889</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f ca="1">ROUND(C5*C18*C19*C20*C21*C24,0)</f>
        <v>14446</v>
      </c>
      <c r="D29" s="2851">
        <f>'数据-基础表'!B3</f>
        <v>1307.9000000000001</v>
      </c>
      <c r="E29" s="945">
        <f ca="1">ROUND(C29*D29/10000,0)</f>
        <v>1889</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f ca="1">ROUND(IF(E2="工业",C29*M39,C29*M38),0)</f>
        <v>3612</v>
      </c>
      <c r="D30" s="2857">
        <v>0</v>
      </c>
      <c r="E30" s="945">
        <f ca="1">ROUND(C30*D30/10000,0)</f>
        <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27" t="s">
        <v>2934</v>
      </c>
      <c r="B33" s="2867" t="s">
        <v>2935</v>
      </c>
      <c r="C33" s="206">
        <f ca="1">ROUND(D5*C19*C20*C24*F33,0)</f>
        <v>0</v>
      </c>
      <c r="D33" s="2851"/>
      <c r="E33" s="200">
        <f ca="1">ROUND(C33*D33/10000,0)</f>
        <v>0</v>
      </c>
      <c r="F33" s="200">
        <f>SUMIF(修正!A45:A56,G2,修正!B45:B56)</f>
        <v>0.7</v>
      </c>
      <c r="G33" s="200">
        <f t="shared" ref="G33"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8"/>
      <c r="B34" s="2771" t="s">
        <v>2936</v>
      </c>
      <c r="C34" s="206">
        <f ca="1">ROUND(D5*C19*C20*C24*F34,0)</f>
        <v>0</v>
      </c>
      <c r="D34" s="2851"/>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8"/>
      <c r="B35" s="2771" t="s">
        <v>2937</v>
      </c>
      <c r="C35" s="206">
        <f ca="1">ROUND(D5*C19*C20*C24*F35,0)</f>
        <v>0</v>
      </c>
      <c r="D35" s="2851"/>
      <c r="E35" s="200">
        <f t="shared" ca="1" si="7"/>
        <v>0</v>
      </c>
      <c r="F35" s="200">
        <f>SUMIF(修正!A45:A56,G2,修正!D45:D56)</f>
        <v>0.28000000000000003</v>
      </c>
      <c r="G35" s="200">
        <f ca="1">ROUND(IF(E2="工业",C35*$M$39,C35*$M$38),0)</f>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29"/>
      <c r="B36" s="2771" t="s">
        <v>2938</v>
      </c>
      <c r="C36" s="206">
        <f ca="1">ROUND(D5*C19*C20*C24*F36,0)</f>
        <v>0</v>
      </c>
      <c r="D36" s="2851"/>
      <c r="E36" s="200">
        <f t="shared" ca="1" si="7"/>
        <v>0</v>
      </c>
      <c r="F36" s="200">
        <f>SUMIF(修正!A45:A56,G2,修正!E45:E56)</f>
        <v>0.25</v>
      </c>
      <c r="G36" s="200">
        <f ca="1">ROUND(IF(E2="工业",C36*$M$39,C36*$M$38),0)</f>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f ca="1">ROUND(C5*C19*C20*C24*F37,0)</f>
        <v>2918</v>
      </c>
      <c r="D37" s="2851"/>
      <c r="E37" s="200">
        <f t="shared" ca="1" si="7"/>
        <v>0</v>
      </c>
      <c r="F37" s="206">
        <f>SUMIF(修正!A45:A56,G2,修正!F45:F56)</f>
        <v>0.25</v>
      </c>
      <c r="G37" s="200">
        <f ca="1">ROUND(IF(E2="工业",C37*$M$39,C37*$M$38),0)</f>
        <v>730</v>
      </c>
      <c r="H37" s="200">
        <f t="shared" si="8"/>
        <v>0</v>
      </c>
      <c r="I37" s="200">
        <f t="shared" ca="1" si="9"/>
        <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f ca="1">ROUND(C5*C19*C20*C24*F38,0)</f>
        <v>2918</v>
      </c>
      <c r="D38" s="2851"/>
      <c r="E38" s="200">
        <f t="shared" ca="1" si="7"/>
        <v>0</v>
      </c>
      <c r="F38" s="206">
        <f>SUMIF(修正!A45:A56,G2,修正!G45:G56)</f>
        <v>0.25</v>
      </c>
      <c r="G38" s="200">
        <f ca="1">ROUND(IF(E2="工业",C38*$M$39,C38*$M$38),0)</f>
        <v>730</v>
      </c>
      <c r="H38" s="200">
        <f t="shared" si="8"/>
        <v>0</v>
      </c>
      <c r="I38" s="200">
        <f t="shared" ca="1" si="9"/>
        <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f ca="1">ROUND(C5*C19*C20*C24*F39,0)</f>
        <v>2334</v>
      </c>
      <c r="D39" s="2857"/>
      <c r="E39" s="229">
        <f t="shared" ca="1" si="7"/>
        <v>0</v>
      </c>
      <c r="F39" s="935">
        <f>SUMIF(修正!A45:A56,G2,修正!H45:H56)</f>
        <v>0.2</v>
      </c>
      <c r="G39" s="229">
        <f ca="1">ROUND(IF(E2="工业",C39*$M$39,C39*$M$38),0)</f>
        <v>584</v>
      </c>
      <c r="H39" s="229">
        <f t="shared" si="8"/>
        <v>0</v>
      </c>
      <c r="I39" s="229">
        <f t="shared" ca="1" si="9"/>
        <v>0</v>
      </c>
      <c r="J39" s="2874"/>
      <c r="K39" s="1373"/>
      <c r="L39" s="2875" t="s">
        <v>2886</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hidden="1">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hidden="1">
      <c r="A47" s="2884" t="s">
        <v>2946</v>
      </c>
      <c r="B47" s="1812" t="s">
        <v>2947</v>
      </c>
      <c r="C47" s="1812" t="s">
        <v>2948</v>
      </c>
      <c r="D47" s="1812" t="s">
        <v>2949</v>
      </c>
      <c r="E47" s="819" t="s">
        <v>2950</v>
      </c>
      <c r="F47" s="2885" t="s">
        <v>2951</v>
      </c>
      <c r="G47" s="1812" t="s">
        <v>754</v>
      </c>
      <c r="H47" s="2886" t="s">
        <v>2952</v>
      </c>
      <c r="I47" s="1812" t="s">
        <v>2953</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hidden="1">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4" t="s">
        <v>2946</v>
      </c>
      <c r="B58" s="1812"/>
      <c r="C58" s="1812" t="s">
        <v>2948</v>
      </c>
      <c r="D58" s="1812" t="s">
        <v>2949</v>
      </c>
      <c r="E58" s="819" t="s">
        <v>2950</v>
      </c>
      <c r="F58" s="2885" t="s">
        <v>2966</v>
      </c>
      <c r="G58" s="1812" t="s">
        <v>754</v>
      </c>
      <c r="H58" s="2886" t="s">
        <v>2952</v>
      </c>
      <c r="I58" s="1812" t="s">
        <v>2953</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hidden="1">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1.0526</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t="s">
        <v>3119</v>
      </c>
      <c r="D70" s="1289">
        <f t="shared" ref="D70:D78" si="20">SUMIF($J$69:$N$69,C70,J70:N70)</f>
        <v>9.1000000000000004E-3</v>
      </c>
      <c r="E70" s="821">
        <f>ROUND(SUM(D70:D78),4)</f>
        <v>5.2600000000000001E-2</v>
      </c>
      <c r="F70" s="2507">
        <f>IF(E2="住宅",SUMIF(L1:L12,G2,N1:N12),"——")</f>
        <v>0.13</v>
      </c>
      <c r="G70" s="1287">
        <v>9.1000000000000004E-3</v>
      </c>
      <c r="H70" s="1291">
        <f t="shared" ref="H70:H78" si="21">IFERROR(ROUNDDOWN($F$70*I70/2,4),"——")</f>
        <v>9.1000000000000004E-3</v>
      </c>
      <c r="I70" s="820">
        <v>0.14000000000000001</v>
      </c>
      <c r="J70" s="1288">
        <f t="shared" ref="J70:J78" si="22">K70+$G70</f>
        <v>1.8200000000000001E-2</v>
      </c>
      <c r="K70" s="1288">
        <f t="shared" ref="K70:K78" si="23">$L70+$G70</f>
        <v>9.1000000000000004E-3</v>
      </c>
      <c r="L70" s="1288">
        <v>0</v>
      </c>
      <c r="M70" s="1288">
        <f t="shared" ref="M70:N78" si="24">L70-$G70</f>
        <v>-9.1000000000000004E-3</v>
      </c>
      <c r="N70" s="1288">
        <f t="shared" si="24"/>
        <v>-1.8200000000000001E-2</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t="s">
        <v>3119</v>
      </c>
      <c r="D71" s="1289">
        <f t="shared" si="20"/>
        <v>1.95E-2</v>
      </c>
      <c r="E71" s="826"/>
      <c r="F71" s="2507"/>
      <c r="G71" s="1287">
        <v>1.95E-2</v>
      </c>
      <c r="H71" s="1291">
        <f t="shared" si="21"/>
        <v>1.95E-2</v>
      </c>
      <c r="I71" s="820">
        <v>0.3</v>
      </c>
      <c r="J71" s="1288">
        <f t="shared" si="22"/>
        <v>3.9E-2</v>
      </c>
      <c r="K71" s="1288">
        <f t="shared" si="23"/>
        <v>1.95E-2</v>
      </c>
      <c r="L71" s="1288">
        <v>0</v>
      </c>
      <c r="M71" s="1288">
        <f t="shared" si="24"/>
        <v>-1.95E-2</v>
      </c>
      <c r="N71" s="1288">
        <f t="shared" si="24"/>
        <v>-3.9E-2</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t="s">
        <v>3119</v>
      </c>
      <c r="D72" s="1289">
        <f t="shared" si="20"/>
        <v>5.1999999999999998E-3</v>
      </c>
      <c r="E72" s="826"/>
      <c r="F72" s="2507"/>
      <c r="G72" s="1287">
        <v>5.1999999999999998E-3</v>
      </c>
      <c r="H72" s="1291">
        <f t="shared" si="21"/>
        <v>5.1999999999999998E-3</v>
      </c>
      <c r="I72" s="820">
        <v>0.08</v>
      </c>
      <c r="J72" s="1288">
        <f t="shared" si="22"/>
        <v>1.04E-2</v>
      </c>
      <c r="K72" s="1288">
        <f t="shared" si="23"/>
        <v>5.1999999999999998E-3</v>
      </c>
      <c r="L72" s="1288">
        <v>0</v>
      </c>
      <c r="M72" s="1288">
        <f t="shared" si="24"/>
        <v>-5.1999999999999998E-3</v>
      </c>
      <c r="N72" s="1288">
        <f t="shared" si="24"/>
        <v>-1.04E-2</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t="s">
        <v>3118</v>
      </c>
      <c r="D73" s="1289">
        <f t="shared" si="20"/>
        <v>0</v>
      </c>
      <c r="E73" s="826"/>
      <c r="F73" s="2507"/>
      <c r="G73" s="1287">
        <v>2.5999999999999999E-3</v>
      </c>
      <c r="H73" s="1291">
        <f t="shared" si="21"/>
        <v>2.5999999999999999E-3</v>
      </c>
      <c r="I73" s="820">
        <v>0.04</v>
      </c>
      <c r="J73" s="1288">
        <f t="shared" si="22"/>
        <v>5.1999999999999998E-3</v>
      </c>
      <c r="K73" s="1288">
        <f t="shared" si="23"/>
        <v>2.5999999999999999E-3</v>
      </c>
      <c r="L73" s="1288">
        <v>0</v>
      </c>
      <c r="M73" s="1288">
        <f t="shared" si="24"/>
        <v>-2.5999999999999999E-3</v>
      </c>
      <c r="N73" s="1288">
        <f t="shared" si="24"/>
        <v>-5.1999999999999998E-3</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t="s">
        <v>3118</v>
      </c>
      <c r="D74" s="1289">
        <f t="shared" si="20"/>
        <v>0</v>
      </c>
      <c r="E74" s="826"/>
      <c r="F74" s="2507"/>
      <c r="G74" s="1287">
        <v>5.1999999999999998E-3</v>
      </c>
      <c r="H74" s="1291">
        <f t="shared" si="21"/>
        <v>5.1999999999999998E-3</v>
      </c>
      <c r="I74" s="820">
        <v>0.08</v>
      </c>
      <c r="J74" s="1288">
        <f t="shared" si="22"/>
        <v>1.04E-2</v>
      </c>
      <c r="K74" s="1288">
        <f t="shared" si="23"/>
        <v>5.1999999999999998E-3</v>
      </c>
      <c r="L74" s="1288">
        <v>0</v>
      </c>
      <c r="M74" s="1288">
        <f t="shared" si="24"/>
        <v>-5.1999999999999998E-3</v>
      </c>
      <c r="N74" s="1288">
        <f t="shared" si="24"/>
        <v>-1.04E-2</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t="s">
        <v>3148</v>
      </c>
      <c r="D75" s="1289">
        <f t="shared" si="20"/>
        <v>1.5599999999999999E-2</v>
      </c>
      <c r="E75" s="826"/>
      <c r="F75" s="2507"/>
      <c r="G75" s="1287">
        <v>7.7999999999999996E-3</v>
      </c>
      <c r="H75" s="1291">
        <f t="shared" si="21"/>
        <v>7.7999999999999996E-3</v>
      </c>
      <c r="I75" s="820">
        <v>0.12</v>
      </c>
      <c r="J75" s="1288">
        <f t="shared" si="22"/>
        <v>1.5599999999999999E-2</v>
      </c>
      <c r="K75" s="1288">
        <f t="shared" si="23"/>
        <v>7.7999999999999996E-3</v>
      </c>
      <c r="L75" s="1288">
        <v>0</v>
      </c>
      <c r="M75" s="1288">
        <f t="shared" si="24"/>
        <v>-7.7999999999999996E-3</v>
      </c>
      <c r="N75" s="1288">
        <f t="shared" si="24"/>
        <v>-1.5599999999999999E-2</v>
      </c>
      <c r="AA75" s="1374"/>
      <c r="AB75" s="1374"/>
      <c r="AC75" s="1374"/>
      <c r="AD75" s="1374"/>
      <c r="AE75" s="1374"/>
      <c r="AF75" s="1374"/>
      <c r="AG75" s="1374"/>
      <c r="AH75" s="1374"/>
      <c r="AI75" s="1374"/>
      <c r="AJ75" s="1374"/>
      <c r="AK75" s="1374"/>
    </row>
    <row r="76" spans="1:37" s="2725" customFormat="1" ht="24">
      <c r="A76" s="2884" t="s">
        <v>2960</v>
      </c>
      <c r="B76" s="2890" t="s">
        <v>2961</v>
      </c>
      <c r="C76" s="2776" t="s">
        <v>3119</v>
      </c>
      <c r="D76" s="1289">
        <f t="shared" si="20"/>
        <v>3.2000000000000002E-3</v>
      </c>
      <c r="E76" s="826"/>
      <c r="F76" s="2507"/>
      <c r="G76" s="1287">
        <v>3.2000000000000002E-3</v>
      </c>
      <c r="H76" s="1291">
        <f t="shared" si="21"/>
        <v>3.2000000000000002E-3</v>
      </c>
      <c r="I76" s="820">
        <v>0.05</v>
      </c>
      <c r="J76" s="1288">
        <f t="shared" si="22"/>
        <v>6.4000000000000003E-3</v>
      </c>
      <c r="K76" s="1288">
        <f t="shared" si="23"/>
        <v>3.2000000000000002E-3</v>
      </c>
      <c r="L76" s="1288">
        <v>0</v>
      </c>
      <c r="M76" s="1288">
        <f t="shared" si="24"/>
        <v>-3.2000000000000002E-3</v>
      </c>
      <c r="N76" s="1288">
        <f t="shared" si="24"/>
        <v>-6.4000000000000003E-3</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t="s">
        <v>3118</v>
      </c>
      <c r="D77" s="1289">
        <f t="shared" si="20"/>
        <v>0</v>
      </c>
      <c r="E77" s="826"/>
      <c r="F77" s="2507"/>
      <c r="G77" s="1287">
        <v>9.7000000000000003E-3</v>
      </c>
      <c r="H77" s="1291">
        <f t="shared" si="21"/>
        <v>9.7000000000000003E-3</v>
      </c>
      <c r="I77" s="820">
        <v>0.15</v>
      </c>
      <c r="J77" s="1288">
        <f t="shared" si="22"/>
        <v>1.9400000000000001E-2</v>
      </c>
      <c r="K77" s="1288">
        <f t="shared" si="23"/>
        <v>9.7000000000000003E-3</v>
      </c>
      <c r="L77" s="1288">
        <v>0</v>
      </c>
      <c r="M77" s="1288">
        <f t="shared" si="24"/>
        <v>-9.7000000000000003E-3</v>
      </c>
      <c r="N77" s="1288">
        <f t="shared" si="24"/>
        <v>-1.9400000000000001E-2</v>
      </c>
      <c r="Z77" s="2726"/>
      <c r="AA77" s="2802"/>
      <c r="AG77" s="1375"/>
      <c r="AK77" s="2802"/>
    </row>
    <row r="78" spans="1:37" ht="24.75" thickBot="1">
      <c r="A78" s="2892" t="s">
        <v>2971</v>
      </c>
      <c r="B78" s="2896"/>
      <c r="C78" s="2776" t="s">
        <v>3118</v>
      </c>
      <c r="D78" s="1289">
        <f t="shared" si="20"/>
        <v>0</v>
      </c>
      <c r="E78" s="827"/>
      <c r="F78" s="2507"/>
      <c r="G78" s="1287">
        <v>2.5999999999999999E-3</v>
      </c>
      <c r="H78" s="1291">
        <f t="shared" si="21"/>
        <v>2.5999999999999999E-3</v>
      </c>
      <c r="I78" s="824">
        <v>0.04</v>
      </c>
      <c r="J78" s="1288">
        <f t="shared" si="22"/>
        <v>5.1999999999999998E-3</v>
      </c>
      <c r="K78" s="1288">
        <f t="shared" si="23"/>
        <v>2.5999999999999999E-3</v>
      </c>
      <c r="L78" s="1288">
        <v>0</v>
      </c>
      <c r="M78" s="1288">
        <f t="shared" si="24"/>
        <v>-2.5999999999999999E-3</v>
      </c>
      <c r="N78" s="1288">
        <f t="shared" si="24"/>
        <v>-5.1999999999999998E-3</v>
      </c>
      <c r="Z78" s="2726"/>
      <c r="AA78" s="2802"/>
      <c r="AG78" s="1375"/>
      <c r="AK78" s="2802"/>
    </row>
    <row r="79" spans="1:37" ht="15">
      <c r="A79" s="2880" t="s">
        <v>2972</v>
      </c>
      <c r="B79" s="2881">
        <f>1+E81</f>
        <v>1.0303</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2602</v>
      </c>
      <c r="K80" s="603" t="s">
        <v>2603</v>
      </c>
      <c r="L80" s="603" t="s">
        <v>2604</v>
      </c>
      <c r="M80" s="603" t="s">
        <v>2605</v>
      </c>
      <c r="N80" s="603" t="s">
        <v>2606</v>
      </c>
      <c r="Z80" s="2726"/>
      <c r="AA80" s="2802"/>
      <c r="AG80" s="1375"/>
      <c r="AK80" s="2802"/>
    </row>
    <row r="81" spans="1:37" ht="38.25">
      <c r="A81" s="2884" t="s">
        <v>2973</v>
      </c>
      <c r="B81" s="2888" t="str">
        <f>估价对象房地状况!G15</f>
        <v>估价对象位于XX开发区，园区建设成熟度XX，产业集聚程度XX</v>
      </c>
      <c r="C81" s="2776" t="s">
        <v>3117</v>
      </c>
      <c r="D81" s="1289">
        <f t="shared" ref="D81:D88" si="25">SUMIF($J$80:$N$80,C81,J81:N81)</f>
        <v>-1.6899999999999998E-2</v>
      </c>
      <c r="E81" s="821">
        <f>ROUND(SUM(D81:D88),4)</f>
        <v>3.0300000000000001E-2</v>
      </c>
      <c r="F81" s="2507" t="str">
        <f>IF(E2="工业",SUMIF(L1:L12,G2,N1:N12),"——")</f>
        <v>——</v>
      </c>
      <c r="G81" s="1287">
        <v>1.6899999999999998E-2</v>
      </c>
      <c r="H81" s="1291" t="str">
        <f t="shared" ref="H81:H88" si="26">IFERROR(ROUNDDOWN($F$81*I81/2,4),"——")</f>
        <v>——</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t="s">
        <v>3119</v>
      </c>
      <c r="D82" s="1289">
        <f t="shared" si="25"/>
        <v>2.1399999999999999E-2</v>
      </c>
      <c r="E82" s="826"/>
      <c r="F82" s="2507"/>
      <c r="G82" s="1287">
        <v>2.1399999999999999E-2</v>
      </c>
      <c r="H82" s="1291" t="str">
        <f t="shared" si="26"/>
        <v>——</v>
      </c>
      <c r="I82" s="820">
        <v>0.33</v>
      </c>
      <c r="J82" s="1288">
        <f t="shared" si="27"/>
        <v>4.2799999999999998E-2</v>
      </c>
      <c r="K82" s="1288">
        <f t="shared" si="28"/>
        <v>2.1399999999999999E-2</v>
      </c>
      <c r="L82" s="1288">
        <v>0</v>
      </c>
      <c r="M82" s="1288">
        <f t="shared" si="29"/>
        <v>-2.1399999999999999E-2</v>
      </c>
      <c r="N82" s="1288">
        <f t="shared" si="29"/>
        <v>-4.2799999999999998E-2</v>
      </c>
      <c r="Z82" s="2726"/>
      <c r="AA82" s="2802"/>
      <c r="AG82" s="1375"/>
      <c r="AK82" s="2802"/>
    </row>
    <row r="83" spans="1:37" ht="24">
      <c r="A83" s="2884" t="s">
        <v>2956</v>
      </c>
      <c r="B83" s="2888">
        <f>估价对象房地状况!G17</f>
        <v>0</v>
      </c>
      <c r="C83" s="2776" t="s">
        <v>3119</v>
      </c>
      <c r="D83" s="1289">
        <f t="shared" si="25"/>
        <v>3.2000000000000002E-3</v>
      </c>
      <c r="E83" s="826"/>
      <c r="F83" s="2507"/>
      <c r="G83" s="1287">
        <v>3.2000000000000002E-3</v>
      </c>
      <c r="H83" s="1291" t="str">
        <f t="shared" si="26"/>
        <v>——</v>
      </c>
      <c r="I83" s="820">
        <v>0.05</v>
      </c>
      <c r="J83" s="1288">
        <f t="shared" si="27"/>
        <v>6.4000000000000003E-3</v>
      </c>
      <c r="K83" s="1288">
        <f t="shared" si="28"/>
        <v>3.2000000000000002E-3</v>
      </c>
      <c r="L83" s="1288">
        <v>0</v>
      </c>
      <c r="M83" s="1288">
        <f t="shared" si="29"/>
        <v>-3.2000000000000002E-3</v>
      </c>
      <c r="N83" s="1288">
        <f t="shared" si="29"/>
        <v>-6.4000000000000003E-3</v>
      </c>
      <c r="Z83" s="2726"/>
      <c r="AA83" s="2802"/>
      <c r="AG83" s="1375"/>
      <c r="AK83" s="2802"/>
    </row>
    <row r="84" spans="1:37" ht="14.25">
      <c r="A84" s="2884" t="s">
        <v>2970</v>
      </c>
      <c r="B84" s="2888">
        <f>估价对象房地状况!G22</f>
        <v>0</v>
      </c>
      <c r="C84" s="2776" t="s">
        <v>3118</v>
      </c>
      <c r="D84" s="1289">
        <f t="shared" si="25"/>
        <v>0</v>
      </c>
      <c r="E84" s="826"/>
      <c r="F84" s="2507"/>
      <c r="G84" s="1287">
        <v>2.5999999999999999E-3</v>
      </c>
      <c r="H84" s="1291" t="str">
        <f t="shared" si="26"/>
        <v>——</v>
      </c>
      <c r="I84" s="820">
        <v>0.04</v>
      </c>
      <c r="J84" s="1288">
        <f t="shared" si="27"/>
        <v>5.1999999999999998E-3</v>
      </c>
      <c r="K84" s="1288">
        <f t="shared" si="28"/>
        <v>2.5999999999999999E-3</v>
      </c>
      <c r="L84" s="1288">
        <v>0</v>
      </c>
      <c r="M84" s="1288">
        <f t="shared" si="29"/>
        <v>-2.5999999999999999E-3</v>
      </c>
      <c r="N84" s="1288">
        <f t="shared" si="29"/>
        <v>-5.1999999999999998E-3</v>
      </c>
      <c r="Z84" s="2726"/>
      <c r="AA84" s="2802"/>
      <c r="AG84" s="1375"/>
      <c r="AK84" s="2802"/>
    </row>
    <row r="85" spans="1:37" ht="25.5">
      <c r="A85" s="2884" t="s">
        <v>2962</v>
      </c>
      <c r="B85" s="1728" t="str">
        <f>估价对象房地状况!G19</f>
        <v>估价对象所在区域公共配套设施齐备情况</v>
      </c>
      <c r="C85" s="2776" t="s">
        <v>3118</v>
      </c>
      <c r="D85" s="1289">
        <f t="shared" si="25"/>
        <v>0</v>
      </c>
      <c r="E85" s="826"/>
      <c r="F85" s="2507"/>
      <c r="G85" s="1287">
        <v>3.8999999999999998E-3</v>
      </c>
      <c r="H85" s="1291" t="str">
        <f t="shared" si="26"/>
        <v>——</v>
      </c>
      <c r="I85" s="820">
        <v>0.06</v>
      </c>
      <c r="J85" s="1288">
        <f t="shared" si="27"/>
        <v>7.7999999999999996E-3</v>
      </c>
      <c r="K85" s="1288">
        <f t="shared" si="28"/>
        <v>3.8999999999999998E-3</v>
      </c>
      <c r="L85" s="1288">
        <v>0</v>
      </c>
      <c r="M85" s="1288">
        <f t="shared" si="29"/>
        <v>-3.8999999999999998E-3</v>
      </c>
      <c r="N85" s="1288">
        <f t="shared" si="29"/>
        <v>-7.7999999999999996E-3</v>
      </c>
      <c r="Z85" s="2726"/>
      <c r="AA85" s="2802"/>
      <c r="AG85" s="1375"/>
      <c r="AK85" s="2802"/>
    </row>
    <row r="86" spans="1:37" ht="25.5">
      <c r="A86" s="2884" t="s">
        <v>2963</v>
      </c>
      <c r="B86" s="1728" t="str">
        <f>估价对象房地状况!G20</f>
        <v>估价对象所在区域基础设施水平</v>
      </c>
      <c r="C86" s="2776" t="s">
        <v>3148</v>
      </c>
      <c r="D86" s="1289">
        <f t="shared" si="25"/>
        <v>1.9400000000000001E-2</v>
      </c>
      <c r="E86" s="826"/>
      <c r="F86" s="2507"/>
      <c r="G86" s="1287">
        <v>9.7000000000000003E-3</v>
      </c>
      <c r="H86" s="1291" t="str">
        <f t="shared" si="26"/>
        <v>——</v>
      </c>
      <c r="I86" s="820">
        <v>0.15</v>
      </c>
      <c r="J86" s="1288">
        <f t="shared" si="27"/>
        <v>1.9400000000000001E-2</v>
      </c>
      <c r="K86" s="1288">
        <f t="shared" si="28"/>
        <v>9.7000000000000003E-3</v>
      </c>
      <c r="L86" s="1288">
        <v>0</v>
      </c>
      <c r="M86" s="1288">
        <f t="shared" si="29"/>
        <v>-9.7000000000000003E-3</v>
      </c>
      <c r="N86" s="1288">
        <f t="shared" si="29"/>
        <v>-1.9400000000000001E-2</v>
      </c>
      <c r="Z86" s="2726"/>
      <c r="AA86" s="2802"/>
      <c r="AG86" s="1375"/>
      <c r="AK86" s="2802"/>
    </row>
    <row r="87" spans="1:37" ht="24">
      <c r="A87" s="2884" t="s">
        <v>2960</v>
      </c>
      <c r="B87" s="2890" t="s">
        <v>2974</v>
      </c>
      <c r="C87" s="2776" t="s">
        <v>3119</v>
      </c>
      <c r="D87" s="1289">
        <f t="shared" si="25"/>
        <v>3.2000000000000002E-3</v>
      </c>
      <c r="E87" s="826"/>
      <c r="F87" s="2507"/>
      <c r="G87" s="1287">
        <v>3.2000000000000002E-3</v>
      </c>
      <c r="H87" s="1291" t="str">
        <f t="shared" si="26"/>
        <v>——</v>
      </c>
      <c r="I87" s="820">
        <v>0.05</v>
      </c>
      <c r="J87" s="1288">
        <f t="shared" si="27"/>
        <v>6.4000000000000003E-3</v>
      </c>
      <c r="K87" s="1288">
        <f t="shared" si="28"/>
        <v>3.2000000000000002E-3</v>
      </c>
      <c r="L87" s="1288">
        <v>0</v>
      </c>
      <c r="M87" s="1288">
        <f t="shared" si="29"/>
        <v>-3.2000000000000002E-3</v>
      </c>
      <c r="N87" s="1288">
        <f t="shared" si="29"/>
        <v>-6.4000000000000003E-3</v>
      </c>
      <c r="Z87" s="2726"/>
      <c r="AA87" s="2802"/>
      <c r="AG87" s="1375"/>
      <c r="AK87" s="2802"/>
    </row>
    <row r="88" spans="1:37" ht="39" thickBot="1">
      <c r="A88" s="2892" t="s">
        <v>2975</v>
      </c>
      <c r="B88" s="2897" t="str">
        <f>估价对象房地状况!G18</f>
        <v>该园区内是否有污染型企业，绿化情况，卫生条件，整体环境状况判断</v>
      </c>
      <c r="C88" s="2776" t="s">
        <v>3118</v>
      </c>
      <c r="D88" s="1289">
        <f t="shared" si="25"/>
        <v>0</v>
      </c>
      <c r="E88" s="827"/>
      <c r="F88" s="2507"/>
      <c r="G88" s="1287" t="s">
        <v>3120</v>
      </c>
      <c r="H88" s="1291" t="str">
        <f t="shared" si="26"/>
        <v>——</v>
      </c>
      <c r="I88" s="824">
        <v>0.06</v>
      </c>
      <c r="J88" s="1288" t="e">
        <f t="shared" si="27"/>
        <v>#VALUE!</v>
      </c>
      <c r="K88" s="1288" t="e">
        <f t="shared" si="28"/>
        <v>#VALUE!</v>
      </c>
      <c r="L88" s="1288">
        <v>0</v>
      </c>
      <c r="M88" s="1288" t="e">
        <f t="shared" si="29"/>
        <v>#VALUE!</v>
      </c>
      <c r="N88" s="1288" t="e">
        <f t="shared" si="29"/>
        <v>#VALUE!</v>
      </c>
      <c r="Z88" s="2726"/>
      <c r="AA88" s="2802"/>
      <c r="AG88" s="1375"/>
      <c r="AK88" s="2802"/>
    </row>
    <row r="90" spans="1:37">
      <c r="A90" s="3221" t="s">
        <v>2976</v>
      </c>
      <c r="B90" s="3221"/>
      <c r="C90" s="3221"/>
      <c r="D90" s="3221"/>
      <c r="E90" s="3221"/>
      <c r="F90" s="3221"/>
      <c r="G90" s="3221"/>
      <c r="H90" s="3221"/>
      <c r="I90" s="3221"/>
      <c r="J90" s="3221"/>
      <c r="K90" s="2898"/>
      <c r="L90" s="2898"/>
      <c r="M90" s="2898"/>
      <c r="N90" s="2898"/>
    </row>
    <row r="91" spans="1:37">
      <c r="A91" s="3223" t="s">
        <v>2977</v>
      </c>
      <c r="B91" s="3223" t="s">
        <v>2978</v>
      </c>
      <c r="C91" s="2852" t="s">
        <v>2979</v>
      </c>
      <c r="D91" s="2853"/>
      <c r="E91" s="2853"/>
      <c r="F91" s="2853"/>
      <c r="G91" s="2853"/>
      <c r="H91" s="2853"/>
      <c r="I91" s="2853"/>
      <c r="J91" s="2899"/>
      <c r="K91" s="2900"/>
      <c r="L91" s="2900"/>
      <c r="M91" s="2900"/>
      <c r="N91" s="2900"/>
    </row>
    <row r="92" spans="1:37">
      <c r="A92" s="3223"/>
      <c r="B92" s="3223"/>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24"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2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2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2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2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2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25"/>
      <c r="B99" s="2901" t="s">
        <v>2861</v>
      </c>
      <c r="C99" s="2903">
        <f>$I$3</f>
        <v>1</v>
      </c>
      <c r="D99" s="2903">
        <f t="shared" ref="D99:M99" si="30">$I$3</f>
        <v>1</v>
      </c>
      <c r="E99" s="2903">
        <f t="shared" si="30"/>
        <v>1</v>
      </c>
      <c r="F99" s="2903">
        <f t="shared" si="30"/>
        <v>1</v>
      </c>
      <c r="G99" s="2903">
        <f t="shared" si="30"/>
        <v>1</v>
      </c>
      <c r="H99" s="2903">
        <f t="shared" si="30"/>
        <v>1</v>
      </c>
      <c r="I99" s="2903">
        <f t="shared" si="30"/>
        <v>1</v>
      </c>
      <c r="J99" s="2903">
        <f t="shared" si="30"/>
        <v>1</v>
      </c>
      <c r="K99" s="2903">
        <f t="shared" si="30"/>
        <v>1</v>
      </c>
      <c r="L99" s="2903">
        <f t="shared" si="30"/>
        <v>1</v>
      </c>
      <c r="M99" s="2903">
        <f t="shared" si="30"/>
        <v>1</v>
      </c>
      <c r="N99" s="2903">
        <f>$I$3</f>
        <v>1</v>
      </c>
    </row>
    <row r="100" spans="1:14">
      <c r="A100" s="3226"/>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24" t="s">
        <v>2981</v>
      </c>
      <c r="B101" s="2905" t="s">
        <v>2982</v>
      </c>
      <c r="C101" s="2906">
        <f>$G$3</f>
        <v>1</v>
      </c>
      <c r="D101" s="2906">
        <f t="shared" ref="D101:N101" si="31">$G$3</f>
        <v>1</v>
      </c>
      <c r="E101" s="2906">
        <f t="shared" si="31"/>
        <v>1</v>
      </c>
      <c r="F101" s="2906">
        <f t="shared" si="31"/>
        <v>1</v>
      </c>
      <c r="G101" s="2906">
        <f t="shared" si="31"/>
        <v>1</v>
      </c>
      <c r="H101" s="2906">
        <f t="shared" si="31"/>
        <v>1</v>
      </c>
      <c r="I101" s="2906">
        <f t="shared" si="31"/>
        <v>1</v>
      </c>
      <c r="J101" s="2906">
        <f t="shared" si="31"/>
        <v>1</v>
      </c>
      <c r="K101" s="2906">
        <f t="shared" si="31"/>
        <v>1</v>
      </c>
      <c r="L101" s="2906">
        <f t="shared" si="31"/>
        <v>1</v>
      </c>
      <c r="M101" s="2906">
        <f t="shared" si="31"/>
        <v>1</v>
      </c>
      <c r="N101" s="2906">
        <f t="shared" si="31"/>
        <v>1</v>
      </c>
    </row>
    <row r="102" spans="1:14">
      <c r="A102" s="3225"/>
      <c r="B102" s="2901">
        <v>1</v>
      </c>
      <c r="C102" s="2902">
        <f>1.9362/C101</f>
        <v>1.9361999999999999</v>
      </c>
      <c r="D102" s="2902">
        <f>1.9362/D101</f>
        <v>1.9361999999999999</v>
      </c>
      <c r="E102" s="2902">
        <f>1.8629/E101</f>
        <v>1.8629</v>
      </c>
      <c r="F102" s="2902">
        <f>1.8629/F101</f>
        <v>1.8629</v>
      </c>
      <c r="G102" s="2902">
        <f>1.8629/G101</f>
        <v>1.8629</v>
      </c>
      <c r="H102" s="2902">
        <f>1.8629/H101</f>
        <v>1.8629</v>
      </c>
      <c r="I102" s="2902">
        <f>1.8629/I101</f>
        <v>1.8629</v>
      </c>
      <c r="J102" s="2902">
        <f>1.942/J101</f>
        <v>1.9419999999999999</v>
      </c>
      <c r="K102" s="2902">
        <f>1.942/K101</f>
        <v>1.9419999999999999</v>
      </c>
      <c r="L102" s="2902">
        <f>1.942/L101</f>
        <v>1.9419999999999999</v>
      </c>
      <c r="M102" s="2902">
        <f>1.942/M101</f>
        <v>1.9419999999999999</v>
      </c>
      <c r="N102" s="2902">
        <f>1.942/N101</f>
        <v>1.9419999999999999</v>
      </c>
    </row>
    <row r="103" spans="1:14">
      <c r="A103" s="3225"/>
      <c r="B103" s="2901">
        <v>2</v>
      </c>
      <c r="C103" s="2902">
        <f>1.4198/C101</f>
        <v>1.4198</v>
      </c>
      <c r="D103" s="2902">
        <f>1.4198/D101</f>
        <v>1.4198</v>
      </c>
      <c r="E103" s="2902">
        <f>1.3372/E101</f>
        <v>1.3371999999999999</v>
      </c>
      <c r="F103" s="2902">
        <f>1.3372/F101</f>
        <v>1.3371999999999999</v>
      </c>
      <c r="G103" s="2902">
        <f>1.3372/G101</f>
        <v>1.3371999999999999</v>
      </c>
      <c r="H103" s="2902">
        <f>1.3372/H101</f>
        <v>1.3371999999999999</v>
      </c>
      <c r="I103" s="2902">
        <f>1.3372/I101</f>
        <v>1.3371999999999999</v>
      </c>
      <c r="J103" s="2902">
        <f>1.2799/J101</f>
        <v>1.2799</v>
      </c>
      <c r="K103" s="2902">
        <f>1.2799/K101</f>
        <v>1.2799</v>
      </c>
      <c r="L103" s="2902">
        <f>1.2799/L101</f>
        <v>1.2799</v>
      </c>
      <c r="M103" s="2902">
        <f>1.2799/M101</f>
        <v>1.2799</v>
      </c>
      <c r="N103" s="2902">
        <f>1.2799/N101</f>
        <v>1.2799</v>
      </c>
    </row>
    <row r="104" spans="1:14">
      <c r="A104" s="3225"/>
      <c r="B104" s="2901">
        <v>3</v>
      </c>
      <c r="C104" s="2902">
        <f>1.1594/C101</f>
        <v>1.1594</v>
      </c>
      <c r="D104" s="2902">
        <f>1.1594/D101</f>
        <v>1.1594</v>
      </c>
      <c r="E104" s="2902">
        <f>1.0788/E101</f>
        <v>1.0788</v>
      </c>
      <c r="F104" s="2902">
        <f>1.0788/F101</f>
        <v>1.0788</v>
      </c>
      <c r="G104" s="2902">
        <f>1.0788/G101</f>
        <v>1.0788</v>
      </c>
      <c r="H104" s="2902">
        <f>1.0788/H101</f>
        <v>1.0788</v>
      </c>
      <c r="I104" s="2902">
        <f>1.0788/I101</f>
        <v>1.0788</v>
      </c>
      <c r="J104" s="2902">
        <f>1.0072/J101</f>
        <v>1.0072000000000001</v>
      </c>
      <c r="K104" s="2902">
        <f>1.0072/K101</f>
        <v>1.0072000000000001</v>
      </c>
      <c r="L104" s="2902">
        <f>1.0072/L101</f>
        <v>1.0072000000000001</v>
      </c>
      <c r="M104" s="2902">
        <f>1.0072/M101</f>
        <v>1.0072000000000001</v>
      </c>
      <c r="N104" s="2902">
        <f>1.0072/N101</f>
        <v>1.0072000000000001</v>
      </c>
    </row>
    <row r="105" spans="1:14">
      <c r="A105" s="3225"/>
      <c r="B105" s="2901">
        <v>4</v>
      </c>
      <c r="C105" s="2902">
        <f>0.9622/C101</f>
        <v>0.96220000000000006</v>
      </c>
      <c r="D105" s="2902">
        <f>0.9622/D101</f>
        <v>0.96220000000000006</v>
      </c>
      <c r="E105" s="2902">
        <f>0.8656/E101</f>
        <v>0.86560000000000004</v>
      </c>
      <c r="F105" s="2902">
        <f>0.8656/F101</f>
        <v>0.86560000000000004</v>
      </c>
      <c r="G105" s="2902">
        <f>0.8656/G101</f>
        <v>0.86560000000000004</v>
      </c>
      <c r="H105" s="2902">
        <f>0.8656/H101</f>
        <v>0.86560000000000004</v>
      </c>
      <c r="I105" s="2902">
        <f>0.8656/I101</f>
        <v>0.86560000000000004</v>
      </c>
      <c r="J105" s="2902">
        <f>0.7525/J101</f>
        <v>0.75249999999999995</v>
      </c>
      <c r="K105" s="2902">
        <f>0.7525/K101</f>
        <v>0.75249999999999995</v>
      </c>
      <c r="L105" s="2902">
        <f>0.7525/L101</f>
        <v>0.75249999999999995</v>
      </c>
      <c r="M105" s="2902">
        <f>0.7525/M101</f>
        <v>0.75249999999999995</v>
      </c>
      <c r="N105" s="2902">
        <f>0.7525/N101</f>
        <v>0.75249999999999995</v>
      </c>
    </row>
    <row r="106" spans="1:14">
      <c r="A106" s="3225"/>
      <c r="B106" s="2901">
        <v>5</v>
      </c>
      <c r="C106" s="2902">
        <f>0.8417/C101</f>
        <v>0.8417</v>
      </c>
      <c r="D106" s="2902">
        <f>0.8417/D101</f>
        <v>0.8417</v>
      </c>
      <c r="E106" s="2902">
        <f>0.7371/E101</f>
        <v>0.73709999999999998</v>
      </c>
      <c r="F106" s="2902">
        <f>0.7371/F101</f>
        <v>0.73709999999999998</v>
      </c>
      <c r="G106" s="2902">
        <f>0.7371/G101</f>
        <v>0.73709999999999998</v>
      </c>
      <c r="H106" s="2902">
        <f>0.7371/H101</f>
        <v>0.73709999999999998</v>
      </c>
      <c r="I106" s="2902">
        <f>0.7371/I101</f>
        <v>0.73709999999999998</v>
      </c>
      <c r="J106" s="2902">
        <f>0.5659/J101</f>
        <v>0.56589999999999996</v>
      </c>
      <c r="K106" s="2902">
        <f>0.5659/K101</f>
        <v>0.56589999999999996</v>
      </c>
      <c r="L106" s="2902">
        <f>0.5659/L101</f>
        <v>0.56589999999999996</v>
      </c>
      <c r="M106" s="2902">
        <f>0.5659/M101</f>
        <v>0.56589999999999996</v>
      </c>
      <c r="N106" s="2902">
        <f>0.5659/N101</f>
        <v>0.56589999999999996</v>
      </c>
    </row>
    <row r="107" spans="1:14">
      <c r="A107" s="3225"/>
      <c r="B107" s="2901">
        <v>6</v>
      </c>
      <c r="C107" s="2902">
        <f>0.7608/C101</f>
        <v>0.76080000000000003</v>
      </c>
      <c r="D107" s="2902">
        <f>0.7608/D101</f>
        <v>0.76080000000000003</v>
      </c>
      <c r="E107" s="2902">
        <f>0.6482/E101</f>
        <v>0.6482</v>
      </c>
      <c r="F107" s="2902">
        <f>0.6482/F101</f>
        <v>0.6482</v>
      </c>
      <c r="G107" s="2902">
        <f>0.6482/G101</f>
        <v>0.6482</v>
      </c>
      <c r="H107" s="2902">
        <f>0.6482/H101</f>
        <v>0.6482</v>
      </c>
      <c r="I107" s="2902">
        <f>0.6482/I101</f>
        <v>0.6482</v>
      </c>
      <c r="J107" s="2902">
        <f>0.4525/J101</f>
        <v>0.45250000000000001</v>
      </c>
      <c r="K107" s="2902">
        <f>0.4525/K101</f>
        <v>0.45250000000000001</v>
      </c>
      <c r="L107" s="2902">
        <f>0.4525/L101</f>
        <v>0.45250000000000001</v>
      </c>
      <c r="M107" s="2902">
        <f>0.4525/M101</f>
        <v>0.45250000000000001</v>
      </c>
      <c r="N107" s="2902">
        <f>0.4525/N101</f>
        <v>0.45250000000000001</v>
      </c>
    </row>
    <row r="108" spans="1:14">
      <c r="A108" s="3225"/>
      <c r="B108" s="3132" t="s">
        <v>2983</v>
      </c>
      <c r="C108" s="2903">
        <f>C99</f>
        <v>1</v>
      </c>
      <c r="D108" s="2903">
        <f t="shared" ref="D108:N108" si="32">D99</f>
        <v>1</v>
      </c>
      <c r="E108" s="2903">
        <f t="shared" si="32"/>
        <v>1</v>
      </c>
      <c r="F108" s="2903">
        <f t="shared" si="32"/>
        <v>1</v>
      </c>
      <c r="G108" s="2903">
        <f t="shared" si="32"/>
        <v>1</v>
      </c>
      <c r="H108" s="2903">
        <f t="shared" si="32"/>
        <v>1</v>
      </c>
      <c r="I108" s="2903">
        <f t="shared" si="32"/>
        <v>1</v>
      </c>
      <c r="J108" s="2903">
        <f t="shared" si="32"/>
        <v>1</v>
      </c>
      <c r="K108" s="2903">
        <f t="shared" si="32"/>
        <v>1</v>
      </c>
      <c r="L108" s="2903">
        <f t="shared" si="32"/>
        <v>1</v>
      </c>
      <c r="M108" s="2903">
        <f t="shared" si="32"/>
        <v>1</v>
      </c>
      <c r="N108" s="2903">
        <f t="shared" si="32"/>
        <v>1</v>
      </c>
    </row>
    <row r="109" spans="1:14">
      <c r="A109" s="3226"/>
      <c r="B109" s="3133"/>
      <c r="C109" s="2904">
        <f>(-0.163*(C108^2)-0.59*C108+7617)*(10^(-4))/C101</f>
        <v>0.76162470000000004</v>
      </c>
      <c r="D109" s="2904">
        <f>(-0.163*(D108^2)-0.59*D108+7617)*(10^(-4))/D101</f>
        <v>0.76162470000000004</v>
      </c>
      <c r="E109" s="2904">
        <f>(-0.161*(E108^2)-7.509*E108+6533)*(10^(-4))/E101</f>
        <v>0.65253300000000003</v>
      </c>
      <c r="F109" s="2904">
        <f>(-0.161*(F108^2)-7.509*F108+6533)*(10^(-4))/F101</f>
        <v>0.65253300000000003</v>
      </c>
      <c r="G109" s="2904">
        <f>(-0.161*(G108^2)-7.509*G108+6533)*(10^(-4))/G101</f>
        <v>0.65253300000000003</v>
      </c>
      <c r="H109" s="2904">
        <f>(-0.161*(H108^2)-7.509*H108+6533)*(10^(-4))/H101</f>
        <v>0.65253300000000003</v>
      </c>
      <c r="I109" s="2904">
        <f>(-0.161*(I108^2)-7.509*I108+6533)*(10^(-4))/I101</f>
        <v>0.65253300000000003</v>
      </c>
      <c r="J109" s="2904">
        <f>(-0.214*(J108^2)-21.991*J108+4665)*(10^(-4))/J101</f>
        <v>0.46427950000000001</v>
      </c>
      <c r="K109" s="2904">
        <f>(-0.214*(K108^2)-21.991*K108+4665)*(10^(-4))/K101</f>
        <v>0.46427950000000001</v>
      </c>
      <c r="L109" s="2904">
        <f>(-0.214*(L108^2)-21.991*L108+4665)*(10^(-4))/L101</f>
        <v>0.46427950000000001</v>
      </c>
      <c r="M109" s="2904">
        <f>(-0.214*(M108^2)-21.991*M108+4665)*(10^(-4))/M101</f>
        <v>0.46427950000000001</v>
      </c>
      <c r="N109" s="2904">
        <f>(-0.214*(N108^2)-21.991*N108+4665)*(10^(-4))/N101</f>
        <v>0.46427950000000001</v>
      </c>
    </row>
    <row r="110" spans="1:14">
      <c r="A110" s="3222" t="s">
        <v>2984</v>
      </c>
      <c r="B110" s="3222"/>
      <c r="C110" s="3222"/>
      <c r="D110" s="3222"/>
      <c r="E110" s="3222"/>
      <c r="F110" s="3222"/>
      <c r="G110" s="3222"/>
      <c r="H110" s="3222"/>
      <c r="I110" s="3222"/>
      <c r="J110" s="3222"/>
      <c r="K110" s="2907"/>
      <c r="L110" s="2907"/>
      <c r="M110" s="2907"/>
      <c r="N110" s="2907"/>
    </row>
    <row r="112" spans="1:14" ht="13.5" thickBot="1"/>
    <row r="113" spans="1:13" ht="25.5" thickBot="1">
      <c r="A113" s="903" t="s">
        <v>2985</v>
      </c>
      <c r="B113" s="1290">
        <f>G3</f>
        <v>1</v>
      </c>
      <c r="C113" s="904" t="s">
        <v>2986</v>
      </c>
      <c r="D113" s="905">
        <f>SUMPRODUCT((A115:A118=F113)*(B114:M114=H113)*B115:M118)</f>
        <v>0.86680000000000001</v>
      </c>
      <c r="E113" s="2730" t="s">
        <v>2819</v>
      </c>
      <c r="F113" s="2909" t="str">
        <f>E2</f>
        <v>住宅</v>
      </c>
      <c r="G113" s="2730" t="s">
        <v>2820</v>
      </c>
      <c r="H113" s="2909" t="str">
        <f>G2</f>
        <v>七级</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2883</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2884</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2885</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2886</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2" priority="5" stopIfTrue="1" operator="notEqual">
      <formula>"——"</formula>
    </cfRule>
  </conditionalFormatting>
  <conditionalFormatting sqref="F59">
    <cfRule type="cellIs" dxfId="101" priority="4" stopIfTrue="1" operator="notEqual">
      <formula>"——"</formula>
    </cfRule>
  </conditionalFormatting>
  <conditionalFormatting sqref="F70">
    <cfRule type="cellIs" dxfId="100" priority="3" stopIfTrue="1" operator="notEqual">
      <formula>"——"</formula>
    </cfRule>
  </conditionalFormatting>
  <conditionalFormatting sqref="F81">
    <cfRule type="cellIs" dxfId="99" priority="2" stopIfTrue="1" operator="notEqual">
      <formula>"——"</formula>
    </cfRule>
  </conditionalFormatting>
  <conditionalFormatting sqref="H48:H56 H59:H67 H70:H78 H81:H88">
    <cfRule type="cellIs" dxfId="9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B5" sqref="B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3060</v>
      </c>
      <c r="D1" s="1823" t="s">
        <v>70</v>
      </c>
      <c r="E1" s="1824" t="s">
        <v>1387</v>
      </c>
      <c r="F1" s="1286">
        <f ca="1">J53</f>
        <v>27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1505638</v>
      </c>
      <c r="D5" s="1825" t="s">
        <v>1601</v>
      </c>
      <c r="E5" s="1296"/>
      <c r="F5" s="1297"/>
      <c r="G5" s="1854"/>
      <c r="H5" s="344">
        <v>1</v>
      </c>
      <c r="I5" s="345" t="s">
        <v>1600</v>
      </c>
      <c r="J5" s="1295">
        <f ca="1">J6+J10+J12</f>
        <v>1505638</v>
      </c>
      <c r="K5" s="1825" t="s">
        <v>1601</v>
      </c>
      <c r="L5" s="1296"/>
      <c r="M5" s="1297"/>
    </row>
    <row r="6" spans="1:37" ht="18" customHeight="1">
      <c r="A6" s="1294" t="s">
        <v>1035</v>
      </c>
      <c r="B6" s="3230" t="s">
        <v>1403</v>
      </c>
      <c r="C6" s="1299">
        <f ca="1">ROUND(F6*F8*F7*(1-F9),0)</f>
        <v>1503758</v>
      </c>
      <c r="D6" s="164" t="s">
        <v>3033</v>
      </c>
      <c r="E6" s="347" t="s">
        <v>1405</v>
      </c>
      <c r="F6" s="348">
        <f ca="1">INDIRECT("'数据-取费表'!u"&amp;$G$1)</f>
        <v>3.5</v>
      </c>
      <c r="G6" s="1854"/>
      <c r="H6" s="1294" t="s">
        <v>1035</v>
      </c>
      <c r="I6" s="3230" t="s">
        <v>1403</v>
      </c>
      <c r="J6" s="346">
        <f ca="1">ROUND(M6*M8*M7*(1-M9),0)</f>
        <v>1503758</v>
      </c>
      <c r="K6" s="1837" t="s">
        <v>3034</v>
      </c>
      <c r="L6" s="347" t="s">
        <v>1405</v>
      </c>
      <c r="M6" s="348">
        <f ca="1">INDIRECT("'数据-取费表'!z"&amp;$G$1)</f>
        <v>3.5</v>
      </c>
    </row>
    <row r="7" spans="1:37" ht="18" customHeight="1">
      <c r="A7" s="1298"/>
      <c r="B7" s="3231"/>
      <c r="C7" s="1300"/>
      <c r="D7" s="352"/>
      <c r="E7" s="1301" t="s">
        <v>1406</v>
      </c>
      <c r="F7" s="348">
        <f ca="1">IF(INDIRECT("'数据-取费表'!ah"&amp;$G$1)="",INDIRECT("'数据-取费表'!k"&amp;$G$1),INDIRECT("'数据-取费表'!ah"&amp;$G$1))</f>
        <v>1307.9000000000001</v>
      </c>
      <c r="G7" s="1854"/>
      <c r="H7" s="349"/>
      <c r="I7" s="3231"/>
      <c r="J7" s="351"/>
      <c r="K7" s="352"/>
      <c r="L7" s="347" t="s">
        <v>1406</v>
      </c>
      <c r="M7" s="348">
        <f ca="1">F7</f>
        <v>1307.9000000000001</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4"/>
      <c r="H9" s="349"/>
      <c r="I9" s="3232"/>
      <c r="J9" s="351"/>
      <c r="K9" s="352"/>
      <c r="L9" s="358" t="s">
        <v>1408</v>
      </c>
      <c r="M9" s="359">
        <f ca="1">INDIRECT("'数据-取费表'!ab"&amp;$G$1)</f>
        <v>0.1</v>
      </c>
    </row>
    <row r="10" spans="1:37" ht="18" customHeight="1">
      <c r="A10" s="1294" t="s">
        <v>1039</v>
      </c>
      <c r="B10" s="1826" t="s">
        <v>1409</v>
      </c>
      <c r="C10" s="361">
        <f ca="1">ROUND(IF(F10="押一",C6/12*F11,IF(F10="押二",C6/12*2*F11,IF(F10="押三",C6/12*3*F11,C11*F11))),0)</f>
        <v>1880</v>
      </c>
      <c r="D10" s="1827" t="s">
        <v>3044</v>
      </c>
      <c r="E10" s="358" t="s">
        <v>1410</v>
      </c>
      <c r="F10" s="1369" t="s">
        <v>3107</v>
      </c>
      <c r="G10" s="1854"/>
      <c r="H10" s="1294" t="s">
        <v>1039</v>
      </c>
      <c r="I10" s="1826" t="s">
        <v>1409</v>
      </c>
      <c r="J10" s="346">
        <f ca="1">ROUND(IF(M10="押一",J6/12*M11,IF(M10="押二",J6/12*2*M11,IF(M10="押三",J6/12*3*M11,J11*M11))),0)</f>
        <v>1880</v>
      </c>
      <c r="K10" s="1838" t="s">
        <v>3046</v>
      </c>
      <c r="L10" s="358" t="s">
        <v>1410</v>
      </c>
      <c r="M10" s="1369" t="s">
        <v>3107</v>
      </c>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2121047</v>
      </c>
      <c r="D13" s="1334" t="s">
        <v>1415</v>
      </c>
      <c r="E13" s="1334" t="s">
        <v>1416</v>
      </c>
      <c r="F13" s="1335">
        <f ca="1">INDIRECT("'数据-取费表'!y"&amp;$G$1)</f>
        <v>0.6</v>
      </c>
      <c r="G13" s="1854"/>
      <c r="H13" s="1332">
        <v>2</v>
      </c>
      <c r="I13" s="1333" t="s">
        <v>1414</v>
      </c>
      <c r="J13" s="1293">
        <f ca="1">ROUND(J14*J15,0)</f>
        <v>2121047</v>
      </c>
      <c r="K13" s="1340" t="s">
        <v>1415</v>
      </c>
      <c r="L13" s="1855"/>
      <c r="M13" s="1856"/>
    </row>
    <row r="14" spans="1:37" ht="18" customHeight="1">
      <c r="A14" s="1204" t="s">
        <v>1034</v>
      </c>
      <c r="B14" s="347" t="s">
        <v>1417</v>
      </c>
      <c r="C14" s="363">
        <f ca="1">ROUND(INDIRECT("'数据-取费表'!l"&amp;$G$1)*F43+'数据-取费表'!L14*INDIRECT("'数据-取费表'!S"&amp;$G$1),0)</f>
        <v>2615800</v>
      </c>
      <c r="D14" s="1803" t="s">
        <v>1418</v>
      </c>
      <c r="E14" s="1797"/>
      <c r="F14" s="364"/>
      <c r="G14" s="1854"/>
      <c r="H14" s="1204" t="s">
        <v>1035</v>
      </c>
      <c r="I14" s="347" t="s">
        <v>1419</v>
      </c>
      <c r="J14" s="24">
        <f ca="1">C29</f>
        <v>3535078</v>
      </c>
      <c r="K14" s="15"/>
      <c r="L14" s="982"/>
      <c r="M14" s="983"/>
    </row>
    <row r="15" spans="1:37" s="1861" customFormat="1" ht="18" customHeight="1" thickBot="1">
      <c r="A15" s="1204" t="s">
        <v>1036</v>
      </c>
      <c r="B15" s="347" t="s">
        <v>1420</v>
      </c>
      <c r="C15" s="24">
        <f ca="1">ROUND(C14*F15,0)</f>
        <v>78474</v>
      </c>
      <c r="D15" s="365" t="s">
        <v>1421</v>
      </c>
      <c r="E15" s="365" t="s">
        <v>1422</v>
      </c>
      <c r="F15" s="366">
        <f>'数据-取费表'!B33</f>
        <v>0.03</v>
      </c>
      <c r="G15" s="1857"/>
      <c r="H15" s="1342" t="s">
        <v>1039</v>
      </c>
      <c r="I15" s="1343" t="s">
        <v>1416</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223766</v>
      </c>
      <c r="K16" s="1340" t="s">
        <v>1425</v>
      </c>
      <c r="L16" s="1341"/>
      <c r="M16" s="1297"/>
    </row>
    <row r="17" spans="1:37" s="1861" customFormat="1" ht="18" customHeight="1">
      <c r="A17" s="1204" t="s">
        <v>1390</v>
      </c>
      <c r="B17" s="347" t="s">
        <v>1426</v>
      </c>
      <c r="C17" s="24">
        <f ca="1">ROUND(F17*(F43+INDIRECT("'数据-取费表'!S"&amp;$G$1)),0)</f>
        <v>261580</v>
      </c>
      <c r="D17" s="347" t="s">
        <v>1427</v>
      </c>
      <c r="E17" s="347" t="s">
        <v>1428</v>
      </c>
      <c r="F17" s="26">
        <f>'数据-取费表'!B35</f>
        <v>200</v>
      </c>
      <c r="G17" s="1857"/>
      <c r="H17" s="1204" t="s">
        <v>1035</v>
      </c>
      <c r="I17" s="347" t="s">
        <v>1429</v>
      </c>
      <c r="J17" s="24">
        <f ca="1">ROUND(IF(项目基本情况!B11="自然人",J5*M17,J18+J19+J20),0)</f>
        <v>108562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39237</v>
      </c>
      <c r="D18" s="347" t="s">
        <v>1421</v>
      </c>
      <c r="E18" s="347" t="s">
        <v>1422</v>
      </c>
      <c r="F18" s="367">
        <f>'数据-取费表'!B36</f>
        <v>1.4999999999999999E-2</v>
      </c>
      <c r="G18" s="1857"/>
      <c r="H18" s="1204" t="s">
        <v>1034</v>
      </c>
      <c r="I18" s="347" t="s">
        <v>1433</v>
      </c>
      <c r="J18" s="24">
        <f ca="1">ROUND(J5*M18/(1+'数据-取费表'!C42),0)</f>
        <v>78867</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2995091</v>
      </c>
      <c r="D19" s="140" t="s">
        <v>1436</v>
      </c>
      <c r="E19" s="1821"/>
      <c r="F19" s="26"/>
      <c r="G19" s="1854"/>
      <c r="H19" s="1204" t="s">
        <v>1036</v>
      </c>
      <c r="I19" s="347" t="s">
        <v>1437</v>
      </c>
      <c r="J19" s="24">
        <f ca="1">IF(K19="按租金收入计税",ROUND(J5*M19,0),ROUND(C29*M19*0.7,0))</f>
        <v>29695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59902</v>
      </c>
      <c r="D20" s="369" t="s">
        <v>1440</v>
      </c>
      <c r="E20" s="347" t="s">
        <v>1422</v>
      </c>
      <c r="F20" s="367">
        <f>'数据-取费表'!B37</f>
        <v>0.02</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1307.9000000000001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88377</v>
      </c>
      <c r="K22" s="180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66446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4242</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22585</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1281872</v>
      </c>
      <c r="K25" s="1348" t="s">
        <v>1464</v>
      </c>
      <c r="L25" s="1349"/>
      <c r="M25" s="1350"/>
    </row>
    <row r="26" spans="1:37" ht="18" customHeight="1">
      <c r="A26" s="1204" t="s">
        <v>1034</v>
      </c>
      <c r="B26" s="347" t="s">
        <v>1465</v>
      </c>
      <c r="C26" s="24">
        <f ca="1">ROUND((C19+C20)*F26,0)</f>
        <v>152750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3535078</v>
      </c>
      <c r="D29" s="1345"/>
      <c r="E29" s="1343"/>
      <c r="F29" s="1346"/>
      <c r="G29" s="1857"/>
      <c r="H29" s="380" t="s">
        <v>1033</v>
      </c>
      <c r="I29" s="381" t="s">
        <v>1479</v>
      </c>
      <c r="J29" s="382">
        <f ca="1">ROUND(J26/(1+F40)^F41,0)</f>
        <v>0</v>
      </c>
      <c r="K29" s="383" t="s">
        <v>1480</v>
      </c>
      <c r="L29" s="384"/>
      <c r="M29" s="385">
        <f ca="1">INDIRECT("'数据-取费表'!k"&amp;$G$1)</f>
        <v>1307.9000000000001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223766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108562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78867</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29695</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1307.9000000000001</v>
      </c>
      <c r="G35" s="1854"/>
      <c r="H35" s="745"/>
      <c r="I35" s="1863"/>
      <c r="J35" s="1864"/>
      <c r="K35" s="1865"/>
      <c r="L35" s="1862"/>
      <c r="M35" s="1862"/>
    </row>
    <row r="36" spans="1:18" ht="18" customHeight="1">
      <c r="A36" s="1355" t="s">
        <v>1039</v>
      </c>
      <c r="B36" s="347" t="s">
        <v>1449</v>
      </c>
      <c r="C36" s="24">
        <f ca="1">ROUND(C29*F36,0)</f>
        <v>88377</v>
      </c>
      <c r="D36" s="180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ROUND(C13*F37,0)</f>
        <v>4242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22584.6</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1281872</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1307.9000000000001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f ca="1">IF(M47="住宅",0,IF(L48&gt;J51,L60,J60))</f>
        <v>1665022</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3108</v>
      </c>
      <c r="K47" s="1885" t="s">
        <v>1527</v>
      </c>
      <c r="L47" s="1886">
        <f ca="1">INDIRECT("'数据-取费表'!d"&amp;$G$1)</f>
        <v>70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t="s">
        <v>3109</v>
      </c>
      <c r="K48" s="1892" t="s">
        <v>1531</v>
      </c>
      <c r="L48" s="1893">
        <f ca="1">INDIRECT("'数据-取费表'!f"&amp;$G$1)</f>
        <v>27</v>
      </c>
      <c r="O48" s="1887" t="s">
        <v>1041</v>
      </c>
      <c r="P48" s="1888" t="s">
        <v>1532</v>
      </c>
      <c r="Q48" s="1889">
        <f ca="1">J60</f>
        <v>1665022</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3535078</v>
      </c>
      <c r="R49" s="1889" t="s">
        <v>1529</v>
      </c>
    </row>
    <row r="50" spans="1:18" s="1845" customFormat="1" ht="13.5" thickBot="1">
      <c r="A50" s="1198"/>
      <c r="B50" s="1201"/>
      <c r="C50" s="1202"/>
      <c r="D50" s="1175"/>
      <c r="E50" s="1280" t="s">
        <v>1406</v>
      </c>
      <c r="F50" s="1281">
        <f ca="1">F7</f>
        <v>1307.9000000000001</v>
      </c>
      <c r="H50" s="793"/>
      <c r="I50" s="1890" t="s">
        <v>1537</v>
      </c>
      <c r="J50" s="1898">
        <f>SUMPRODUCT((I63:I65=J47)*(J62:L62=J48)*(J63:L65))</f>
        <v>50</v>
      </c>
      <c r="K50" s="1892" t="s">
        <v>1538</v>
      </c>
      <c r="L50" s="1896"/>
      <c r="M50" s="1899"/>
      <c r="O50" s="1897" t="s">
        <v>1043</v>
      </c>
      <c r="P50" s="1888" t="s">
        <v>1539</v>
      </c>
      <c r="Q50" s="1900">
        <f ca="1">J58</f>
        <v>0.47099999999999997</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18161573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27</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t="s">
        <v>3107</v>
      </c>
      <c r="I53" s="1908" t="s">
        <v>1547</v>
      </c>
      <c r="J53" s="1909">
        <f ca="1">IF(M47="住宅",IF(D1="——",MAX(J51,L48),IF(D1="在建（套用方法）",MAX(J51,L48-'数据-取费表'!B24),MAX(J51,L48-'数据-取费表'!B20))),IF(D1="——",MIN(J51,L48),IF(D1="在建（套用方法）",MIN(J51,L48-'数据-取费表'!B24),IF(D1="土地（套用方法）",MIN(J51,L48-'数据-取费表'!B20)))))</f>
        <v>27</v>
      </c>
      <c r="K53" s="3233" t="s">
        <v>1548</v>
      </c>
      <c r="L53" s="323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0.47099999999999997</v>
      </c>
      <c r="K55" s="1915" t="s">
        <v>1552</v>
      </c>
      <c r="L55" s="1916" t="s">
        <v>3126</v>
      </c>
      <c r="O55" s="1880" t="s">
        <v>1522</v>
      </c>
      <c r="P55" s="1881" t="s">
        <v>1523</v>
      </c>
      <c r="Q55" s="1882" t="s">
        <v>1524</v>
      </c>
      <c r="R55" s="1882" t="s">
        <v>1525</v>
      </c>
    </row>
    <row r="56" spans="1:18" s="1845" customFormat="1" ht="36" customHeight="1" thickTop="1" thickBot="1">
      <c r="A56" s="1179">
        <v>2</v>
      </c>
      <c r="B56" s="1180" t="s">
        <v>1414</v>
      </c>
      <c r="C56" s="276">
        <f ca="1">C13</f>
        <v>2121047</v>
      </c>
      <c r="D56" s="1917"/>
      <c r="E56" s="1918"/>
      <c r="F56" s="1910"/>
      <c r="I56" s="1919" t="s">
        <v>1554</v>
      </c>
      <c r="J56" s="1920" t="s">
        <v>3125</v>
      </c>
      <c r="K56" s="1890" t="s">
        <v>1555</v>
      </c>
      <c r="L56" s="1893" t="str">
        <f ca="1">IF(L48&lt;J51,"——",L48-J51)</f>
        <v>——</v>
      </c>
      <c r="O56" s="1887" t="s">
        <v>1040</v>
      </c>
      <c r="P56" s="1888" t="s">
        <v>1528</v>
      </c>
      <c r="Q56" s="1889" t="e">
        <f ca="1">C40+J29</f>
        <v>#DIV/0!</v>
      </c>
      <c r="R56" s="1889" t="s">
        <v>1529</v>
      </c>
    </row>
    <row r="57" spans="1:18" s="1845" customFormat="1" ht="24.75" thickBot="1">
      <c r="A57" s="1921"/>
      <c r="B57" s="1172" t="s">
        <v>1478</v>
      </c>
      <c r="C57" s="282">
        <f ca="1">C29</f>
        <v>3535078</v>
      </c>
      <c r="D57" s="1922"/>
      <c r="E57" s="1923"/>
      <c r="F57" s="1924"/>
      <c r="I57" s="1925" t="s">
        <v>1556</v>
      </c>
      <c r="J57" s="1926">
        <f ca="1">IF(OR(M47="住宅",J51&lt;L48,J56="是"),"——",J51-L48)</f>
        <v>23</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122314</v>
      </c>
      <c r="D58" s="1182" t="s">
        <v>1425</v>
      </c>
      <c r="E58" s="1183"/>
      <c r="F58" s="1184"/>
      <c r="I58" s="1925" t="s">
        <v>1560</v>
      </c>
      <c r="J58" s="1927">
        <f ca="1">IF(J55&lt;0.4,0.4,J55)</f>
        <v>0.47099999999999997</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29695</v>
      </c>
      <c r="D59" s="1185" t="s">
        <v>1430</v>
      </c>
      <c r="E59" s="1186" t="s">
        <v>1431</v>
      </c>
      <c r="F59" s="368" t="str">
        <f ca="1">IF(项目基本情况!B11="企业","",IF(INDIRECT("'数据-取费表'!c"&amp;$G$1)="住宅",5%,IF(F49*F50*F51/12/(1+'数据-取费表'!C42)&gt;20000,12%,7%)))</f>
        <v/>
      </c>
      <c r="I59" s="1925" t="s">
        <v>1563</v>
      </c>
      <c r="J59" s="1926">
        <f ca="1">IF(OR(M47="住宅",J51&lt;L48,J56="是"),"——",ROUND(C29*J58,0))</f>
        <v>1665022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1665022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29695</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1307.9000000000001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88377</v>
      </c>
      <c r="D64" s="1186" t="s">
        <v>1502</v>
      </c>
      <c r="E64" s="1172" t="s">
        <v>1494</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4242</v>
      </c>
      <c r="D65" s="1186" t="s">
        <v>1454</v>
      </c>
      <c r="E65" s="1172" t="s">
        <v>1455</v>
      </c>
      <c r="F65" s="376">
        <f t="shared" ca="1" si="0"/>
        <v>2E-3</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-122314</v>
      </c>
      <c r="D67" s="1185" t="s">
        <v>1464</v>
      </c>
      <c r="E67" s="1190"/>
      <c r="F67" s="1191"/>
      <c r="O67" s="1897" t="s">
        <v>1042</v>
      </c>
      <c r="P67" s="1888" t="s">
        <v>1562</v>
      </c>
      <c r="Q67" s="1936">
        <f ca="1">L51</f>
        <v>18161573</v>
      </c>
      <c r="R67" s="1889" t="s">
        <v>1582</v>
      </c>
    </row>
    <row r="68" spans="1:18" s="1845" customFormat="1" ht="16.5" thickBot="1">
      <c r="A68" s="1169" t="s">
        <v>1032</v>
      </c>
      <c r="B68" s="1170" t="s">
        <v>1485</v>
      </c>
      <c r="C68" s="346" t="e">
        <f ca="1">ROUND(C67*(1-((1+F70)/(1+F68))^F69)/(F68-F70),0)</f>
        <v>#DIV/0!</v>
      </c>
      <c r="D68" s="1187" t="s">
        <v>1469</v>
      </c>
      <c r="E68" s="1172" t="s">
        <v>1470</v>
      </c>
      <c r="F68" s="357">
        <f ca="1">F40</f>
        <v>0.04</v>
      </c>
      <c r="O68" s="1897" t="s">
        <v>1043</v>
      </c>
      <c r="P68" s="1937" t="s">
        <v>1583</v>
      </c>
      <c r="Q68" s="1889">
        <f ca="1">ROUND(Q69-Q70*Q71,0)</f>
        <v>1112188</v>
      </c>
      <c r="R68" s="1889" t="s">
        <v>1051</v>
      </c>
    </row>
    <row r="69" spans="1:18" s="1845" customFormat="1" ht="13.5" thickBot="1">
      <c r="A69" s="1173"/>
      <c r="B69" s="1174"/>
      <c r="C69" s="351"/>
      <c r="D69" s="1192" t="s">
        <v>1473</v>
      </c>
      <c r="E69" s="1172" t="s">
        <v>1474</v>
      </c>
      <c r="F69" s="379">
        <f ca="1">F41</f>
        <v>0</v>
      </c>
      <c r="O69" s="1897" t="s">
        <v>1048</v>
      </c>
      <c r="P69" s="1937" t="s">
        <v>1584</v>
      </c>
      <c r="Q69" s="1889">
        <f ca="1">C39</f>
        <v>1281872</v>
      </c>
      <c r="R69" s="1889" t="s">
        <v>1529</v>
      </c>
    </row>
    <row r="70" spans="1:18" s="1845" customFormat="1" ht="13.5" thickBot="1">
      <c r="A70" s="1176"/>
      <c r="B70" s="1177"/>
      <c r="C70" s="355"/>
      <c r="D70" s="1188"/>
      <c r="E70" s="1172" t="s">
        <v>1477</v>
      </c>
      <c r="F70" s="1278">
        <f ca="1">F42</f>
        <v>0</v>
      </c>
      <c r="O70" s="1897" t="s">
        <v>1049</v>
      </c>
      <c r="P70" s="1937" t="s">
        <v>1585</v>
      </c>
      <c r="Q70" s="1889">
        <f ca="1">C13</f>
        <v>2121047</v>
      </c>
      <c r="R70" s="1889" t="s">
        <v>1529</v>
      </c>
    </row>
    <row r="71" spans="1:18" s="1845" customFormat="1" ht="13.5" thickBot="1">
      <c r="A71" s="1193" t="s">
        <v>1033</v>
      </c>
      <c r="B71" s="1194" t="s">
        <v>1487</v>
      </c>
      <c r="C71" s="382" t="e">
        <f ca="1">ROUND(C68/F71,0)</f>
        <v>#DIV/0!</v>
      </c>
      <c r="D71" s="1195" t="s">
        <v>1488</v>
      </c>
      <c r="E71" s="1196" t="s">
        <v>1489</v>
      </c>
      <c r="F71" s="385">
        <f ca="1">F43</f>
        <v>1307.9000000000001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169684</v>
      </c>
      <c r="D75" s="1845"/>
      <c r="E75" s="1845"/>
      <c r="F75" s="1845"/>
      <c r="K75" s="1871"/>
      <c r="L75" s="1845"/>
      <c r="O75" s="1887" t="s">
        <v>1046</v>
      </c>
      <c r="P75" s="1888" t="s">
        <v>1549</v>
      </c>
      <c r="Q75" s="1889" t="e">
        <f ca="1">Q65+Q66</f>
        <v>#DIV/0!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0.86799999999999999</v>
      </c>
    </row>
    <row r="80" spans="1:18">
      <c r="B80" s="386" t="s">
        <v>1511</v>
      </c>
      <c r="C80" s="318">
        <f ca="1">ROUND(C75/C39,3)</f>
        <v>0.13200000000000001</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2531</v>
      </c>
      <c r="B1" s="2568"/>
      <c r="C1" s="2568"/>
      <c r="D1" s="2568"/>
      <c r="E1" s="2569"/>
    </row>
    <row r="2" spans="1:6" ht="15.75">
      <c r="A2" s="2570" t="s">
        <v>2332</v>
      </c>
      <c r="B2" s="2571">
        <f ca="1">SUMIF(B6:B13,"&lt;&gt;#ref!",B6:B13)</f>
        <v>2587</v>
      </c>
      <c r="C2" s="2572" t="s">
        <v>2524</v>
      </c>
      <c r="D2" s="2573" t="s">
        <v>2525</v>
      </c>
      <c r="E2" s="2574">
        <f>SUM(E6:E13)</f>
        <v>1307.9000000000001</v>
      </c>
    </row>
    <row r="3" spans="1:6" ht="15.75">
      <c r="A3" s="2570" t="s">
        <v>1395</v>
      </c>
      <c r="B3" s="2571">
        <f ca="1">ROUND(B2*10000/E2,0)</f>
        <v>19780</v>
      </c>
      <c r="C3" s="2572" t="s">
        <v>2532</v>
      </c>
      <c r="D3" s="2575"/>
      <c r="E3" s="2576"/>
    </row>
    <row r="4" spans="1:6" ht="15.75">
      <c r="A4" s="2577"/>
      <c r="B4" s="2575"/>
      <c r="C4" s="2575"/>
      <c r="D4" s="2575"/>
      <c r="E4" s="2576"/>
    </row>
    <row r="5" spans="1:6" ht="15">
      <c r="A5" s="2578" t="s">
        <v>2526</v>
      </c>
      <c r="B5" s="3235" t="s">
        <v>2527</v>
      </c>
      <c r="C5" s="3235"/>
      <c r="D5" s="2579"/>
      <c r="E5" s="2580" t="s">
        <v>2528</v>
      </c>
      <c r="F5" s="2581" t="s">
        <v>2529</v>
      </c>
    </row>
    <row r="6" spans="1:6">
      <c r="A6" s="2582" t="str">
        <f>'数据-取费表'!AN6</f>
        <v>成本法</v>
      </c>
      <c r="B6" s="2581">
        <f ca="1">IF(F6="是",'数据-取费表'!AO6,0)</f>
        <v>2587</v>
      </c>
      <c r="C6" s="2572" t="s">
        <v>2524</v>
      </c>
      <c r="D6" s="2575"/>
      <c r="E6" s="2583">
        <f>IF(OR(A6=0,F6="否"),0,'数据-取费表'!K6+'数据-取费表'!S6)</f>
        <v>1307.9000000000001</v>
      </c>
      <c r="F6" s="2584" t="s">
        <v>2530</v>
      </c>
    </row>
    <row r="7" spans="1:6">
      <c r="A7" s="2582">
        <f>'数据-取费表'!AN7</f>
        <v>0</v>
      </c>
      <c r="B7" s="2581" t="e">
        <f ca="1">IF(F7="是",'数据-取费表'!AO7,0)</f>
        <v>#REF!</v>
      </c>
      <c r="C7" s="2572" t="s">
        <v>2524</v>
      </c>
      <c r="D7" s="2575"/>
      <c r="E7" s="2583">
        <f>IF(OR(A7=0,F7="否"),0,'数据-取费表'!K7+'数据-取费表'!S7)</f>
        <v>0</v>
      </c>
      <c r="F7" s="2584" t="s">
        <v>2530</v>
      </c>
    </row>
    <row r="8" spans="1:6">
      <c r="A8" s="2582">
        <f>'数据-取费表'!AN8</f>
        <v>0</v>
      </c>
      <c r="B8" s="2581" t="e">
        <f ca="1">IF(F8="是",'数据-取费表'!AO8,0)</f>
        <v>#REF!</v>
      </c>
      <c r="C8" s="2572" t="s">
        <v>2524</v>
      </c>
      <c r="D8" s="2575"/>
      <c r="E8" s="2583">
        <f>IF(OR(A8=0,F8="否"),0,'数据-取费表'!K8+'数据-取费表'!S8)</f>
        <v>0</v>
      </c>
      <c r="F8" s="2584" t="s">
        <v>2530</v>
      </c>
    </row>
    <row r="9" spans="1:6">
      <c r="A9" s="2582">
        <f>'数据-取费表'!AN9</f>
        <v>0</v>
      </c>
      <c r="B9" s="2581" t="e">
        <f ca="1">IF(F9="是",'数据-取费表'!AO9,0)</f>
        <v>#REF!</v>
      </c>
      <c r="C9" s="2572" t="s">
        <v>2524</v>
      </c>
      <c r="D9" s="2575"/>
      <c r="E9" s="2583">
        <f>IF(OR(A9=0,F9="否"),0,'数据-取费表'!K9+'数据-取费表'!S9)</f>
        <v>0</v>
      </c>
      <c r="F9" s="2584" t="s">
        <v>2530</v>
      </c>
    </row>
    <row r="10" spans="1:6">
      <c r="A10" s="2582">
        <f>'数据-取费表'!AN10</f>
        <v>0</v>
      </c>
      <c r="B10" s="2581" t="e">
        <f ca="1">IF(F10="是",'数据-取费表'!AO10,0)</f>
        <v>#REF!</v>
      </c>
      <c r="C10" s="2572" t="s">
        <v>2524</v>
      </c>
      <c r="D10" s="2575"/>
      <c r="E10" s="2583">
        <f>IF(OR(A10=0,F10="否"),0,'数据-取费表'!K10+'数据-取费表'!S10)</f>
        <v>0</v>
      </c>
      <c r="F10" s="2584" t="s">
        <v>2530</v>
      </c>
    </row>
    <row r="11" spans="1:6">
      <c r="A11" s="2582">
        <f>'数据-取费表'!AN11</f>
        <v>0</v>
      </c>
      <c r="B11" s="2581" t="e">
        <f ca="1">IF(F11="是",'数据-取费表'!AO11,0)</f>
        <v>#REF!</v>
      </c>
      <c r="C11" s="2572" t="s">
        <v>2524</v>
      </c>
      <c r="D11" s="2575"/>
      <c r="E11" s="2583">
        <f>IF(OR(A11=0,F11="否"),0,'数据-取费表'!K11+'数据-取费表'!S11)</f>
        <v>0</v>
      </c>
      <c r="F11" s="2584" t="s">
        <v>2530</v>
      </c>
    </row>
    <row r="12" spans="1:6">
      <c r="A12" s="2582">
        <f>'数据-取费表'!AN12</f>
        <v>0</v>
      </c>
      <c r="B12" s="2581" t="e">
        <f ca="1">IF(F12="是",'数据-取费表'!AO12,0)</f>
        <v>#REF!</v>
      </c>
      <c r="C12" s="2572" t="s">
        <v>2524</v>
      </c>
      <c r="D12" s="2575"/>
      <c r="E12" s="2583">
        <f>IF(OR(A12=0,F12="否"),0,'数据-取费表'!K12+'数据-取费表'!S12)</f>
        <v>0</v>
      </c>
      <c r="F12" s="2584" t="s">
        <v>2530</v>
      </c>
    </row>
    <row r="13" spans="1:6" ht="15" thickBot="1">
      <c r="A13" s="2585">
        <f>'数据-取费表'!AN13</f>
        <v>0</v>
      </c>
      <c r="B13" s="2581" t="e">
        <f ca="1">IF(F13="是",'数据-取费表'!AO13,0)</f>
        <v>#REF!</v>
      </c>
      <c r="C13" s="2586" t="s">
        <v>2524</v>
      </c>
      <c r="D13" s="2587"/>
      <c r="E13" s="2583">
        <f>IF(OR(A13=0,F13="否"),0,'数据-取费表'!K13+'数据-取费表'!S13)</f>
        <v>0</v>
      </c>
      <c r="F13" s="2584"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42" t="s">
        <v>1077</v>
      </c>
      <c r="B2" s="3243" t="s">
        <v>1078</v>
      </c>
      <c r="C2" s="3243"/>
      <c r="D2" s="1304" t="s">
        <v>1079</v>
      </c>
      <c r="E2" s="1304" t="s">
        <v>1080</v>
      </c>
      <c r="F2" s="1304" t="s">
        <v>1081</v>
      </c>
      <c r="G2" s="1304" t="s">
        <v>1082</v>
      </c>
      <c r="H2" s="1304" t="s">
        <v>1083</v>
      </c>
      <c r="I2" s="1305" t="s">
        <v>1084</v>
      </c>
    </row>
    <row r="3" spans="1:9">
      <c r="A3" s="3242"/>
      <c r="B3" s="3243" t="s">
        <v>1085</v>
      </c>
      <c r="C3" s="3243"/>
      <c r="D3" s="1306"/>
      <c r="E3" s="1304"/>
      <c r="F3" s="1307"/>
      <c r="G3" s="1307"/>
      <c r="H3" s="1308"/>
      <c r="I3" s="1309">
        <f>ROUND(D3*E3*F3*G3*H3/10000,0)</f>
        <v>0</v>
      </c>
    </row>
    <row r="4" spans="1:9">
      <c r="A4" s="3242"/>
      <c r="B4" s="3243" t="s">
        <v>1086</v>
      </c>
      <c r="C4" s="3243"/>
      <c r="D4" s="1306"/>
      <c r="E4" s="1304"/>
      <c r="F4" s="1307"/>
      <c r="G4" s="1307"/>
      <c r="H4" s="1308"/>
      <c r="I4" s="1309">
        <f t="shared" ref="I4:I9" si="0">ROUND(D4*E4*F4*G4*H4/10000,0)</f>
        <v>0</v>
      </c>
    </row>
    <row r="5" spans="1:9">
      <c r="A5" s="3242"/>
      <c r="B5" s="3243" t="s">
        <v>1087</v>
      </c>
      <c r="C5" s="3243"/>
      <c r="D5" s="1306"/>
      <c r="E5" s="1304"/>
      <c r="F5" s="1307"/>
      <c r="G5" s="1307"/>
      <c r="H5" s="1308"/>
      <c r="I5" s="1309">
        <f t="shared" si="0"/>
        <v>0</v>
      </c>
    </row>
    <row r="6" spans="1:9">
      <c r="A6" s="3242"/>
      <c r="B6" s="3243" t="s">
        <v>1088</v>
      </c>
      <c r="C6" s="3243"/>
      <c r="D6" s="1306"/>
      <c r="E6" s="1304"/>
      <c r="F6" s="1307"/>
      <c r="G6" s="1307"/>
      <c r="H6" s="1308"/>
      <c r="I6" s="1309">
        <f t="shared" si="0"/>
        <v>0</v>
      </c>
    </row>
    <row r="7" spans="1:9">
      <c r="A7" s="3242"/>
      <c r="B7" s="3243" t="s">
        <v>1089</v>
      </c>
      <c r="C7" s="3243"/>
      <c r="D7" s="1306"/>
      <c r="E7" s="1304"/>
      <c r="F7" s="1307"/>
      <c r="G7" s="1307"/>
      <c r="H7" s="1308"/>
      <c r="I7" s="1309">
        <f t="shared" si="0"/>
        <v>0</v>
      </c>
    </row>
    <row r="8" spans="1:9">
      <c r="A8" s="3242"/>
      <c r="B8" s="3243" t="s">
        <v>1090</v>
      </c>
      <c r="C8" s="3243"/>
      <c r="D8" s="1306"/>
      <c r="E8" s="1304"/>
      <c r="F8" s="1307"/>
      <c r="G8" s="1307"/>
      <c r="H8" s="1308"/>
      <c r="I8" s="1309">
        <f t="shared" si="0"/>
        <v>0</v>
      </c>
    </row>
    <row r="9" spans="1:9">
      <c r="A9" s="3242"/>
      <c r="B9" s="3243" t="s">
        <v>1091</v>
      </c>
      <c r="C9" s="3243"/>
      <c r="D9" s="1306"/>
      <c r="E9" s="1304"/>
      <c r="F9" s="1307"/>
      <c r="G9" s="1307"/>
      <c r="H9" s="1308"/>
      <c r="I9" s="1309">
        <f t="shared" si="0"/>
        <v>0</v>
      </c>
    </row>
    <row r="10" spans="1:9">
      <c r="A10" s="3242"/>
      <c r="B10" s="3244" t="s">
        <v>1092</v>
      </c>
      <c r="C10" s="3244"/>
      <c r="D10" s="1310"/>
      <c r="E10" s="1310" t="e">
        <f>ROUND(D1*10000/D10/H9,0)</f>
        <v>#DIV/0!</v>
      </c>
      <c r="F10" s="1311"/>
      <c r="G10" s="1311"/>
      <c r="H10" s="1312"/>
      <c r="I10" s="1313">
        <f>SUM(I3:I9)</f>
        <v>0</v>
      </c>
    </row>
    <row r="11" spans="1:9" ht="14.25">
      <c r="A11" s="3242" t="s">
        <v>1093</v>
      </c>
      <c r="B11" s="3243" t="s">
        <v>1094</v>
      </c>
      <c r="C11" s="3243"/>
      <c r="D11" s="1306" t="s">
        <v>1095</v>
      </c>
      <c r="E11" s="1306" t="s">
        <v>1096</v>
      </c>
      <c r="F11" s="1307" t="s">
        <v>1097</v>
      </c>
      <c r="G11" s="1307" t="s">
        <v>1083</v>
      </c>
      <c r="H11" s="1314" t="s">
        <v>1098</v>
      </c>
      <c r="I11" s="1305" t="s">
        <v>1084</v>
      </c>
    </row>
    <row r="12" spans="1:9">
      <c r="A12" s="3242"/>
      <c r="B12" s="3243" t="s">
        <v>1099</v>
      </c>
      <c r="C12" s="3243"/>
      <c r="D12" s="1306"/>
      <c r="E12" s="1306"/>
      <c r="F12" s="1307"/>
      <c r="G12" s="1308"/>
      <c r="H12" s="1315"/>
      <c r="I12" s="1305">
        <f>ROUND(D12*E12*F12*G12/10000,0)</f>
        <v>0</v>
      </c>
    </row>
    <row r="13" spans="1:9">
      <c r="A13" s="3242"/>
      <c r="B13" s="3243" t="s">
        <v>1100</v>
      </c>
      <c r="C13" s="3243"/>
      <c r="D13" s="1306"/>
      <c r="E13" s="1306"/>
      <c r="F13" s="1307"/>
      <c r="G13" s="1308"/>
      <c r="H13" s="1315"/>
      <c r="I13" s="1305">
        <f>ROUND(D13*E13*F13*G13/10000,0)</f>
        <v>0</v>
      </c>
    </row>
    <row r="14" spans="1:9">
      <c r="A14" s="3242"/>
      <c r="B14" s="3243" t="s">
        <v>1101</v>
      </c>
      <c r="C14" s="3243"/>
      <c r="D14" s="1306"/>
      <c r="E14" s="1306"/>
      <c r="F14" s="1307"/>
      <c r="G14" s="1308"/>
      <c r="H14" s="1315"/>
      <c r="I14" s="1305">
        <f>ROUND(D14*E14*F14*G14/10000,0)</f>
        <v>0</v>
      </c>
    </row>
    <row r="15" spans="1:9">
      <c r="A15" s="3242"/>
      <c r="B15" s="3244" t="s">
        <v>1092</v>
      </c>
      <c r="C15" s="3244"/>
      <c r="D15" s="1310"/>
      <c r="E15" s="1310">
        <f>SUM(E12:E14)</f>
        <v>0</v>
      </c>
      <c r="F15" s="1311"/>
      <c r="G15" s="1308"/>
      <c r="H15" s="1315"/>
      <c r="I15" s="1316">
        <f>SUM(I12:I14)</f>
        <v>0</v>
      </c>
    </row>
    <row r="16" spans="1:9" ht="24">
      <c r="A16" s="3242" t="s">
        <v>1102</v>
      </c>
      <c r="B16" s="3243" t="s">
        <v>1103</v>
      </c>
      <c r="C16" s="3243"/>
      <c r="D16" s="1306" t="s">
        <v>1079</v>
      </c>
      <c r="E16" s="1317" t="s">
        <v>1104</v>
      </c>
      <c r="F16" s="1307" t="s">
        <v>1105</v>
      </c>
      <c r="G16" s="1308" t="s">
        <v>1083</v>
      </c>
      <c r="H16" s="1314" t="s">
        <v>1098</v>
      </c>
      <c r="I16" s="1305" t="s">
        <v>1084</v>
      </c>
    </row>
    <row r="17" spans="1:9" ht="14.25">
      <c r="A17" s="3242"/>
      <c r="B17" s="3243" t="s">
        <v>1106</v>
      </c>
      <c r="C17" s="3243"/>
      <c r="D17" s="1306"/>
      <c r="E17" s="1306"/>
      <c r="F17" s="1307"/>
      <c r="G17" s="1308"/>
      <c r="H17" s="1318"/>
      <c r="I17" s="1319">
        <f>ROUND(D17*E17*F17*G17/10000,0)</f>
        <v>0</v>
      </c>
    </row>
    <row r="18" spans="1:9" ht="14.25">
      <c r="A18" s="3242"/>
      <c r="B18" s="3243" t="s">
        <v>1107</v>
      </c>
      <c r="C18" s="3243"/>
      <c r="D18" s="1306"/>
      <c r="E18" s="1306"/>
      <c r="F18" s="1307"/>
      <c r="G18" s="1308"/>
      <c r="H18" s="1318"/>
      <c r="I18" s="1319">
        <f>ROUND(D18*E18*F18*G18/10000,0)</f>
        <v>0</v>
      </c>
    </row>
    <row r="19" spans="1:9" ht="14.25">
      <c r="A19" s="3242"/>
      <c r="B19" s="3243" t="s">
        <v>1108</v>
      </c>
      <c r="C19" s="3243"/>
      <c r="D19" s="1306"/>
      <c r="E19" s="1306"/>
      <c r="F19" s="1307"/>
      <c r="G19" s="1308"/>
      <c r="H19" s="1318"/>
      <c r="I19" s="1319">
        <f>ROUND(D19*E19*F19*G19/10000,0)</f>
        <v>0</v>
      </c>
    </row>
    <row r="20" spans="1:9">
      <c r="A20" s="3242"/>
      <c r="B20" s="3244" t="s">
        <v>1092</v>
      </c>
      <c r="C20" s="3244"/>
      <c r="D20" s="1310">
        <f>SUM(D17:D19)</f>
        <v>0</v>
      </c>
      <c r="E20" s="1310"/>
      <c r="F20" s="1311"/>
      <c r="G20" s="1308"/>
      <c r="H20" s="1315"/>
      <c r="I20" s="1316">
        <f>SUM(I17:I19)</f>
        <v>0</v>
      </c>
    </row>
    <row r="21" spans="1:9">
      <c r="A21" s="3242" t="s">
        <v>1109</v>
      </c>
      <c r="B21" s="3245"/>
      <c r="C21" s="3245"/>
      <c r="D21" s="3245"/>
      <c r="E21" s="3245"/>
      <c r="F21" s="3245"/>
      <c r="G21" s="3245"/>
      <c r="H21" s="1768">
        <v>0.1</v>
      </c>
      <c r="I21" s="1313">
        <f>ROUND(I10*H21,0)</f>
        <v>0</v>
      </c>
    </row>
    <row r="22" spans="1:9" ht="14.25">
      <c r="A22" s="3246" t="s">
        <v>1110</v>
      </c>
      <c r="B22" s="3247"/>
      <c r="C22" s="3248"/>
      <c r="D22" s="1320" t="s">
        <v>1111</v>
      </c>
      <c r="E22" s="1320" t="s">
        <v>1112</v>
      </c>
      <c r="F22" s="1321" t="s">
        <v>1113</v>
      </c>
      <c r="G22" s="1321" t="s">
        <v>1114</v>
      </c>
      <c r="H22" s="1314" t="s">
        <v>1115</v>
      </c>
      <c r="I22" s="1305" t="s">
        <v>1116</v>
      </c>
    </row>
    <row r="23" spans="1:9" ht="14.25" thickBot="1">
      <c r="A23" s="3249"/>
      <c r="B23" s="3250"/>
      <c r="C23" s="3251"/>
      <c r="D23" s="1322"/>
      <c r="E23" s="1322"/>
      <c r="F23" s="1322"/>
      <c r="G23" s="1323"/>
      <c r="H23" s="1324"/>
      <c r="I23" s="1325">
        <f>ROUND(E23*D23*F23*(1-G23)/10000,0)</f>
        <v>0</v>
      </c>
    </row>
    <row r="26" spans="1:9">
      <c r="A26" s="1326" t="s">
        <v>1117</v>
      </c>
      <c r="B26" s="1326"/>
      <c r="C26" s="1326"/>
      <c r="D26" s="1326"/>
      <c r="E26" s="3239">
        <f>C27-C30-C31-C32</f>
        <v>0</v>
      </c>
      <c r="F26" s="3239"/>
      <c r="G26" s="3239"/>
      <c r="H26" s="1740" t="s">
        <v>1340</v>
      </c>
    </row>
    <row r="27" spans="1:9">
      <c r="A27" s="1327">
        <v>1</v>
      </c>
      <c r="B27" s="1328" t="s">
        <v>1118</v>
      </c>
      <c r="C27" s="1328">
        <f>C28+C29</f>
        <v>0</v>
      </c>
      <c r="D27" s="1328"/>
      <c r="E27" s="3240"/>
      <c r="F27" s="3240"/>
      <c r="G27" s="3240"/>
    </row>
    <row r="28" spans="1:9">
      <c r="A28" s="1329" t="s">
        <v>1119</v>
      </c>
      <c r="B28" s="1328" t="s">
        <v>1120</v>
      </c>
      <c r="C28" s="1328"/>
      <c r="D28" s="1328"/>
      <c r="E28" s="3240"/>
      <c r="F28" s="3240"/>
      <c r="G28" s="324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1"/>
      <c r="F32" s="3241"/>
      <c r="G32" s="3241"/>
    </row>
    <row r="33" spans="1:7" hidden="1">
      <c r="A33" s="3236" t="s">
        <v>1129</v>
      </c>
      <c r="B33" s="3237"/>
      <c r="C33" s="3237"/>
      <c r="D33" s="3238"/>
      <c r="E33" s="3239"/>
      <c r="F33" s="3239"/>
      <c r="G33" s="3239"/>
    </row>
    <row r="34" spans="1:7" hidden="1">
      <c r="A34" s="1331">
        <v>1</v>
      </c>
      <c r="B34" s="1328" t="s">
        <v>1130</v>
      </c>
      <c r="C34" s="1328"/>
      <c r="D34" s="1328"/>
      <c r="E34" s="3240"/>
      <c r="F34" s="3240"/>
      <c r="G34" s="3240"/>
    </row>
    <row r="35" spans="1:7" hidden="1">
      <c r="A35" s="1331">
        <v>2</v>
      </c>
      <c r="B35" s="1328" t="s">
        <v>1131</v>
      </c>
      <c r="C35" s="1328"/>
      <c r="D35" s="1328"/>
      <c r="E35" s="3240"/>
      <c r="F35" s="3240"/>
      <c r="G35" s="3240"/>
    </row>
    <row r="36" spans="1:7" hidden="1">
      <c r="A36" s="1331">
        <v>3</v>
      </c>
      <c r="B36" s="1328" t="s">
        <v>1132</v>
      </c>
      <c r="C36" s="1328"/>
      <c r="D36" s="1328"/>
      <c r="E36" s="3240"/>
      <c r="F36" s="3240"/>
      <c r="G36" s="3240"/>
    </row>
    <row r="37" spans="1:7" hidden="1">
      <c r="A37" s="1331">
        <v>4</v>
      </c>
      <c r="B37" s="1328" t="s">
        <v>1133</v>
      </c>
      <c r="C37" s="1328"/>
      <c r="D37" s="1328"/>
      <c r="E37" s="3240"/>
      <c r="F37" s="3240"/>
      <c r="G37" s="3240"/>
    </row>
    <row r="38" spans="1:7" hidden="1">
      <c r="A38" s="3236" t="s">
        <v>1134</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7" sqref="D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3060</v>
      </c>
      <c r="D1" s="1823" t="s">
        <v>70</v>
      </c>
      <c r="E1" s="1824" t="s">
        <v>1387</v>
      </c>
      <c r="F1" s="1286">
        <f ca="1">J53</f>
        <v>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150</v>
      </c>
      <c r="D5" s="1825" t="s">
        <v>1402</v>
      </c>
      <c r="E5" s="1296"/>
      <c r="F5" s="1297"/>
      <c r="G5" s="1854"/>
      <c r="H5" s="344">
        <v>1</v>
      </c>
      <c r="I5" s="345" t="s">
        <v>1401</v>
      </c>
      <c r="J5" s="1295">
        <f ca="1">J6+J10+J12</f>
        <v>150</v>
      </c>
      <c r="K5" s="1825" t="s">
        <v>1402</v>
      </c>
      <c r="L5" s="1296"/>
      <c r="M5" s="1297"/>
    </row>
    <row r="6" spans="1:37" ht="18" customHeight="1">
      <c r="A6" s="1294" t="s">
        <v>1035</v>
      </c>
      <c r="B6" s="3230" t="s">
        <v>1403</v>
      </c>
      <c r="C6" s="1299">
        <f ca="1">ROUND(F6*F8*F7*(1-F9)/10000,0)</f>
        <v>150</v>
      </c>
      <c r="D6" s="164" t="s">
        <v>3036</v>
      </c>
      <c r="E6" s="347" t="s">
        <v>1405</v>
      </c>
      <c r="F6" s="348">
        <f ca="1">INDIRECT("'数据-取费表'!u"&amp;$G$1)</f>
        <v>3.5</v>
      </c>
      <c r="G6" s="1854"/>
      <c r="H6" s="1294" t="s">
        <v>1035</v>
      </c>
      <c r="I6" s="3230" t="s">
        <v>1403</v>
      </c>
      <c r="J6" s="346">
        <f ca="1">ROUND(M6*M8*M7*(1-M9)/10000,0)</f>
        <v>150</v>
      </c>
      <c r="K6" s="164" t="s">
        <v>3035</v>
      </c>
      <c r="L6" s="347" t="s">
        <v>1405</v>
      </c>
      <c r="M6" s="348">
        <f ca="1">INDIRECT("'数据-取费表'!z"&amp;$G$1)</f>
        <v>3.5</v>
      </c>
    </row>
    <row r="7" spans="1:37" ht="18" customHeight="1">
      <c r="A7" s="1298"/>
      <c r="B7" s="3231"/>
      <c r="C7" s="1300"/>
      <c r="D7" s="352"/>
      <c r="E7" s="1301" t="s">
        <v>1406</v>
      </c>
      <c r="F7" s="348">
        <f ca="1">IF(INDIRECT("'数据-取费表'!ah"&amp;$G$1)="",INDIRECT("'数据-取费表'!k"&amp;$G$1),INDIRECT("'数据-取费表'!ah"&amp;$G$1))</f>
        <v>1307.9000000000001</v>
      </c>
      <c r="G7" s="1854"/>
      <c r="H7" s="349"/>
      <c r="I7" s="3231"/>
      <c r="J7" s="351"/>
      <c r="K7" s="352"/>
      <c r="L7" s="347" t="s">
        <v>1406</v>
      </c>
      <c r="M7" s="348">
        <f ca="1">F7</f>
        <v>1307.9000000000001</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4"/>
      <c r="H9" s="349"/>
      <c r="I9" s="3232"/>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3045</v>
      </c>
      <c r="E10" s="358" t="s">
        <v>1410</v>
      </c>
      <c r="F10" s="1369" t="s">
        <v>3107</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212</v>
      </c>
      <c r="D13" s="1334" t="s">
        <v>1415</v>
      </c>
      <c r="E13" s="1334" t="s">
        <v>1416</v>
      </c>
      <c r="F13" s="1335">
        <f ca="1">INDIRECT("'数据-取费表'!y"&amp;$G$1)</f>
        <v>0.6</v>
      </c>
      <c r="G13" s="1854"/>
      <c r="H13" s="1332">
        <v>2</v>
      </c>
      <c r="I13" s="1333" t="s">
        <v>1414</v>
      </c>
      <c r="J13" s="1293">
        <f ca="1">ROUND(J14*J15,0)</f>
        <v>212</v>
      </c>
      <c r="K13" s="1340" t="s">
        <v>1415</v>
      </c>
      <c r="L13" s="1855"/>
      <c r="M13" s="1856"/>
    </row>
    <row r="14" spans="1:37" ht="18" customHeight="1">
      <c r="A14" s="1204" t="s">
        <v>1034</v>
      </c>
      <c r="B14" s="347" t="s">
        <v>1417</v>
      </c>
      <c r="C14" s="363">
        <f ca="1">INDIRECT("'数据-取费表'!m"&amp;$G$1)+INDIRECT("'数据-取费表'!t"&amp;$G$1)</f>
        <v>262</v>
      </c>
      <c r="D14" s="1803" t="s">
        <v>1418</v>
      </c>
      <c r="E14" s="1797"/>
      <c r="F14" s="364"/>
      <c r="G14" s="1854"/>
      <c r="H14" s="1204" t="s">
        <v>1035</v>
      </c>
      <c r="I14" s="347" t="s">
        <v>1419</v>
      </c>
      <c r="J14" s="24">
        <f ca="1">C29</f>
        <v>354</v>
      </c>
      <c r="K14" s="15"/>
      <c r="L14" s="982"/>
      <c r="M14" s="983"/>
    </row>
    <row r="15" spans="1:37" s="1861" customFormat="1" ht="18" customHeight="1" thickBot="1">
      <c r="A15" s="1204" t="s">
        <v>1036</v>
      </c>
      <c r="B15" s="347" t="s">
        <v>1420</v>
      </c>
      <c r="C15" s="24">
        <f ca="1">ROUND(C14*F15,0)</f>
        <v>8</v>
      </c>
      <c r="D15" s="365" t="s">
        <v>1421</v>
      </c>
      <c r="E15" s="365" t="s">
        <v>1422</v>
      </c>
      <c r="F15" s="366">
        <f>'数据-取费表'!B33</f>
        <v>0.03</v>
      </c>
      <c r="G15" s="1857"/>
      <c r="H15" s="1342" t="s">
        <v>1039</v>
      </c>
      <c r="I15" s="1343" t="s">
        <v>1416</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22</v>
      </c>
      <c r="K16" s="1340" t="s">
        <v>1425</v>
      </c>
      <c r="L16" s="1341"/>
      <c r="M16" s="1297"/>
    </row>
    <row r="17" spans="1:37" s="1861" customFormat="1" ht="18" customHeight="1">
      <c r="A17" s="1204" t="s">
        <v>1390</v>
      </c>
      <c r="B17" s="347" t="s">
        <v>1426</v>
      </c>
      <c r="C17" s="24">
        <f ca="1">ROUND(F17*(F43+INDIRECT("'数据-取费表'!S"&amp;$G$1))/10000,0)</f>
        <v>26</v>
      </c>
      <c r="D17" s="347" t="s">
        <v>1427</v>
      </c>
      <c r="E17" s="347" t="s">
        <v>1428</v>
      </c>
      <c r="F17" s="26">
        <f>'数据-取费表'!B35</f>
        <v>200</v>
      </c>
      <c r="G17" s="1857"/>
      <c r="H17" s="1204" t="s">
        <v>1035</v>
      </c>
      <c r="I17" s="347" t="s">
        <v>1429</v>
      </c>
      <c r="J17" s="24">
        <f ca="1">ROUND(IF(项目基本情况!B11="自然人",J5*M17,J18+J19+J20),1)</f>
        <v>10.8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v>
      </c>
      <c r="D18" s="347" t="s">
        <v>1421</v>
      </c>
      <c r="E18" s="347" t="s">
        <v>1422</v>
      </c>
      <c r="F18" s="367">
        <f>'数据-取费表'!B36</f>
        <v>1.4999999999999999E-2</v>
      </c>
      <c r="G18" s="1857"/>
      <c r="H18" s="1204" t="s">
        <v>1034</v>
      </c>
      <c r="I18" s="347" t="s">
        <v>1433</v>
      </c>
      <c r="J18" s="24">
        <f ca="1">ROUND(J5*M18/(1+'数据-取费表'!C42),2)</f>
        <v>7.86</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300</v>
      </c>
      <c r="D19" s="140" t="s">
        <v>1436</v>
      </c>
      <c r="E19" s="1821"/>
      <c r="F19" s="26"/>
      <c r="G19" s="1854"/>
      <c r="H19" s="1204" t="s">
        <v>1036</v>
      </c>
      <c r="I19" s="347" t="s">
        <v>1437</v>
      </c>
      <c r="J19" s="24">
        <f ca="1">IF(K19="按租金收入计税",ROUND(J5*M19,2),ROUND(C29*M19*0.7,2))</f>
        <v>2.97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v>
      </c>
      <c r="D20" s="369" t="s">
        <v>1440</v>
      </c>
      <c r="E20" s="347" t="s">
        <v>1422</v>
      </c>
      <c r="F20" s="367">
        <f>'数据-取费表'!B37</f>
        <v>0.02</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1307.9000000000001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8.9</v>
      </c>
      <c r="K22" s="180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0.4</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2.2999999999999998</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128</v>
      </c>
      <c r="K25" s="1348" t="s">
        <v>1464</v>
      </c>
      <c r="L25" s="1349"/>
      <c r="M25" s="1350"/>
    </row>
    <row r="26" spans="1:37">
      <c r="A26" s="1204" t="s">
        <v>1034</v>
      </c>
      <c r="B26" s="347" t="s">
        <v>1465</v>
      </c>
      <c r="C26" s="24">
        <f ca="1">ROUND((C19+C20)*F26,0)</f>
        <v>15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354</v>
      </c>
      <c r="D29" s="1345"/>
      <c r="E29" s="1343"/>
      <c r="F29" s="1346"/>
      <c r="G29" s="1857"/>
      <c r="H29" s="380" t="s">
        <v>1033</v>
      </c>
      <c r="I29" s="381" t="s">
        <v>1479</v>
      </c>
      <c r="J29" s="382">
        <f ca="1">ROUND(J26/(1+F40)^F41,0)</f>
        <v>-2750</v>
      </c>
      <c r="K29" s="383" t="s">
        <v>1480</v>
      </c>
      <c r="L29" s="384"/>
      <c r="M29" s="385">
        <f ca="1">INDIRECT("'数据-取费表'!k"&amp;$G$1)</f>
        <v>1307.9000000000001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10.8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7.86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2.97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1307.9000000000001</v>
      </c>
      <c r="G35" s="1854"/>
      <c r="H35" s="745"/>
      <c r="I35" s="1863"/>
      <c r="J35" s="1864"/>
      <c r="K35" s="1865"/>
      <c r="L35" s="1862"/>
      <c r="M35" s="1862"/>
    </row>
    <row r="36" spans="1:18" ht="18" customHeight="1">
      <c r="A36" s="1355" t="s">
        <v>1039</v>
      </c>
      <c r="B36" s="347" t="s">
        <v>1449</v>
      </c>
      <c r="C36" s="24">
        <f ca="1">ROUND(C29*F36,1)</f>
        <v>8.9</v>
      </c>
      <c r="D36" s="180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2.2999999999999998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128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2750</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50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21026</v>
      </c>
      <c r="D43" s="383" t="s">
        <v>1488</v>
      </c>
      <c r="E43" s="384" t="s">
        <v>1489</v>
      </c>
      <c r="F43" s="385">
        <f ca="1">INDIRECT("'数据-取费表'!k"&amp;$G$1)</f>
        <v>1307.9000000000001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-3008</v>
      </c>
      <c r="D46" s="1875" t="str">
        <f>C2</f>
        <v>万元</v>
      </c>
      <c r="E46" s="1869"/>
      <c r="F46" s="1869"/>
      <c r="I46" s="1876" t="s">
        <v>1521</v>
      </c>
      <c r="J46" s="1877"/>
      <c r="K46" s="1878"/>
      <c r="L46" s="1879">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3108</v>
      </c>
      <c r="K47" s="1885" t="s">
        <v>1527</v>
      </c>
      <c r="L47" s="1886">
        <f ca="1">INDIRECT("'数据-取费表'!d"&amp;$G$1)</f>
        <v>70</v>
      </c>
      <c r="M47" s="1841" t="str">
        <f>IF(ISNUMBER(FIND("住宅",C1)),"住宅","非住宅")</f>
        <v>非住宅</v>
      </c>
      <c r="O47" s="1887" t="s">
        <v>1040</v>
      </c>
      <c r="P47" s="1888" t="s">
        <v>1528</v>
      </c>
      <c r="Q47" s="1889">
        <f ca="1">C40+J29</f>
        <v>0</v>
      </c>
      <c r="R47" s="1889" t="s">
        <v>1529</v>
      </c>
    </row>
    <row r="48" spans="1:18" s="1845" customFormat="1" ht="28.5" thickBot="1">
      <c r="A48" s="1363" t="s">
        <v>1135</v>
      </c>
      <c r="B48" s="345" t="s">
        <v>1401</v>
      </c>
      <c r="C48" s="1820">
        <f ca="1">C49+C53+C55</f>
        <v>0</v>
      </c>
      <c r="D48" s="1365"/>
      <c r="E48" s="1366"/>
      <c r="F48" s="1184"/>
      <c r="G48" s="792"/>
      <c r="H48" s="793"/>
      <c r="I48" s="1890" t="s">
        <v>1530</v>
      </c>
      <c r="J48" s="1891" t="s">
        <v>3124</v>
      </c>
      <c r="K48" s="1892" t="s">
        <v>1531</v>
      </c>
      <c r="L48" s="1893">
        <f ca="1">INDIRECT("'数据-取费表'!f"&amp;$G$1)</f>
        <v>27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v>1996</v>
      </c>
      <c r="K49" s="1892" t="s">
        <v>1535</v>
      </c>
      <c r="L49" s="1896"/>
      <c r="O49" s="1897" t="s">
        <v>1042</v>
      </c>
      <c r="P49" s="1888" t="s">
        <v>1536</v>
      </c>
      <c r="Q49" s="1889">
        <f ca="1">C29</f>
        <v>354</v>
      </c>
      <c r="R49" s="1889" t="s">
        <v>1529</v>
      </c>
    </row>
    <row r="50" spans="1:18" s="1845" customFormat="1" ht="13.5" thickBot="1">
      <c r="A50" s="1198"/>
      <c r="B50" s="1201"/>
      <c r="C50" s="1371"/>
      <c r="D50" s="1175"/>
      <c r="E50" s="1280" t="s">
        <v>1406</v>
      </c>
      <c r="F50" s="1281">
        <f ca="1">F7</f>
        <v>1307.9000000000001</v>
      </c>
      <c r="H50" s="793"/>
      <c r="I50" s="1890" t="s">
        <v>1537</v>
      </c>
      <c r="J50" s="1898">
        <f>SUMPRODUCT((I63:I65=J47)*(J62:L62=J48)*(J63:L65))</f>
        <v>40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18</v>
      </c>
      <c r="K51" s="1903" t="s">
        <v>1541</v>
      </c>
      <c r="L51" s="1904">
        <f ca="1">ROUND(-PV(INDIRECT("'数据-取费表'!h"&amp;$G$1),L48,(C39-C13*C76),0),0)</f>
        <v>1813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18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t="s">
        <v>3107</v>
      </c>
      <c r="I53" s="1908" t="s">
        <v>1547</v>
      </c>
      <c r="J53" s="1909">
        <f ca="1">IF(M47="住宅",IF(D1="——",MAX(J51,L48),IF(D1="在建（套用方法）",MAX(J51,L48-'数据-取费表'!B24),MAX(J51,L48-'数据-取费表'!B20))),IF(D1="——",MIN(J51,L48),IF(D1="在建（套用方法）",MIN(J51,L48-'数据-取费表'!B24),IF(D1="土地（套用方法）",MIN(J51,L48-'数据-取费表'!B20)))))</f>
        <v>18</v>
      </c>
      <c r="K53" s="3233" t="s">
        <v>1548</v>
      </c>
      <c r="L53" s="3234"/>
      <c r="O53" s="1887" t="s">
        <v>1046</v>
      </c>
      <c r="P53" s="1888" t="s">
        <v>1549</v>
      </c>
      <c r="Q53" s="1889">
        <f ca="1">Q47+Q48</f>
        <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212</v>
      </c>
      <c r="D56" s="1917"/>
      <c r="E56" s="1918"/>
      <c r="F56" s="1910"/>
      <c r="I56" s="1919" t="s">
        <v>1554</v>
      </c>
      <c r="J56" s="1920" t="s">
        <v>3125</v>
      </c>
      <c r="K56" s="1890" t="s">
        <v>1555</v>
      </c>
      <c r="L56" s="1893">
        <f ca="1">IF(L48&lt;J51,"——",L48-J53)</f>
        <v>9</v>
      </c>
      <c r="O56" s="1887" t="s">
        <v>1040</v>
      </c>
      <c r="P56" s="1888" t="s">
        <v>1528</v>
      </c>
      <c r="Q56" s="1889">
        <f ca="1">C40+J29</f>
        <v>0</v>
      </c>
      <c r="R56" s="1889" t="s">
        <v>1529</v>
      </c>
    </row>
    <row r="57" spans="1:18" s="1845" customFormat="1" ht="24.75" thickBot="1">
      <c r="A57" s="1921"/>
      <c r="B57" s="1172" t="s">
        <v>1478</v>
      </c>
      <c r="C57" s="282">
        <f ca="1">C29</f>
        <v>354</v>
      </c>
      <c r="D57" s="1922"/>
      <c r="E57" s="1923"/>
      <c r="F57" s="1924"/>
      <c r="I57" s="1925" t="s">
        <v>1556</v>
      </c>
      <c r="J57" s="1926" t="str">
        <f ca="1">IF(OR(M47="住宅",J51&lt;L48,J56="是"),"——",J51-L48)</f>
        <v>——</v>
      </c>
      <c r="K57" s="1890" t="s">
        <v>1557</v>
      </c>
      <c r="L57" s="1893">
        <f ca="1">IF(L48&lt;J51,"——",IF(L55="比较法",L49,IF(L55="基准地价",L50,L51)))</f>
        <v>1813</v>
      </c>
      <c r="O57" s="1887" t="s">
        <v>1041</v>
      </c>
      <c r="P57" s="1888" t="s">
        <v>1558</v>
      </c>
      <c r="Q57" s="1889" t="e">
        <f ca="1">L60</f>
        <v>#DIV/0!</v>
      </c>
      <c r="R57" s="1889" t="s">
        <v>1559</v>
      </c>
    </row>
    <row r="58" spans="1:18" s="1845" customFormat="1" ht="24.75" thickBot="1">
      <c r="A58" s="360" t="s">
        <v>1030</v>
      </c>
      <c r="B58" s="1180" t="s">
        <v>1424</v>
      </c>
      <c r="C58" s="361">
        <f ca="1">ROUND(C59+C64+C65+C66,0)</f>
        <v>12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2.97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1307.9000000000001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8.9</v>
      </c>
      <c r="D64" s="1186" t="s">
        <v>1502</v>
      </c>
      <c r="E64" s="1172" t="s">
        <v>1494</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0</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t="e">
        <f ca="1">L60</f>
        <v>#DIV/0!</v>
      </c>
      <c r="R66" s="1889" t="s">
        <v>1581</v>
      </c>
    </row>
    <row r="67" spans="1:18" s="1845" customFormat="1" ht="16.5" thickBot="1">
      <c r="A67" s="1179" t="s">
        <v>1031</v>
      </c>
      <c r="B67" s="1189" t="s">
        <v>1463</v>
      </c>
      <c r="C67" s="361">
        <f ca="1">C48-C58</f>
        <v>-12</v>
      </c>
      <c r="D67" s="1185" t="s">
        <v>1464</v>
      </c>
      <c r="E67" s="1190"/>
      <c r="F67" s="1191"/>
      <c r="O67" s="1897" t="s">
        <v>1042</v>
      </c>
      <c r="P67" s="1888" t="s">
        <v>1562</v>
      </c>
      <c r="Q67" s="1936">
        <f ca="1">L51</f>
        <v>1813</v>
      </c>
      <c r="R67" s="1889" t="s">
        <v>1582</v>
      </c>
    </row>
    <row r="68" spans="1:18" s="1845" customFormat="1" ht="16.5" thickBot="1">
      <c r="A68" s="1169" t="s">
        <v>1032</v>
      </c>
      <c r="B68" s="1170" t="s">
        <v>1485</v>
      </c>
      <c r="C68" s="346">
        <f ca="1">ROUND(C67*(1-((1+F70)/(1+F68))^F69)/(F68-F70),0)</f>
        <v>-258</v>
      </c>
      <c r="D68" s="1187" t="s">
        <v>1469</v>
      </c>
      <c r="E68" s="1172" t="s">
        <v>1470</v>
      </c>
      <c r="F68" s="357">
        <f ca="1">F40</f>
        <v>0.04</v>
      </c>
      <c r="O68" s="1897" t="s">
        <v>1043</v>
      </c>
      <c r="P68" s="1937" t="s">
        <v>1583</v>
      </c>
      <c r="Q68" s="1889">
        <f ca="1">ROUND(Q69-Q70*Q71,0)</f>
        <v>111</v>
      </c>
      <c r="R68" s="1889" t="s">
        <v>1051</v>
      </c>
    </row>
    <row r="69" spans="1:18" s="1845" customFormat="1" ht="13.5" thickBot="1">
      <c r="A69" s="1173"/>
      <c r="B69" s="1174"/>
      <c r="C69" s="351"/>
      <c r="D69" s="1192" t="s">
        <v>1473</v>
      </c>
      <c r="E69" s="1172" t="s">
        <v>1474</v>
      </c>
      <c r="F69" s="379">
        <f ca="1">F41</f>
        <v>50</v>
      </c>
      <c r="O69" s="1897" t="s">
        <v>1048</v>
      </c>
      <c r="P69" s="1937" t="s">
        <v>1584</v>
      </c>
      <c r="Q69" s="1889">
        <f ca="1">C39</f>
        <v>128</v>
      </c>
      <c r="R69" s="1889" t="s">
        <v>1529</v>
      </c>
    </row>
    <row r="70" spans="1:18" s="1845" customFormat="1" ht="13.5" thickBot="1">
      <c r="A70" s="1176"/>
      <c r="B70" s="1177"/>
      <c r="C70" s="355"/>
      <c r="D70" s="1188"/>
      <c r="E70" s="1172" t="s">
        <v>1477</v>
      </c>
      <c r="F70" s="1278"/>
      <c r="O70" s="1897" t="s">
        <v>1049</v>
      </c>
      <c r="P70" s="1937" t="s">
        <v>1585</v>
      </c>
      <c r="Q70" s="1889">
        <f ca="1">C13</f>
        <v>212</v>
      </c>
      <c r="R70" s="1889" t="s">
        <v>1529</v>
      </c>
    </row>
    <row r="71" spans="1:18" s="1845" customFormat="1" ht="13.5" thickBot="1">
      <c r="A71" s="1193" t="s">
        <v>1033</v>
      </c>
      <c r="B71" s="1194" t="s">
        <v>1487</v>
      </c>
      <c r="C71" s="382">
        <f ca="1">ROUND(C68*10000/F71,0)</f>
        <v>-1973</v>
      </c>
      <c r="D71" s="1195" t="s">
        <v>1488</v>
      </c>
      <c r="E71" s="1196" t="s">
        <v>1489</v>
      </c>
      <c r="F71" s="385">
        <f ca="1">F43</f>
        <v>1307.9000000000001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17</v>
      </c>
      <c r="D75" s="1845"/>
      <c r="E75" s="1845"/>
      <c r="F75" s="1845"/>
      <c r="K75" s="1871"/>
      <c r="L75" s="1845"/>
      <c r="O75" s="1887" t="s">
        <v>1046</v>
      </c>
      <c r="P75" s="1888" t="s">
        <v>1549</v>
      </c>
      <c r="Q75" s="1889" t="e">
        <f ca="1">Q65+Q66</f>
        <v>#DIV/0!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0.86699999999999999</v>
      </c>
    </row>
    <row r="80" spans="1:18">
      <c r="B80" s="386" t="s">
        <v>1511</v>
      </c>
      <c r="C80" s="318">
        <f ca="1">ROUND(C75/C39,3)</f>
        <v>0.13300000000000001</v>
      </c>
    </row>
    <row r="81" spans="2:3">
      <c r="B81" s="314" t="s">
        <v>1512</v>
      </c>
      <c r="C81" s="282"/>
    </row>
    <row r="82" spans="2:3">
      <c r="B82" s="317" t="s">
        <v>1513</v>
      </c>
      <c r="C82" s="319">
        <f ca="1">1-C83</f>
        <v>0.92300000000000004</v>
      </c>
    </row>
    <row r="83" spans="2:3">
      <c r="B83" s="317" t="s">
        <v>1514</v>
      </c>
      <c r="C83" s="318">
        <f ca="1">ROUND(C13/C40,3)</f>
        <v>7.6999999999999999E-2</v>
      </c>
    </row>
  </sheetData>
  <sheetProtection formatCells="0" formatColumns="0" formatRows="0"/>
  <mergeCells count="3">
    <mergeCell ref="K53:L53"/>
    <mergeCell ref="B6:B9"/>
    <mergeCell ref="I6:I9"/>
  </mergeCells>
  <phoneticPr fontId="3" type="noConversion"/>
  <conditionalFormatting sqref="K55 K60">
    <cfRule type="expression" dxfId="92" priority="56">
      <formula>$L$48&gt;$J$51</formula>
    </cfRule>
  </conditionalFormatting>
  <conditionalFormatting sqref="I55 I60">
    <cfRule type="expression" dxfId="91" priority="57">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2647</v>
      </c>
      <c r="C1" s="1637" t="s">
        <v>2535</v>
      </c>
      <c r="D1" s="1624"/>
      <c r="E1" s="2663"/>
      <c r="F1" s="2590"/>
      <c r="G1" s="1634" t="s">
        <v>2648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2332</v>
      </c>
      <c r="B2" s="1421" t="e">
        <f ca="1">IF(C2="——",ROUND(C49*D3/10000,0),ROUND(C49*D3/10000,0)-D2)</f>
        <v>#DIV/0!</v>
      </c>
      <c r="C2" s="2592"/>
      <c r="D2" s="1368" t="e">
        <f ca="1">SUMIF(INDIRECT("'"&amp;F2&amp;"'"&amp;"!A:A"),"承租人权益价值",INDIRECT("'"&amp;F2&amp;"'"&amp;"!c:c"))</f>
        <v>#REF!</v>
      </c>
      <c r="E2" s="2593" t="s">
        <v>2333</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2334</v>
      </c>
      <c r="B3" s="609" t="e">
        <f ca="1">IF(C2="——",C49,ROUND(B2*10000/D3,0))</f>
        <v>#DIV/0!</v>
      </c>
      <c r="C3" s="400" t="s">
        <v>2649</v>
      </c>
      <c r="D3" s="399">
        <f>IF(D1="",'数据-汇总表'!E3,SUMIF('数据-汇总表'!$C19:$C33,D1,'数据-汇总表'!$E19:$E33))</f>
        <v>1307.9000000000001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2650</v>
      </c>
      <c r="B4" s="402"/>
      <c r="C4" s="3172" t="s">
        <v>2651</v>
      </c>
      <c r="D4" s="3173"/>
      <c r="E4" s="3174" t="s">
        <v>2652</v>
      </c>
      <c r="F4" s="3175"/>
      <c r="G4" s="3172" t="s">
        <v>2653</v>
      </c>
      <c r="H4" s="3173"/>
      <c r="I4" s="3172" t="s">
        <v>2654</v>
      </c>
      <c r="J4" s="3173"/>
      <c r="K4" s="610" t="s">
        <v>2655</v>
      </c>
      <c r="L4" s="1133"/>
      <c r="M4" s="1134"/>
      <c r="N4" s="1134"/>
      <c r="O4" s="1134"/>
      <c r="P4" s="3176" t="s">
        <v>2656</v>
      </c>
      <c r="Q4" s="3177"/>
      <c r="R4" s="3182" t="s">
        <v>2652</v>
      </c>
      <c r="S4" s="3183"/>
      <c r="T4" s="3182" t="s">
        <v>2653</v>
      </c>
      <c r="U4" s="3183"/>
      <c r="V4" s="3188" t="s">
        <v>2654</v>
      </c>
      <c r="W4" s="3188"/>
      <c r="X4" s="1816"/>
      <c r="Y4" s="3182" t="s">
        <v>2656</v>
      </c>
      <c r="Z4" s="3183"/>
      <c r="AA4" s="3169" t="s">
        <v>2652</v>
      </c>
      <c r="AB4" s="3188" t="s">
        <v>2653</v>
      </c>
      <c r="AC4" s="3169" t="s">
        <v>2654</v>
      </c>
    </row>
    <row r="5" spans="1:29" ht="15">
      <c r="A5" s="404"/>
      <c r="B5" s="405"/>
      <c r="C5" s="3206" t="s">
        <v>2547</v>
      </c>
      <c r="D5" s="3192"/>
      <c r="E5" s="3257" t="s">
        <v>2548</v>
      </c>
      <c r="F5" s="3199"/>
      <c r="G5" s="3206" t="s">
        <v>2549</v>
      </c>
      <c r="H5" s="3192"/>
      <c r="I5" s="3206" t="s">
        <v>2550</v>
      </c>
      <c r="J5" s="3192"/>
      <c r="K5" s="610"/>
      <c r="L5" s="1133"/>
      <c r="M5" s="1134"/>
      <c r="N5" s="1134"/>
      <c r="O5" s="1134"/>
      <c r="P5" s="3178"/>
      <c r="Q5" s="3179"/>
      <c r="R5" s="3184"/>
      <c r="S5" s="3185"/>
      <c r="T5" s="3184"/>
      <c r="U5" s="3185"/>
      <c r="V5" s="3188"/>
      <c r="W5" s="3188"/>
      <c r="X5" s="1816"/>
      <c r="Y5" s="3184"/>
      <c r="Z5" s="3185"/>
      <c r="AA5" s="3170"/>
      <c r="AB5" s="3188"/>
      <c r="AC5" s="3170"/>
    </row>
    <row r="6" spans="1:29" ht="15.75" thickBot="1">
      <c r="A6" s="406"/>
      <c r="B6" s="407"/>
      <c r="C6" s="3189" t="s">
        <v>2551</v>
      </c>
      <c r="D6" s="3190"/>
      <c r="E6" s="3196" t="s">
        <v>2551</v>
      </c>
      <c r="F6" s="3197"/>
      <c r="G6" s="3189" t="s">
        <v>2551</v>
      </c>
      <c r="H6" s="3190"/>
      <c r="I6" s="3189" t="s">
        <v>2551</v>
      </c>
      <c r="J6" s="3190"/>
      <c r="K6" s="610" t="s">
        <v>2552</v>
      </c>
      <c r="L6" s="1133"/>
      <c r="M6" s="1134"/>
      <c r="N6" s="1134"/>
      <c r="O6" s="1134"/>
      <c r="P6" s="3180"/>
      <c r="Q6" s="3181"/>
      <c r="R6" s="3184"/>
      <c r="S6" s="3185"/>
      <c r="T6" s="3186"/>
      <c r="U6" s="3187"/>
      <c r="V6" s="3188"/>
      <c r="W6" s="3188"/>
      <c r="X6" s="1816"/>
      <c r="Y6" s="3186"/>
      <c r="Z6" s="3187"/>
      <c r="AA6" s="3171"/>
      <c r="AB6" s="3188"/>
      <c r="AC6" s="3171"/>
    </row>
    <row r="7" spans="1:29" s="117" customFormat="1" ht="15.75" thickBot="1">
      <c r="A7" s="408" t="s">
        <v>2553</v>
      </c>
      <c r="B7" s="409"/>
      <c r="C7" s="410">
        <f>'数据-取费表'!B2</f>
        <v>43220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2554</v>
      </c>
      <c r="Q7" s="3195"/>
      <c r="R7" s="770" t="s">
        <v>17</v>
      </c>
      <c r="S7" s="771">
        <f t="shared" ref="S7:S15" si="0">F7</f>
        <v>0</v>
      </c>
      <c r="T7" s="770" t="s">
        <v>17</v>
      </c>
      <c r="U7" s="771">
        <f t="shared" ref="U7:U15" si="1">H7</f>
        <v>0</v>
      </c>
      <c r="V7" s="770" t="s">
        <v>17</v>
      </c>
      <c r="W7" s="771">
        <f t="shared" ref="W7:W15" si="2">J7</f>
        <v>0</v>
      </c>
      <c r="X7" s="772"/>
      <c r="Y7" s="3193" t="s">
        <v>2554</v>
      </c>
      <c r="Z7" s="3194"/>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2557</v>
      </c>
      <c r="Q8" s="3194"/>
      <c r="R8" s="770" t="s">
        <v>17</v>
      </c>
      <c r="S8" s="771">
        <f t="shared" si="0"/>
        <v>0</v>
      </c>
      <c r="T8" s="770" t="s">
        <v>17</v>
      </c>
      <c r="U8" s="771">
        <f t="shared" si="1"/>
        <v>0</v>
      </c>
      <c r="V8" s="770" t="s">
        <v>17</v>
      </c>
      <c r="W8" s="771">
        <f t="shared" si="2"/>
        <v>0</v>
      </c>
      <c r="X8" s="772"/>
      <c r="Y8" s="3193" t="s">
        <v>2557</v>
      </c>
      <c r="Z8" s="3194"/>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2564</v>
      </c>
      <c r="B15" s="69" t="s">
        <v>2658</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2565</v>
      </c>
      <c r="Q15" s="1813" t="str">
        <f t="shared" si="6"/>
        <v>商业繁华度</v>
      </c>
      <c r="R15" s="774" t="s">
        <v>17</v>
      </c>
      <c r="S15" s="775">
        <f t="shared" si="0"/>
        <v>100</v>
      </c>
      <c r="T15" s="774" t="s">
        <v>17</v>
      </c>
      <c r="U15" s="775">
        <f t="shared" si="1"/>
        <v>100</v>
      </c>
      <c r="V15" s="774" t="s">
        <v>17</v>
      </c>
      <c r="W15" s="775">
        <f t="shared" si="2"/>
        <v>100</v>
      </c>
      <c r="X15" s="1816"/>
      <c r="Y15" s="3164"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4"/>
      <c r="Q16" s="1813"/>
      <c r="R16" s="774"/>
      <c r="S16" s="775"/>
      <c r="T16" s="774"/>
      <c r="U16" s="775"/>
      <c r="V16" s="774"/>
      <c r="W16" s="775"/>
      <c r="X16" s="1816"/>
      <c r="Y16" s="3165"/>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04"/>
      <c r="Q18" s="1813"/>
      <c r="R18" s="774"/>
      <c r="S18" s="775"/>
      <c r="T18" s="774"/>
      <c r="U18" s="775"/>
      <c r="V18" s="774"/>
      <c r="W18" s="775"/>
      <c r="X18" s="1816"/>
      <c r="Y18" s="3165"/>
      <c r="Z18" s="1817"/>
      <c r="AA18" s="1814">
        <v>1</v>
      </c>
      <c r="AB18" s="1814">
        <v>1</v>
      </c>
      <c r="AC18" s="1814">
        <v>1</v>
      </c>
    </row>
    <row r="19" spans="1:29" ht="42.75">
      <c r="A19" s="428"/>
      <c r="B19" s="451" t="s">
        <v>2659</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04"/>
      <c r="Q20" s="1813"/>
      <c r="R20" s="774"/>
      <c r="S20" s="775"/>
      <c r="T20" s="774"/>
      <c r="U20" s="775"/>
      <c r="V20" s="774"/>
      <c r="W20" s="775"/>
      <c r="X20" s="1816"/>
      <c r="Y20" s="3165"/>
      <c r="Z20" s="1817"/>
      <c r="AA20" s="1814">
        <v>1</v>
      </c>
      <c r="AB20" s="1814">
        <v>1</v>
      </c>
      <c r="AC20" s="1814">
        <v>1</v>
      </c>
    </row>
    <row r="21" spans="1:29" ht="28.5">
      <c r="A21" s="428"/>
      <c r="B21" s="1387" t="s">
        <v>2660</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04"/>
      <c r="Q22" s="1813"/>
      <c r="R22" s="774"/>
      <c r="S22" s="775"/>
      <c r="T22" s="774"/>
      <c r="U22" s="775"/>
      <c r="V22" s="774"/>
      <c r="W22" s="775"/>
      <c r="X22" s="1816"/>
      <c r="Y22" s="3165"/>
      <c r="Z22" s="1817"/>
      <c r="AA22" s="1814">
        <v>1</v>
      </c>
      <c r="AB22" s="1814">
        <v>1</v>
      </c>
      <c r="AC22" s="1814">
        <v>1</v>
      </c>
    </row>
    <row r="23" spans="1:29" ht="57">
      <c r="A23" s="428"/>
      <c r="B23" s="451" t="s">
        <v>2105</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3" t="str">
        <f>B23</f>
        <v>自然及人文环境</v>
      </c>
      <c r="R23" s="774" t="s">
        <v>17</v>
      </c>
      <c r="S23" s="775">
        <f>F23</f>
        <v>100</v>
      </c>
      <c r="T23" s="774" t="s">
        <v>17</v>
      </c>
      <c r="U23" s="775">
        <f>H23</f>
        <v>100</v>
      </c>
      <c r="V23" s="774" t="s">
        <v>17</v>
      </c>
      <c r="W23" s="775">
        <f>J23</f>
        <v>100</v>
      </c>
      <c r="X23" s="1816"/>
      <c r="Y23" s="3165"/>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04"/>
      <c r="Q24" s="1813"/>
      <c r="R24" s="774"/>
      <c r="S24" s="775"/>
      <c r="T24" s="774"/>
      <c r="U24" s="775"/>
      <c r="V24" s="774"/>
      <c r="W24" s="775"/>
      <c r="X24" s="1816"/>
      <c r="Y24" s="3165"/>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3" t="str">
        <f t="shared" ref="Q25:Q46" si="11">B25</f>
        <v>临街状况</v>
      </c>
      <c r="R25" s="774" t="s">
        <v>17</v>
      </c>
      <c r="S25" s="775">
        <f>F25</f>
        <v>100</v>
      </c>
      <c r="T25" s="774" t="s">
        <v>17</v>
      </c>
      <c r="U25" s="775">
        <f>H25</f>
        <v>100</v>
      </c>
      <c r="V25" s="774" t="s">
        <v>17</v>
      </c>
      <c r="W25" s="775">
        <f>J25</f>
        <v>100</v>
      </c>
      <c r="X25" s="1816"/>
      <c r="Y25" s="3165"/>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3" t="str">
        <f t="shared" si="11"/>
        <v>平面位置/可视性</v>
      </c>
      <c r="R26" s="774" t="s">
        <v>17</v>
      </c>
      <c r="S26" s="775">
        <f>F26</f>
        <v>100</v>
      </c>
      <c r="T26" s="774" t="s">
        <v>17</v>
      </c>
      <c r="U26" s="775">
        <f>H26</f>
        <v>100</v>
      </c>
      <c r="V26" s="774" t="s">
        <v>17</v>
      </c>
      <c r="W26" s="775">
        <f>J26</f>
        <v>100</v>
      </c>
      <c r="X26" s="1816"/>
      <c r="Y26" s="3165"/>
      <c r="Z26" s="1817" t="str">
        <f>Q26</f>
        <v>平面位置/可视性</v>
      </c>
      <c r="AA26" s="1814">
        <f t="shared" si="3"/>
        <v>1</v>
      </c>
      <c r="AB26" s="1814">
        <f t="shared" si="4"/>
        <v>1</v>
      </c>
      <c r="AC26" s="1814">
        <f t="shared" si="5"/>
        <v>1</v>
      </c>
    </row>
    <row r="27" spans="1:29" s="117" customFormat="1" ht="15">
      <c r="A27" s="431"/>
      <c r="B27" s="451" t="s">
        <v>2663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04"/>
      <c r="Q27" s="1798" t="str">
        <f t="shared" si="11"/>
        <v>人流量</v>
      </c>
      <c r="R27" s="770" t="s">
        <v>17</v>
      </c>
      <c r="S27" s="771">
        <f>F27</f>
        <v>100</v>
      </c>
      <c r="T27" s="770" t="s">
        <v>17</v>
      </c>
      <c r="U27" s="771">
        <f>H27</f>
        <v>100</v>
      </c>
      <c r="V27" s="770" t="s">
        <v>17</v>
      </c>
      <c r="W27" s="771">
        <f>J27</f>
        <v>100</v>
      </c>
      <c r="X27" s="772"/>
      <c r="Y27" s="3165"/>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3">
        <f t="shared" si="11"/>
        <v>111</v>
      </c>
      <c r="R29" s="774" t="s">
        <v>17</v>
      </c>
      <c r="S29" s="775">
        <f t="shared" si="12"/>
        <v>100</v>
      </c>
      <c r="T29" s="774" t="s">
        <v>17</v>
      </c>
      <c r="U29" s="775">
        <f t="shared" si="13"/>
        <v>100</v>
      </c>
      <c r="V29" s="774" t="s">
        <v>17</v>
      </c>
      <c r="W29" s="775">
        <f t="shared" si="14"/>
        <v>100</v>
      </c>
      <c r="X29" s="1816"/>
      <c r="Y29" s="316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1814">
        <f t="shared" si="5"/>
        <v>1</v>
      </c>
    </row>
    <row r="32" spans="1:29" ht="15">
      <c r="A32" s="440" t="s">
        <v>2568</v>
      </c>
      <c r="B32" s="71" t="s">
        <v>2665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00" t="s">
        <v>2570</v>
      </c>
      <c r="Q32" s="1813" t="str">
        <f t="shared" si="11"/>
        <v>商业类型</v>
      </c>
      <c r="R32" s="774" t="s">
        <v>17</v>
      </c>
      <c r="S32" s="775">
        <f t="shared" si="12"/>
        <v>100</v>
      </c>
      <c r="T32" s="774" t="s">
        <v>17</v>
      </c>
      <c r="U32" s="775">
        <f t="shared" si="13"/>
        <v>100</v>
      </c>
      <c r="V32" s="774" t="s">
        <v>17</v>
      </c>
      <c r="W32" s="775">
        <f t="shared" si="14"/>
        <v>100</v>
      </c>
      <c r="X32" s="1816"/>
      <c r="Y32" s="3167"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1"/>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4" t="e">
        <f t="shared" si="3"/>
        <v>#N/A</v>
      </c>
      <c r="AB33" s="1814" t="e">
        <f t="shared" si="4"/>
        <v>#N/A</v>
      </c>
      <c r="AC33" s="1814" t="e">
        <f t="shared" si="5"/>
        <v>#N/A</v>
      </c>
    </row>
    <row r="34" spans="1:29" ht="15">
      <c r="A34" s="472"/>
      <c r="B34" s="422" t="s">
        <v>2572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01"/>
      <c r="Q34" s="1813" t="str">
        <f t="shared" si="11"/>
        <v>建筑结构</v>
      </c>
      <c r="R34" s="774" t="s">
        <v>17</v>
      </c>
      <c r="S34" s="775">
        <f t="shared" si="12"/>
        <v>100</v>
      </c>
      <c r="T34" s="774" t="s">
        <v>17</v>
      </c>
      <c r="U34" s="775">
        <f t="shared" si="13"/>
        <v>100</v>
      </c>
      <c r="V34" s="774" t="s">
        <v>17</v>
      </c>
      <c r="W34" s="775">
        <f t="shared" si="14"/>
        <v>100</v>
      </c>
      <c r="X34" s="1816"/>
      <c r="Y34" s="3167"/>
      <c r="Z34" s="1817" t="str">
        <f t="shared" si="15"/>
        <v>建筑结构</v>
      </c>
      <c r="AA34" s="1814">
        <f t="shared" si="3"/>
        <v>1</v>
      </c>
      <c r="AB34" s="1814">
        <f t="shared" si="4"/>
        <v>1</v>
      </c>
      <c r="AC34" s="1814">
        <f t="shared" si="5"/>
        <v>1</v>
      </c>
    </row>
    <row r="35" spans="1:29" ht="15">
      <c r="A35" s="472"/>
      <c r="B35" s="422" t="s">
        <v>2666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01"/>
      <c r="Q35" s="1813" t="str">
        <f t="shared" si="11"/>
        <v>公共部分装修</v>
      </c>
      <c r="R35" s="774" t="s">
        <v>17</v>
      </c>
      <c r="S35" s="775">
        <f t="shared" si="12"/>
        <v>100</v>
      </c>
      <c r="T35" s="774" t="s">
        <v>17</v>
      </c>
      <c r="U35" s="775">
        <f t="shared" si="13"/>
        <v>100</v>
      </c>
      <c r="V35" s="774" t="s">
        <v>17</v>
      </c>
      <c r="W35" s="775">
        <f t="shared" si="14"/>
        <v>100</v>
      </c>
      <c r="X35" s="1816"/>
      <c r="Y35" s="3167"/>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1"/>
      <c r="Q36" s="1813" t="str">
        <f t="shared" si="11"/>
        <v>成新度</v>
      </c>
      <c r="R36" s="774" t="s">
        <v>17</v>
      </c>
      <c r="S36" s="775" t="e">
        <f t="shared" si="12"/>
        <v>#N/A</v>
      </c>
      <c r="T36" s="774" t="s">
        <v>17</v>
      </c>
      <c r="U36" s="775" t="e">
        <f t="shared" si="13"/>
        <v>#N/A</v>
      </c>
      <c r="V36" s="774" t="s">
        <v>17</v>
      </c>
      <c r="W36" s="775" t="e">
        <f t="shared" si="14"/>
        <v>#N/A</v>
      </c>
      <c r="X36" s="1816"/>
      <c r="Y36" s="3167"/>
      <c r="Z36" s="1817" t="str">
        <f t="shared" si="15"/>
        <v>成新度</v>
      </c>
      <c r="AA36" s="1814" t="e">
        <f t="shared" si="3"/>
        <v>#N/A</v>
      </c>
      <c r="AB36" s="1814" t="e">
        <f t="shared" si="4"/>
        <v>#N/A</v>
      </c>
      <c r="AC36" s="1814" t="e">
        <f t="shared" si="5"/>
        <v>#N/A</v>
      </c>
    </row>
    <row r="37" spans="1:29" s="117" customFormat="1" ht="15">
      <c r="A37" s="473"/>
      <c r="B37" s="422" t="s">
        <v>2668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01"/>
      <c r="Q37" s="1798"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2669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01" t="s">
        <v>2570</v>
      </c>
      <c r="Q38" s="1813" t="str">
        <f t="shared" si="11"/>
        <v>业态</v>
      </c>
      <c r="R38" s="774" t="s">
        <v>17</v>
      </c>
      <c r="S38" s="775">
        <f t="shared" si="12"/>
        <v>100</v>
      </c>
      <c r="T38" s="774" t="s">
        <v>17</v>
      </c>
      <c r="U38" s="775">
        <f t="shared" si="13"/>
        <v>100</v>
      </c>
      <c r="V38" s="774" t="s">
        <v>17</v>
      </c>
      <c r="W38" s="775">
        <f t="shared" si="14"/>
        <v>100</v>
      </c>
      <c r="X38" s="1816"/>
      <c r="Y38" s="3167" t="s">
        <v>2570</v>
      </c>
      <c r="Z38" s="1817" t="str">
        <f t="shared" si="15"/>
        <v>业态</v>
      </c>
      <c r="AA38" s="1814">
        <f t="shared" si="3"/>
        <v>1</v>
      </c>
      <c r="AB38" s="1814">
        <f t="shared" si="4"/>
        <v>1</v>
      </c>
      <c r="AC38" s="1814">
        <f t="shared" si="5"/>
        <v>1</v>
      </c>
    </row>
    <row r="39" spans="1:29" ht="15">
      <c r="A39" s="472"/>
      <c r="B39" s="422" t="s">
        <v>2670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01"/>
      <c r="Q39" s="1813" t="str">
        <f t="shared" si="11"/>
        <v>层高</v>
      </c>
      <c r="R39" s="774" t="s">
        <v>17</v>
      </c>
      <c r="S39" s="775">
        <f t="shared" si="12"/>
        <v>100</v>
      </c>
      <c r="T39" s="774" t="s">
        <v>17</v>
      </c>
      <c r="U39" s="775">
        <f t="shared" si="13"/>
        <v>100</v>
      </c>
      <c r="V39" s="774" t="s">
        <v>17</v>
      </c>
      <c r="W39" s="775">
        <f t="shared" si="14"/>
        <v>100</v>
      </c>
      <c r="X39" s="1816"/>
      <c r="Y39" s="3167"/>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1"/>
      <c r="Q40" s="1813" t="str">
        <f t="shared" si="11"/>
        <v>单套建筑面积</v>
      </c>
      <c r="R40" s="774" t="s">
        <v>17</v>
      </c>
      <c r="S40" s="775">
        <f t="shared" si="12"/>
        <v>100</v>
      </c>
      <c r="T40" s="774" t="s">
        <v>17</v>
      </c>
      <c r="U40" s="775">
        <f t="shared" si="13"/>
        <v>100</v>
      </c>
      <c r="V40" s="774" t="s">
        <v>17</v>
      </c>
      <c r="W40" s="775">
        <f t="shared" si="14"/>
        <v>100</v>
      </c>
      <c r="X40" s="1816"/>
      <c r="Y40" s="3167"/>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1"/>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4">
        <f t="shared" si="3"/>
        <v>1</v>
      </c>
      <c r="AB41" s="1814">
        <f t="shared" si="4"/>
        <v>1</v>
      </c>
      <c r="AC41" s="1814">
        <f t="shared" si="5"/>
        <v>1</v>
      </c>
    </row>
    <row r="42" spans="1:29" ht="15">
      <c r="A42" s="472"/>
      <c r="B42" s="422" t="s">
        <v>2673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01"/>
      <c r="Q42" s="1813" t="str">
        <f t="shared" si="11"/>
        <v>内部装修</v>
      </c>
      <c r="R42" s="774" t="s">
        <v>17</v>
      </c>
      <c r="S42" s="775">
        <f t="shared" si="12"/>
        <v>100</v>
      </c>
      <c r="T42" s="774" t="s">
        <v>17</v>
      </c>
      <c r="U42" s="775">
        <f t="shared" si="13"/>
        <v>100</v>
      </c>
      <c r="V42" s="774" t="s">
        <v>17</v>
      </c>
      <c r="W42" s="775">
        <f t="shared" si="14"/>
        <v>100</v>
      </c>
      <c r="X42" s="1816"/>
      <c r="Y42" s="3167"/>
      <c r="Z42" s="1817" t="str">
        <f t="shared" si="15"/>
        <v>内部装修</v>
      </c>
      <c r="AA42" s="1814">
        <f t="shared" si="3"/>
        <v>1</v>
      </c>
      <c r="AB42" s="1814">
        <f t="shared" si="4"/>
        <v>1</v>
      </c>
      <c r="AC42" s="1814">
        <f t="shared" si="5"/>
        <v>1</v>
      </c>
    </row>
    <row r="43" spans="1:29" ht="15">
      <c r="A43" s="472"/>
      <c r="B43" s="422" t="s">
        <v>2581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01"/>
      <c r="Q43" s="1813" t="str">
        <f t="shared" si="11"/>
        <v>内部装修维护情况</v>
      </c>
      <c r="R43" s="774" t="s">
        <v>17</v>
      </c>
      <c r="S43" s="775">
        <f t="shared" si="12"/>
        <v>100</v>
      </c>
      <c r="T43" s="774" t="s">
        <v>17</v>
      </c>
      <c r="U43" s="775">
        <f t="shared" si="13"/>
        <v>100</v>
      </c>
      <c r="V43" s="774" t="s">
        <v>17</v>
      </c>
      <c r="W43" s="775">
        <f t="shared" si="14"/>
        <v>100</v>
      </c>
      <c r="X43" s="1816"/>
      <c r="Y43" s="316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1"/>
      <c r="Q44" s="1798">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1"/>
      <c r="Q45" s="1813">
        <f t="shared" si="11"/>
        <v>111</v>
      </c>
      <c r="R45" s="774" t="s">
        <v>17</v>
      </c>
      <c r="S45" s="775">
        <f t="shared" si="12"/>
        <v>100</v>
      </c>
      <c r="T45" s="774" t="s">
        <v>17</v>
      </c>
      <c r="U45" s="775">
        <f t="shared" si="13"/>
        <v>100</v>
      </c>
      <c r="V45" s="774" t="s">
        <v>17</v>
      </c>
      <c r="W45" s="775">
        <f t="shared" si="14"/>
        <v>100</v>
      </c>
      <c r="X45" s="1816"/>
      <c r="Y45" s="3167"/>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2"/>
      <c r="Q46" s="1813">
        <f t="shared" si="11"/>
        <v>111</v>
      </c>
      <c r="R46" s="774" t="s">
        <v>17</v>
      </c>
      <c r="S46" s="775">
        <f t="shared" si="12"/>
        <v>100</v>
      </c>
      <c r="T46" s="774" t="s">
        <v>17</v>
      </c>
      <c r="U46" s="775">
        <f t="shared" si="13"/>
        <v>100</v>
      </c>
      <c r="V46" s="774" t="s">
        <v>17</v>
      </c>
      <c r="W46" s="775">
        <f t="shared" si="14"/>
        <v>100</v>
      </c>
      <c r="X46" s="1816"/>
      <c r="Y46" s="3168"/>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159" t="str">
        <f>A47</f>
        <v>成交单价（元/平方米）</v>
      </c>
      <c r="Q47" s="3159"/>
      <c r="R47" s="3188">
        <f>E47</f>
        <v>0</v>
      </c>
      <c r="S47" s="3188"/>
      <c r="T47" s="3188">
        <f>G47</f>
        <v>0</v>
      </c>
      <c r="U47" s="3188"/>
      <c r="V47" s="3188">
        <f>I47</f>
        <v>0</v>
      </c>
      <c r="W47" s="3188"/>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161" t="str">
        <f>A49</f>
        <v>估价对象XX用房的比较价值（楼面单价，元/平方米）</v>
      </c>
      <c r="Q49" s="3162"/>
      <c r="R49" s="3163" t="e">
        <f>IF(F1="售价",ROUND(AVERAGE(R48:V48),0),ROUND(AVERAGE(R48:V48),1))</f>
        <v>#DIV/0!</v>
      </c>
      <c r="S49" s="3163"/>
      <c r="T49" s="3163"/>
      <c r="U49" s="3163"/>
      <c r="V49" s="3163"/>
      <c r="W49" s="31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2553</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2555</v>
      </c>
      <c r="B61" s="510"/>
      <c r="C61" s="522" t="s">
        <v>2657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2568</v>
      </c>
      <c r="B100" s="528" t="s">
        <v>2686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估价对象为北京市出让国有建设用地使用权及在建建筑物房地产，为所有。根据《国有土地使用证》[]，估价对象（分摊）出让国有建设用地使用权面积为1307.9平方米，建筑面积为1307.9平方米。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1307.9平方米，规划建筑面积为1307.9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2018年4月30日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本次估价的“房地产价值”是指在正常市场情况下，在价值时点2018年4月30日，估价对象规划用途为，土地取得方式为，假定未设立法定优先受偿款下的房地产市场价值。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本次评估采用的主估价方法为比较法和成本法。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2691</v>
      </c>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2"/>
      <c r="D2" s="1368"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1307.9000000000001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72" t="s">
        <v>2651</v>
      </c>
      <c r="D4" s="3173"/>
      <c r="E4" s="3174" t="s">
        <v>2652</v>
      </c>
      <c r="F4" s="3175"/>
      <c r="G4" s="3172" t="s">
        <v>2653</v>
      </c>
      <c r="H4" s="3173"/>
      <c r="I4" s="3172" t="s">
        <v>2654</v>
      </c>
      <c r="J4" s="3173"/>
      <c r="K4" s="610" t="s">
        <v>2655</v>
      </c>
      <c r="L4" s="1133"/>
      <c r="M4" s="1134"/>
      <c r="N4" s="1134"/>
      <c r="O4" s="1134"/>
      <c r="P4" s="3264" t="s">
        <v>2656</v>
      </c>
      <c r="Q4" s="3265"/>
      <c r="R4" s="3268" t="s">
        <v>2652</v>
      </c>
      <c r="S4" s="3269"/>
      <c r="T4" s="3268" t="s">
        <v>2653</v>
      </c>
      <c r="U4" s="3269"/>
      <c r="V4" s="3270" t="s">
        <v>2654</v>
      </c>
      <c r="W4" s="3270"/>
      <c r="X4" s="2676"/>
      <c r="Y4" s="3268" t="s">
        <v>2656</v>
      </c>
      <c r="Z4" s="3269"/>
      <c r="AA4" s="3272" t="s">
        <v>2652</v>
      </c>
      <c r="AB4" s="3272" t="s">
        <v>2653</v>
      </c>
      <c r="AC4" s="3261" t="s">
        <v>2654</v>
      </c>
    </row>
    <row r="5" spans="1:29" ht="15">
      <c r="A5" s="404"/>
      <c r="B5" s="405"/>
      <c r="C5" s="3206" t="s">
        <v>2547</v>
      </c>
      <c r="D5" s="3192"/>
      <c r="E5" s="3257" t="s">
        <v>2548</v>
      </c>
      <c r="F5" s="3199"/>
      <c r="G5" s="3206" t="s">
        <v>2549</v>
      </c>
      <c r="H5" s="3192"/>
      <c r="I5" s="3206" t="s">
        <v>2550</v>
      </c>
      <c r="J5" s="3192"/>
      <c r="K5" s="610"/>
      <c r="L5" s="1133"/>
      <c r="M5" s="1134"/>
      <c r="N5" s="1134"/>
      <c r="O5" s="1134"/>
      <c r="P5" s="3266"/>
      <c r="Q5" s="3179"/>
      <c r="R5" s="3184"/>
      <c r="S5" s="3185"/>
      <c r="T5" s="3184"/>
      <c r="U5" s="3185"/>
      <c r="V5" s="3188"/>
      <c r="W5" s="3188"/>
      <c r="X5" s="1816"/>
      <c r="Y5" s="3184"/>
      <c r="Z5" s="3185"/>
      <c r="AA5" s="3170"/>
      <c r="AB5" s="3170"/>
      <c r="AC5" s="3262"/>
    </row>
    <row r="6" spans="1:29" ht="15.75" thickBot="1">
      <c r="A6" s="406"/>
      <c r="B6" s="407"/>
      <c r="C6" s="3189" t="s">
        <v>2551</v>
      </c>
      <c r="D6" s="3190"/>
      <c r="E6" s="3196" t="s">
        <v>2551</v>
      </c>
      <c r="F6" s="3197"/>
      <c r="G6" s="3189" t="s">
        <v>2551</v>
      </c>
      <c r="H6" s="3190"/>
      <c r="I6" s="3189" t="s">
        <v>2551</v>
      </c>
      <c r="J6" s="3190"/>
      <c r="K6" s="610" t="s">
        <v>2552</v>
      </c>
      <c r="L6" s="1133"/>
      <c r="M6" s="1134"/>
      <c r="N6" s="1134"/>
      <c r="O6" s="1134"/>
      <c r="P6" s="3267"/>
      <c r="Q6" s="3181"/>
      <c r="R6" s="3184"/>
      <c r="S6" s="3185"/>
      <c r="T6" s="3186"/>
      <c r="U6" s="3187"/>
      <c r="V6" s="3188"/>
      <c r="W6" s="3188"/>
      <c r="X6" s="1816"/>
      <c r="Y6" s="3186"/>
      <c r="Z6" s="3187"/>
      <c r="AA6" s="3171"/>
      <c r="AB6" s="3171"/>
      <c r="AC6" s="3263"/>
    </row>
    <row r="7" spans="1:29" s="117" customFormat="1" ht="15.75" thickBot="1">
      <c r="A7" s="408" t="s">
        <v>2553</v>
      </c>
      <c r="B7" s="409"/>
      <c r="C7" s="410">
        <f>'数据-取费表'!B2</f>
        <v>43220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1" t="s">
        <v>2554</v>
      </c>
      <c r="Q7" s="3195"/>
      <c r="R7" s="770" t="s">
        <v>17</v>
      </c>
      <c r="S7" s="771">
        <f t="shared" ref="S7:S15" si="0">F7</f>
        <v>0</v>
      </c>
      <c r="T7" s="770" t="s">
        <v>17</v>
      </c>
      <c r="U7" s="771">
        <f t="shared" ref="U7:U15" si="1">H7</f>
        <v>0</v>
      </c>
      <c r="V7" s="770" t="s">
        <v>17</v>
      </c>
      <c r="W7" s="771">
        <f t="shared" ref="W7:W15" si="2">J7</f>
        <v>0</v>
      </c>
      <c r="X7" s="772"/>
      <c r="Y7" s="3193" t="s">
        <v>2554</v>
      </c>
      <c r="Z7" s="3194"/>
      <c r="AA7" s="773" t="e">
        <f>D7/F7</f>
        <v>#DIV/0!</v>
      </c>
      <c r="AB7" s="773" t="e">
        <f>D7/H7</f>
        <v>#DIV/0!</v>
      </c>
      <c r="AC7" s="2677"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1" t="s">
        <v>2557</v>
      </c>
      <c r="Q8" s="3194"/>
      <c r="R8" s="770" t="s">
        <v>17</v>
      </c>
      <c r="S8" s="771">
        <f t="shared" si="0"/>
        <v>0</v>
      </c>
      <c r="T8" s="770" t="s">
        <v>17</v>
      </c>
      <c r="U8" s="771">
        <f t="shared" si="1"/>
        <v>0</v>
      </c>
      <c r="V8" s="770" t="s">
        <v>17</v>
      </c>
      <c r="W8" s="771">
        <f t="shared" si="2"/>
        <v>0</v>
      </c>
      <c r="X8" s="772"/>
      <c r="Y8" s="3193" t="s">
        <v>2557</v>
      </c>
      <c r="Z8" s="3194"/>
      <c r="AA8" s="773" t="e">
        <f t="shared" ref="AA8:AA47" si="3">D8/F8</f>
        <v>#DIV/0!</v>
      </c>
      <c r="AB8" s="773" t="e">
        <f t="shared" ref="AB8:AB47" si="4">D8/H8</f>
        <v>#DIV/0!</v>
      </c>
      <c r="AC8" s="2677"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2677">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7">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7">
        <f t="shared" si="5"/>
        <v>1</v>
      </c>
    </row>
    <row r="15" spans="1:29" ht="71.25">
      <c r="A15" s="440" t="s">
        <v>2564</v>
      </c>
      <c r="B15" s="629" t="s">
        <v>2692</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3" t="s">
        <v>2565</v>
      </c>
      <c r="Q15" s="1813" t="str">
        <f t="shared" si="6"/>
        <v>办公集聚程度</v>
      </c>
      <c r="R15" s="774" t="s">
        <v>17</v>
      </c>
      <c r="S15" s="775">
        <f t="shared" si="0"/>
        <v>100</v>
      </c>
      <c r="T15" s="774" t="s">
        <v>17</v>
      </c>
      <c r="U15" s="775">
        <f t="shared" si="1"/>
        <v>100</v>
      </c>
      <c r="V15" s="774" t="s">
        <v>17</v>
      </c>
      <c r="W15" s="775">
        <f t="shared" si="2"/>
        <v>100</v>
      </c>
      <c r="X15" s="1816"/>
      <c r="Y15" s="3164" t="s">
        <v>2565</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04"/>
      <c r="Q16" s="1813"/>
      <c r="R16" s="774"/>
      <c r="S16" s="775"/>
      <c r="T16" s="774"/>
      <c r="U16" s="775"/>
      <c r="V16" s="774"/>
      <c r="W16" s="775"/>
      <c r="X16" s="1816"/>
      <c r="Y16" s="3165"/>
      <c r="Z16" s="1817"/>
      <c r="AA16" s="1814">
        <v>1</v>
      </c>
      <c r="AB16" s="1814">
        <v>1</v>
      </c>
      <c r="AC16" s="2680">
        <v>1</v>
      </c>
    </row>
    <row r="17" spans="1:29" ht="71.25">
      <c r="A17" s="428"/>
      <c r="B17" s="631" t="s">
        <v>2100</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04"/>
      <c r="Q18" s="1813"/>
      <c r="R18" s="774"/>
      <c r="S18" s="775"/>
      <c r="T18" s="774"/>
      <c r="U18" s="775"/>
      <c r="V18" s="774"/>
      <c r="W18" s="775"/>
      <c r="X18" s="1816"/>
      <c r="Y18" s="3165"/>
      <c r="Z18" s="1817"/>
      <c r="AA18" s="1814">
        <v>1</v>
      </c>
      <c r="AB18" s="1814">
        <v>1</v>
      </c>
      <c r="AC18" s="2680">
        <v>1</v>
      </c>
    </row>
    <row r="19" spans="1:29" ht="42.75">
      <c r="A19" s="428"/>
      <c r="B19" s="631" t="s">
        <v>2693</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04"/>
      <c r="Q20" s="1813"/>
      <c r="R20" s="774"/>
      <c r="S20" s="775"/>
      <c r="T20" s="774"/>
      <c r="U20" s="775"/>
      <c r="V20" s="774"/>
      <c r="W20" s="775"/>
      <c r="X20" s="1816"/>
      <c r="Y20" s="3165"/>
      <c r="Z20" s="1817"/>
      <c r="AA20" s="1814">
        <v>1</v>
      </c>
      <c r="AB20" s="1814">
        <v>1</v>
      </c>
      <c r="AC20" s="2680">
        <v>1</v>
      </c>
    </row>
    <row r="21" spans="1:29" ht="28.5">
      <c r="A21" s="428"/>
      <c r="B21" s="633" t="s">
        <v>2694</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04"/>
      <c r="Q22" s="1813"/>
      <c r="R22" s="774"/>
      <c r="S22" s="775"/>
      <c r="T22" s="774"/>
      <c r="U22" s="775"/>
      <c r="V22" s="774"/>
      <c r="W22" s="775"/>
      <c r="X22" s="1816"/>
      <c r="Y22" s="3165"/>
      <c r="Z22" s="1817"/>
      <c r="AA22" s="1814">
        <v>1</v>
      </c>
      <c r="AB22" s="1814">
        <v>1</v>
      </c>
      <c r="AC22" s="2680">
        <v>1</v>
      </c>
    </row>
    <row r="23" spans="1:29" ht="42.75">
      <c r="A23" s="428"/>
      <c r="B23" s="631" t="s">
        <v>2695</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4"/>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04"/>
      <c r="Q24" s="1813"/>
      <c r="R24" s="774"/>
      <c r="S24" s="775"/>
      <c r="T24" s="774"/>
      <c r="U24" s="775"/>
      <c r="V24" s="774"/>
      <c r="W24" s="775"/>
      <c r="X24" s="1816"/>
      <c r="Y24" s="3165"/>
      <c r="Z24" s="1817"/>
      <c r="AA24" s="1814">
        <v>1</v>
      </c>
      <c r="AB24" s="1814">
        <v>1</v>
      </c>
      <c r="AC24" s="2680">
        <v>1</v>
      </c>
    </row>
    <row r="25" spans="1:29" ht="27">
      <c r="A25" s="404"/>
      <c r="B25" s="631" t="s">
        <v>2696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04"/>
      <c r="Q25" s="1813" t="str">
        <f>B25</f>
        <v>毗邻道路的类型与等级</v>
      </c>
      <c r="R25" s="774" t="s">
        <v>17</v>
      </c>
      <c r="S25" s="775">
        <f>F25</f>
        <v>100</v>
      </c>
      <c r="T25" s="774" t="s">
        <v>17</v>
      </c>
      <c r="U25" s="775">
        <f>H25</f>
        <v>100</v>
      </c>
      <c r="V25" s="774" t="s">
        <v>17</v>
      </c>
      <c r="W25" s="775">
        <f>J25</f>
        <v>100</v>
      </c>
      <c r="X25" s="1816"/>
      <c r="Y25" s="3165"/>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04"/>
      <c r="Q26" s="1813"/>
      <c r="R26" s="774"/>
      <c r="S26" s="775"/>
      <c r="T26" s="774"/>
      <c r="U26" s="775"/>
      <c r="V26" s="774"/>
      <c r="W26" s="775"/>
      <c r="X26" s="1816"/>
      <c r="Y26" s="3165"/>
      <c r="Z26" s="1817"/>
      <c r="AA26" s="1814">
        <v>1</v>
      </c>
      <c r="AB26" s="1814">
        <v>1</v>
      </c>
      <c r="AC26" s="2680">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4"/>
      <c r="Q27" s="1813" t="str">
        <f t="shared" ref="Q27:Q47" si="11">B27</f>
        <v>楼层</v>
      </c>
      <c r="R27" s="774" t="s">
        <v>17</v>
      </c>
      <c r="S27" s="775">
        <f>F27</f>
        <v>100</v>
      </c>
      <c r="T27" s="774" t="s">
        <v>17</v>
      </c>
      <c r="U27" s="775">
        <f>H27</f>
        <v>100</v>
      </c>
      <c r="V27" s="774" t="s">
        <v>17</v>
      </c>
      <c r="W27" s="775">
        <f>J27</f>
        <v>100</v>
      </c>
      <c r="X27" s="1816"/>
      <c r="Y27" s="3165"/>
      <c r="Z27" s="1817" t="str">
        <f>Q27</f>
        <v>楼层</v>
      </c>
      <c r="AA27" s="1814">
        <f t="shared" si="3"/>
        <v>1</v>
      </c>
      <c r="AB27" s="1814">
        <f t="shared" si="4"/>
        <v>1</v>
      </c>
      <c r="AC27" s="2680">
        <f t="shared" si="5"/>
        <v>1</v>
      </c>
    </row>
    <row r="28" spans="1:29" s="117" customFormat="1" ht="15">
      <c r="A28" s="431"/>
      <c r="B28" s="631" t="s">
        <v>2697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04"/>
      <c r="Q28" s="1798" t="str">
        <f t="shared" si="11"/>
        <v>朝向</v>
      </c>
      <c r="R28" s="770" t="s">
        <v>17</v>
      </c>
      <c r="S28" s="771">
        <f>F28</f>
        <v>100</v>
      </c>
      <c r="T28" s="770" t="s">
        <v>17</v>
      </c>
      <c r="U28" s="771">
        <f>H28</f>
        <v>100</v>
      </c>
      <c r="V28" s="770" t="s">
        <v>17</v>
      </c>
      <c r="W28" s="771">
        <f>J28</f>
        <v>100</v>
      </c>
      <c r="X28" s="772"/>
      <c r="Y28" s="3165"/>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04"/>
      <c r="Q29" s="1813">
        <f t="shared" si="11"/>
        <v>111</v>
      </c>
      <c r="R29" s="774" t="s">
        <v>17</v>
      </c>
      <c r="S29" s="775">
        <f t="shared" ref="S29:S47" si="12">F29</f>
        <v>100</v>
      </c>
      <c r="T29" s="774" t="s">
        <v>17</v>
      </c>
      <c r="U29" s="775">
        <f t="shared" ref="U29:U47" si="13">H29</f>
        <v>100</v>
      </c>
      <c r="V29" s="774" t="s">
        <v>17</v>
      </c>
      <c r="W29" s="775">
        <f t="shared" ref="W29:W47" si="14">J29</f>
        <v>100</v>
      </c>
      <c r="X29" s="1816"/>
      <c r="Y29" s="3165"/>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04"/>
      <c r="Q32" s="1813">
        <f t="shared" si="11"/>
        <v>111</v>
      </c>
      <c r="R32" s="774" t="s">
        <v>17</v>
      </c>
      <c r="S32" s="775">
        <f t="shared" si="12"/>
        <v>100</v>
      </c>
      <c r="T32" s="774" t="s">
        <v>17</v>
      </c>
      <c r="U32" s="775">
        <f t="shared" si="13"/>
        <v>100</v>
      </c>
      <c r="V32" s="774" t="s">
        <v>17</v>
      </c>
      <c r="W32" s="775">
        <f t="shared" si="14"/>
        <v>100</v>
      </c>
      <c r="X32" s="1816"/>
      <c r="Y32" s="3165"/>
      <c r="Z32" s="1817">
        <f t="shared" si="15"/>
        <v>111</v>
      </c>
      <c r="AA32" s="1814">
        <f t="shared" si="3"/>
        <v>1</v>
      </c>
      <c r="AB32" s="1814">
        <f t="shared" si="4"/>
        <v>1</v>
      </c>
      <c r="AC32" s="2680">
        <f t="shared" si="5"/>
        <v>1</v>
      </c>
    </row>
    <row r="33" spans="1:29" ht="15">
      <c r="A33" s="440" t="s">
        <v>2568</v>
      </c>
      <c r="B33" s="71" t="s">
        <v>2698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00" t="s">
        <v>2570</v>
      </c>
      <c r="Q33" s="1813" t="str">
        <f t="shared" si="11"/>
        <v>建筑类型</v>
      </c>
      <c r="R33" s="774" t="s">
        <v>17</v>
      </c>
      <c r="S33" s="775">
        <f t="shared" si="12"/>
        <v>100</v>
      </c>
      <c r="T33" s="774" t="s">
        <v>17</v>
      </c>
      <c r="U33" s="775">
        <f t="shared" si="13"/>
        <v>100</v>
      </c>
      <c r="V33" s="774" t="s">
        <v>17</v>
      </c>
      <c r="W33" s="775">
        <f t="shared" si="14"/>
        <v>100</v>
      </c>
      <c r="X33" s="1816"/>
      <c r="Y33" s="3167" t="s">
        <v>2570</v>
      </c>
      <c r="Z33" s="1817" t="str">
        <f t="shared" si="15"/>
        <v>建筑类型</v>
      </c>
      <c r="AA33" s="1814">
        <f t="shared" si="3"/>
        <v>1</v>
      </c>
      <c r="AB33" s="1814">
        <f t="shared" si="4"/>
        <v>1</v>
      </c>
      <c r="AC33" s="2680">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1"/>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4" t="e">
        <f t="shared" si="3"/>
        <v>#N/A</v>
      </c>
      <c r="AB34" s="1814" t="e">
        <f t="shared" si="4"/>
        <v>#N/A</v>
      </c>
      <c r="AC34" s="2680"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1"/>
      <c r="Q35" s="1813" t="str">
        <f t="shared" si="11"/>
        <v>建筑结构</v>
      </c>
      <c r="R35" s="774" t="s">
        <v>17</v>
      </c>
      <c r="S35" s="775">
        <f t="shared" si="12"/>
        <v>100</v>
      </c>
      <c r="T35" s="774" t="s">
        <v>17</v>
      </c>
      <c r="U35" s="775">
        <f t="shared" si="13"/>
        <v>100</v>
      </c>
      <c r="V35" s="774" t="s">
        <v>17</v>
      </c>
      <c r="W35" s="775">
        <f t="shared" si="14"/>
        <v>100</v>
      </c>
      <c r="X35" s="1816"/>
      <c r="Y35" s="3167"/>
      <c r="Z35" s="1817" t="str">
        <f t="shared" si="15"/>
        <v>建筑结构</v>
      </c>
      <c r="AA35" s="1814">
        <f t="shared" si="3"/>
        <v>1</v>
      </c>
      <c r="AB35" s="1814">
        <f t="shared" si="4"/>
        <v>1</v>
      </c>
      <c r="AC35" s="2680">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1"/>
      <c r="Q36" s="1813" t="str">
        <f t="shared" si="11"/>
        <v>公共部分装修</v>
      </c>
      <c r="R36" s="774" t="s">
        <v>17</v>
      </c>
      <c r="S36" s="775">
        <f t="shared" si="12"/>
        <v>100</v>
      </c>
      <c r="T36" s="774" t="s">
        <v>17</v>
      </c>
      <c r="U36" s="775">
        <f t="shared" si="13"/>
        <v>100</v>
      </c>
      <c r="V36" s="774" t="s">
        <v>17</v>
      </c>
      <c r="W36" s="775">
        <f t="shared" si="14"/>
        <v>100</v>
      </c>
      <c r="X36" s="1816"/>
      <c r="Y36" s="3167"/>
      <c r="Z36" s="1817" t="str">
        <f t="shared" si="15"/>
        <v>公共部分装修</v>
      </c>
      <c r="AA36" s="1814">
        <f t="shared" si="3"/>
        <v>1</v>
      </c>
      <c r="AB36" s="1814">
        <f t="shared" si="4"/>
        <v>1</v>
      </c>
      <c r="AC36" s="2680">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1"/>
      <c r="Q37" s="1813" t="str">
        <f t="shared" si="11"/>
        <v>成新度</v>
      </c>
      <c r="R37" s="774" t="s">
        <v>17</v>
      </c>
      <c r="S37" s="775" t="e">
        <f t="shared" si="12"/>
        <v>#N/A</v>
      </c>
      <c r="T37" s="774" t="s">
        <v>17</v>
      </c>
      <c r="U37" s="775" t="e">
        <f t="shared" si="13"/>
        <v>#N/A</v>
      </c>
      <c r="V37" s="774" t="s">
        <v>17</v>
      </c>
      <c r="W37" s="775" t="e">
        <f t="shared" si="14"/>
        <v>#N/A</v>
      </c>
      <c r="X37" s="1816"/>
      <c r="Y37" s="3167"/>
      <c r="Z37" s="1817" t="str">
        <f t="shared" si="15"/>
        <v>成新度</v>
      </c>
      <c r="AA37" s="1814" t="e">
        <f t="shared" si="3"/>
        <v>#N/A</v>
      </c>
      <c r="AB37" s="1814" t="e">
        <f t="shared" si="4"/>
        <v>#N/A</v>
      </c>
      <c r="AC37" s="2680"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1"/>
      <c r="Q38" s="1798"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77">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1" t="s">
        <v>2570</v>
      </c>
      <c r="Q39" s="1813" t="str">
        <f t="shared" si="11"/>
        <v>物业管理</v>
      </c>
      <c r="R39" s="774" t="s">
        <v>17</v>
      </c>
      <c r="S39" s="775">
        <f t="shared" si="12"/>
        <v>100</v>
      </c>
      <c r="T39" s="774" t="s">
        <v>17</v>
      </c>
      <c r="U39" s="775">
        <f t="shared" si="13"/>
        <v>100</v>
      </c>
      <c r="V39" s="774" t="s">
        <v>17</v>
      </c>
      <c r="W39" s="775">
        <f t="shared" si="14"/>
        <v>100</v>
      </c>
      <c r="X39" s="1816"/>
      <c r="Y39" s="3167" t="s">
        <v>2570</v>
      </c>
      <c r="Z39" s="1817" t="str">
        <f t="shared" si="15"/>
        <v>物业管理</v>
      </c>
      <c r="AA39" s="1814">
        <f t="shared" si="3"/>
        <v>1</v>
      </c>
      <c r="AB39" s="1814">
        <f t="shared" si="4"/>
        <v>1</v>
      </c>
      <c r="AC39" s="2680">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1"/>
      <c r="Q40" s="1813" t="str">
        <f t="shared" si="11"/>
        <v>市政基础设施</v>
      </c>
      <c r="R40" s="774" t="s">
        <v>17</v>
      </c>
      <c r="S40" s="775">
        <f t="shared" si="12"/>
        <v>100</v>
      </c>
      <c r="T40" s="774" t="s">
        <v>17</v>
      </c>
      <c r="U40" s="775">
        <f t="shared" si="13"/>
        <v>100</v>
      </c>
      <c r="V40" s="774" t="s">
        <v>17</v>
      </c>
      <c r="W40" s="775">
        <f t="shared" si="14"/>
        <v>100</v>
      </c>
      <c r="X40" s="1816"/>
      <c r="Y40" s="3167"/>
      <c r="Z40" s="1817" t="str">
        <f t="shared" si="15"/>
        <v>市政基础设施</v>
      </c>
      <c r="AA40" s="1814">
        <f t="shared" si="3"/>
        <v>1</v>
      </c>
      <c r="AB40" s="1814">
        <f t="shared" si="4"/>
        <v>1</v>
      </c>
      <c r="AC40" s="2680">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1"/>
      <c r="Q41" s="1813" t="str">
        <f t="shared" si="11"/>
        <v>层高</v>
      </c>
      <c r="R41" s="774" t="s">
        <v>17</v>
      </c>
      <c r="S41" s="775">
        <f t="shared" si="12"/>
        <v>100</v>
      </c>
      <c r="T41" s="774" t="s">
        <v>17</v>
      </c>
      <c r="U41" s="775">
        <f t="shared" si="13"/>
        <v>100</v>
      </c>
      <c r="V41" s="774" t="s">
        <v>17</v>
      </c>
      <c r="W41" s="775">
        <f t="shared" si="14"/>
        <v>100</v>
      </c>
      <c r="X41" s="1816"/>
      <c r="Y41" s="3167"/>
      <c r="Z41" s="1817" t="str">
        <f t="shared" si="15"/>
        <v>层高</v>
      </c>
      <c r="AA41" s="1814">
        <f t="shared" si="3"/>
        <v>1</v>
      </c>
      <c r="AB41" s="1814">
        <f t="shared" si="4"/>
        <v>1</v>
      </c>
      <c r="AC41" s="2680">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1"/>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4">
        <f t="shared" si="3"/>
        <v>1</v>
      </c>
      <c r="AB42" s="1814">
        <f t="shared" si="4"/>
        <v>1</v>
      </c>
      <c r="AC42" s="2680">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1"/>
      <c r="Q43" s="1813" t="str">
        <f t="shared" si="11"/>
        <v>内部装修</v>
      </c>
      <c r="R43" s="774" t="s">
        <v>17</v>
      </c>
      <c r="S43" s="775">
        <f t="shared" si="12"/>
        <v>100</v>
      </c>
      <c r="T43" s="774" t="s">
        <v>17</v>
      </c>
      <c r="U43" s="775">
        <f t="shared" si="13"/>
        <v>100</v>
      </c>
      <c r="V43" s="774" t="s">
        <v>17</v>
      </c>
      <c r="W43" s="775">
        <f t="shared" si="14"/>
        <v>100</v>
      </c>
      <c r="X43" s="1816"/>
      <c r="Y43" s="3167"/>
      <c r="Z43" s="1817" t="str">
        <f t="shared" si="15"/>
        <v>内部装修</v>
      </c>
      <c r="AA43" s="1814">
        <f t="shared" si="3"/>
        <v>1</v>
      </c>
      <c r="AB43" s="1814">
        <f t="shared" si="4"/>
        <v>1</v>
      </c>
      <c r="AC43" s="2680">
        <f t="shared" si="5"/>
        <v>1</v>
      </c>
    </row>
    <row r="44" spans="1:29" ht="15">
      <c r="A44" s="472"/>
      <c r="B44" s="422" t="s">
        <v>2581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01"/>
      <c r="Q44" s="1813" t="str">
        <f t="shared" si="11"/>
        <v>内部装修维护情况</v>
      </c>
      <c r="R44" s="774" t="s">
        <v>17</v>
      </c>
      <c r="S44" s="775">
        <f t="shared" si="12"/>
        <v>100</v>
      </c>
      <c r="T44" s="774" t="s">
        <v>17</v>
      </c>
      <c r="U44" s="775">
        <f t="shared" si="13"/>
        <v>100</v>
      </c>
      <c r="V44" s="774" t="s">
        <v>17</v>
      </c>
      <c r="W44" s="775">
        <f t="shared" si="14"/>
        <v>100</v>
      </c>
      <c r="X44" s="1816"/>
      <c r="Y44" s="316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1"/>
      <c r="Q45" s="1798">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1"/>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2"/>
      <c r="Q47" s="1813">
        <f t="shared" si="11"/>
        <v>111</v>
      </c>
      <c r="R47" s="774" t="s">
        <v>17</v>
      </c>
      <c r="S47" s="775">
        <f t="shared" si="12"/>
        <v>100</v>
      </c>
      <c r="T47" s="774" t="s">
        <v>17</v>
      </c>
      <c r="U47" s="775">
        <f t="shared" si="13"/>
        <v>100</v>
      </c>
      <c r="V47" s="774" t="s">
        <v>17</v>
      </c>
      <c r="W47" s="775">
        <f t="shared" si="14"/>
        <v>100</v>
      </c>
      <c r="X47" s="1816"/>
      <c r="Y47" s="3168"/>
      <c r="Z47" s="1817">
        <f t="shared" si="15"/>
        <v>111</v>
      </c>
      <c r="AA47" s="1814">
        <f t="shared" si="3"/>
        <v>1</v>
      </c>
      <c r="AB47" s="1814">
        <f t="shared" si="4"/>
        <v>1</v>
      </c>
      <c r="AC47" s="2680">
        <f t="shared" si="5"/>
        <v>1</v>
      </c>
    </row>
    <row r="48" spans="1:29" ht="15">
      <c r="A48" s="479" t="s">
        <v>2582</v>
      </c>
      <c r="B48" s="480"/>
      <c r="C48" s="1410" t="s">
        <v>1</v>
      </c>
      <c r="D48" s="1411"/>
      <c r="E48" s="1412"/>
      <c r="F48" s="1413"/>
      <c r="G48" s="1414"/>
      <c r="H48" s="1415"/>
      <c r="I48" s="1412"/>
      <c r="J48" s="485"/>
      <c r="K48" s="783"/>
      <c r="L48" s="1146"/>
      <c r="M48" s="1134"/>
      <c r="N48" s="1134"/>
      <c r="O48" s="1134"/>
      <c r="P48" s="3205" t="str">
        <f>A48</f>
        <v>成交单价（元/平方米）</v>
      </c>
      <c r="Q48" s="3159"/>
      <c r="R48" s="3160">
        <f>E48</f>
        <v>0</v>
      </c>
      <c r="S48" s="3160"/>
      <c r="T48" s="3160">
        <f>G48</f>
        <v>0</v>
      </c>
      <c r="U48" s="3160"/>
      <c r="V48" s="3160">
        <f>I48</f>
        <v>0</v>
      </c>
      <c r="W48" s="3160"/>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05" t="str">
        <f>A49</f>
        <v>比较价值（元/平方米）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7"/>
      <c r="Q58" s="504"/>
    </row>
    <row r="59" spans="1:29" s="508" customFormat="1" ht="15">
      <c r="A59" s="505" t="s">
        <v>2553</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2590</v>
      </c>
      <c r="B61" s="516"/>
      <c r="C61" s="517"/>
      <c r="D61" s="518"/>
      <c r="E61" s="518"/>
      <c r="F61" s="518"/>
      <c r="G61" s="518"/>
      <c r="H61" s="518"/>
      <c r="I61" s="518"/>
      <c r="J61" s="518"/>
      <c r="K61" s="518"/>
      <c r="L61" s="518"/>
      <c r="M61" s="519"/>
      <c r="N61" s="518"/>
      <c r="O61" s="519"/>
      <c r="P61" s="2688"/>
      <c r="Q61" s="504"/>
    </row>
    <row r="62" spans="1:29" s="117" customFormat="1" ht="15">
      <c r="A62" s="521" t="s">
        <v>2555</v>
      </c>
      <c r="B62" s="510"/>
      <c r="C62" s="522" t="s">
        <v>2657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2593</v>
      </c>
      <c r="B64" s="528" t="s">
        <v>2559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2568</v>
      </c>
      <c r="B101" s="528" t="s">
        <v>2617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0"/>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72" t="s">
        <v>2651</v>
      </c>
      <c r="D4" s="3173"/>
      <c r="E4" s="3174" t="s">
        <v>2652</v>
      </c>
      <c r="F4" s="3175"/>
      <c r="G4" s="3172" t="s">
        <v>2653</v>
      </c>
      <c r="H4" s="3173"/>
      <c r="I4" s="3172" t="s">
        <v>2654</v>
      </c>
      <c r="J4" s="3173"/>
      <c r="K4" s="610" t="s">
        <v>2655</v>
      </c>
      <c r="L4" s="1133"/>
      <c r="M4" s="1134"/>
      <c r="N4" s="1134"/>
      <c r="O4" s="1134"/>
      <c r="P4" s="3176" t="s">
        <v>2656</v>
      </c>
      <c r="Q4" s="3177"/>
      <c r="R4" s="3182" t="s">
        <v>2652</v>
      </c>
      <c r="S4" s="3183"/>
      <c r="T4" s="3182" t="s">
        <v>2653</v>
      </c>
      <c r="U4" s="3183"/>
      <c r="V4" s="3188" t="s">
        <v>2654</v>
      </c>
      <c r="W4" s="3188"/>
      <c r="X4" s="1816"/>
      <c r="Y4" s="3182" t="s">
        <v>2656</v>
      </c>
      <c r="Z4" s="3183"/>
      <c r="AA4" s="3169" t="s">
        <v>2652</v>
      </c>
      <c r="AB4" s="3170" t="s">
        <v>2653</v>
      </c>
      <c r="AC4" s="3169" t="s">
        <v>2654</v>
      </c>
    </row>
    <row r="5" spans="1:29" ht="15">
      <c r="A5" s="404"/>
      <c r="B5" s="405"/>
      <c r="C5" s="3206" t="s">
        <v>2547</v>
      </c>
      <c r="D5" s="3192"/>
      <c r="E5" s="3257" t="s">
        <v>2548</v>
      </c>
      <c r="F5" s="3199"/>
      <c r="G5" s="3206" t="s">
        <v>2549</v>
      </c>
      <c r="H5" s="3192"/>
      <c r="I5" s="3206" t="s">
        <v>2550</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2551</v>
      </c>
      <c r="D6" s="3190"/>
      <c r="E6" s="3196" t="s">
        <v>2551</v>
      </c>
      <c r="F6" s="3197"/>
      <c r="G6" s="3189" t="s">
        <v>2551</v>
      </c>
      <c r="H6" s="3190"/>
      <c r="I6" s="3189" t="s">
        <v>2551</v>
      </c>
      <c r="J6" s="3190"/>
      <c r="K6" s="610" t="s">
        <v>2552</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2553</v>
      </c>
      <c r="B7" s="409"/>
      <c r="C7" s="410">
        <f>'数据-取费表'!B2</f>
        <v>43220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2554</v>
      </c>
      <c r="Q7" s="3195"/>
      <c r="R7" s="770" t="s">
        <v>17</v>
      </c>
      <c r="S7" s="771">
        <f t="shared" ref="S7:S14" si="0">F7</f>
        <v>0</v>
      </c>
      <c r="T7" s="770" t="s">
        <v>17</v>
      </c>
      <c r="U7" s="771">
        <f t="shared" ref="U7:U14" si="1">H7</f>
        <v>0</v>
      </c>
      <c r="V7" s="770" t="s">
        <v>17</v>
      </c>
      <c r="W7" s="771">
        <f t="shared" ref="W7:W14" si="2">J7</f>
        <v>0</v>
      </c>
      <c r="X7" s="772"/>
      <c r="Y7" s="3193" t="s">
        <v>2554</v>
      </c>
      <c r="Z7" s="3194"/>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2557</v>
      </c>
      <c r="Q8" s="3194"/>
      <c r="R8" s="770" t="s">
        <v>17</v>
      </c>
      <c r="S8" s="771">
        <f t="shared" si="0"/>
        <v>0</v>
      </c>
      <c r="T8" s="770" t="s">
        <v>17</v>
      </c>
      <c r="U8" s="771">
        <f t="shared" si="1"/>
        <v>0</v>
      </c>
      <c r="V8" s="770" t="s">
        <v>17</v>
      </c>
      <c r="W8" s="771">
        <f t="shared" si="2"/>
        <v>0</v>
      </c>
      <c r="X8" s="772"/>
      <c r="Y8" s="3193" t="s">
        <v>2557</v>
      </c>
      <c r="Z8" s="3194"/>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9" t="s">
        <v>2560</v>
      </c>
      <c r="Q9" s="1798" t="str">
        <f t="shared" ref="Q9:Q14" si="6">B9</f>
        <v>用途</v>
      </c>
      <c r="R9" s="770" t="s">
        <v>17</v>
      </c>
      <c r="S9" s="771">
        <f t="shared" si="0"/>
        <v>100</v>
      </c>
      <c r="T9" s="770" t="s">
        <v>17</v>
      </c>
      <c r="U9" s="771">
        <f t="shared" si="1"/>
        <v>100</v>
      </c>
      <c r="V9" s="770" t="s">
        <v>17</v>
      </c>
      <c r="W9" s="771">
        <f t="shared" si="2"/>
        <v>100</v>
      </c>
      <c r="X9" s="772"/>
      <c r="Y9" s="3017"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9"/>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2564</v>
      </c>
      <c r="B14" s="629" t="s">
        <v>2714</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4" t="s">
        <v>2565</v>
      </c>
      <c r="Q14" s="1813" t="str">
        <f t="shared" si="6"/>
        <v>交通便捷度</v>
      </c>
      <c r="R14" s="774" t="s">
        <v>17</v>
      </c>
      <c r="S14" s="775">
        <f t="shared" si="0"/>
        <v>100</v>
      </c>
      <c r="T14" s="774" t="s">
        <v>17</v>
      </c>
      <c r="U14" s="775">
        <f t="shared" si="1"/>
        <v>100</v>
      </c>
      <c r="V14" s="774" t="s">
        <v>17</v>
      </c>
      <c r="W14" s="775">
        <f t="shared" si="2"/>
        <v>100</v>
      </c>
      <c r="X14" s="1816"/>
      <c r="Y14" s="3164"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5"/>
      <c r="Q15" s="1813"/>
      <c r="R15" s="774"/>
      <c r="S15" s="775"/>
      <c r="T15" s="774"/>
      <c r="U15" s="775"/>
      <c r="V15" s="774"/>
      <c r="W15" s="775"/>
      <c r="X15" s="1816"/>
      <c r="Y15" s="3165"/>
      <c r="Z15" s="1817"/>
      <c r="AA15" s="1814">
        <v>1</v>
      </c>
      <c r="AB15" s="1814">
        <v>1</v>
      </c>
      <c r="AC15" s="1814">
        <v>1</v>
      </c>
    </row>
    <row r="16" spans="1:29" ht="42.75">
      <c r="A16" s="404"/>
      <c r="B16" s="631" t="s">
        <v>2693</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65"/>
      <c r="Q17" s="1813"/>
      <c r="R17" s="774"/>
      <c r="S17" s="775"/>
      <c r="T17" s="774"/>
      <c r="U17" s="775"/>
      <c r="V17" s="774"/>
      <c r="W17" s="775"/>
      <c r="X17" s="1816"/>
      <c r="Y17" s="3165"/>
      <c r="Z17" s="1817"/>
      <c r="AA17" s="1814">
        <v>1</v>
      </c>
      <c r="AB17" s="1814">
        <v>1</v>
      </c>
      <c r="AC17" s="1814">
        <v>1</v>
      </c>
    </row>
    <row r="18" spans="1:29" ht="28.5">
      <c r="A18" s="404"/>
      <c r="B18" s="633" t="s">
        <v>2694</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65"/>
      <c r="Q19" s="1813"/>
      <c r="R19" s="774"/>
      <c r="S19" s="775"/>
      <c r="T19" s="774"/>
      <c r="U19" s="775"/>
      <c r="V19" s="774"/>
      <c r="W19" s="775"/>
      <c r="X19" s="1816"/>
      <c r="Y19" s="3165"/>
      <c r="Z19" s="1817"/>
      <c r="AA19" s="1814">
        <v>1</v>
      </c>
      <c r="AB19" s="1814">
        <v>1</v>
      </c>
      <c r="AC19" s="1814">
        <v>1</v>
      </c>
    </row>
    <row r="20" spans="1:29" ht="57">
      <c r="A20" s="404"/>
      <c r="B20" s="631" t="s">
        <v>2715</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5"/>
      <c r="Q21" s="1813"/>
      <c r="R21" s="774"/>
      <c r="S21" s="775"/>
      <c r="T21" s="774"/>
      <c r="U21" s="775"/>
      <c r="V21" s="774"/>
      <c r="W21" s="775"/>
      <c r="X21" s="1816"/>
      <c r="Y21" s="3165"/>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5"/>
      <c r="Q24" s="1813">
        <f t="shared" ref="Q24:Q36"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15">
      <c r="A26" s="652" t="s">
        <v>2568</v>
      </c>
      <c r="B26" s="70" t="s">
        <v>2717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6"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7"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3" t="str">
        <f t="shared" si="11"/>
        <v>公共部分装修</v>
      </c>
      <c r="R28" s="774" t="s">
        <v>17</v>
      </c>
      <c r="S28" s="775">
        <f t="shared" si="12"/>
        <v>100</v>
      </c>
      <c r="T28" s="774" t="s">
        <v>17</v>
      </c>
      <c r="U28" s="775">
        <f t="shared" si="13"/>
        <v>100</v>
      </c>
      <c r="V28" s="774" t="s">
        <v>17</v>
      </c>
      <c r="W28" s="775">
        <f t="shared" si="14"/>
        <v>100</v>
      </c>
      <c r="X28" s="1816"/>
      <c r="Y28" s="3167"/>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3" t="str">
        <f t="shared" si="11"/>
        <v>成新率</v>
      </c>
      <c r="R29" s="774" t="s">
        <v>17</v>
      </c>
      <c r="S29" s="775" t="e">
        <f t="shared" si="12"/>
        <v>#N/A</v>
      </c>
      <c r="T29" s="774" t="s">
        <v>17</v>
      </c>
      <c r="U29" s="775" t="e">
        <f t="shared" si="13"/>
        <v>#N/A</v>
      </c>
      <c r="V29" s="774" t="s">
        <v>17</v>
      </c>
      <c r="W29" s="775" t="e">
        <f t="shared" si="14"/>
        <v>#N/A</v>
      </c>
      <c r="X29" s="1816"/>
      <c r="Y29" s="3167"/>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3" t="str">
        <f t="shared" si="11"/>
        <v>物业等级</v>
      </c>
      <c r="R30" s="774" t="s">
        <v>17</v>
      </c>
      <c r="S30" s="775">
        <f t="shared" si="12"/>
        <v>100</v>
      </c>
      <c r="T30" s="774" t="s">
        <v>17</v>
      </c>
      <c r="U30" s="775">
        <f t="shared" si="13"/>
        <v>100</v>
      </c>
      <c r="V30" s="774" t="s">
        <v>17</v>
      </c>
      <c r="W30" s="775">
        <f t="shared" si="14"/>
        <v>100</v>
      </c>
      <c r="X30" s="1816"/>
      <c r="Y30" s="3167"/>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8"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2570</v>
      </c>
      <c r="Q32" s="1813" t="str">
        <f t="shared" si="11"/>
        <v>车位类型</v>
      </c>
      <c r="R32" s="774" t="s">
        <v>17</v>
      </c>
      <c r="S32" s="775">
        <f t="shared" si="12"/>
        <v>100</v>
      </c>
      <c r="T32" s="774" t="s">
        <v>17</v>
      </c>
      <c r="U32" s="775">
        <f t="shared" si="13"/>
        <v>100</v>
      </c>
      <c r="V32" s="774" t="s">
        <v>17</v>
      </c>
      <c r="W32" s="775">
        <f t="shared" si="14"/>
        <v>100</v>
      </c>
      <c r="X32" s="1816"/>
      <c r="Y32" s="3167"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3" t="str">
        <f t="shared" si="11"/>
        <v>是否直接入户</v>
      </c>
      <c r="R33" s="774" t="s">
        <v>17</v>
      </c>
      <c r="S33" s="775">
        <f t="shared" si="12"/>
        <v>100</v>
      </c>
      <c r="T33" s="774" t="s">
        <v>17</v>
      </c>
      <c r="U33" s="775">
        <f t="shared" si="13"/>
        <v>100</v>
      </c>
      <c r="V33" s="774" t="s">
        <v>17</v>
      </c>
      <c r="W33" s="775">
        <f t="shared" si="14"/>
        <v>100</v>
      </c>
      <c r="X33" s="1816"/>
      <c r="Y33" s="316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3">
        <f t="shared" si="11"/>
        <v>111</v>
      </c>
      <c r="R36" s="774" t="s">
        <v>17</v>
      </c>
      <c r="S36" s="775">
        <f t="shared" si="12"/>
        <v>100</v>
      </c>
      <c r="T36" s="774" t="s">
        <v>17</v>
      </c>
      <c r="U36" s="775">
        <f t="shared" si="13"/>
        <v>100</v>
      </c>
      <c r="V36" s="774" t="s">
        <v>17</v>
      </c>
      <c r="W36" s="775">
        <f t="shared" si="14"/>
        <v>100</v>
      </c>
      <c r="X36" s="1816"/>
      <c r="Y36" s="3167"/>
      <c r="Z36" s="1817">
        <f t="shared" si="15"/>
        <v>111</v>
      </c>
      <c r="AA36" s="1814">
        <f t="shared" si="3"/>
        <v>1</v>
      </c>
      <c r="AB36" s="1814">
        <f t="shared" si="4"/>
        <v>1</v>
      </c>
      <c r="AC36" s="1814">
        <f t="shared" si="5"/>
        <v>1</v>
      </c>
    </row>
    <row r="37" spans="1:29" ht="15">
      <c r="A37" s="479" t="s">
        <v>2725</v>
      </c>
      <c r="B37" s="2701" t="s">
        <v>2726</v>
      </c>
      <c r="C37" s="1410" t="s">
        <v>1</v>
      </c>
      <c r="D37" s="1411"/>
      <c r="E37" s="1412"/>
      <c r="F37" s="1413"/>
      <c r="G37" s="1414"/>
      <c r="H37" s="1415"/>
      <c r="I37" s="1412"/>
      <c r="J37" s="1415"/>
      <c r="K37" s="619"/>
      <c r="L37" s="1146"/>
      <c r="M37" s="1147"/>
      <c r="N37" s="1134"/>
      <c r="O37" s="1147"/>
      <c r="P37" s="3159" t="str">
        <f>A37</f>
        <v>成交单价</v>
      </c>
      <c r="Q37" s="3159"/>
      <c r="R37" s="3160">
        <f>E37</f>
        <v>0</v>
      </c>
      <c r="S37" s="3160"/>
      <c r="T37" s="3160">
        <f>G37</f>
        <v>0</v>
      </c>
      <c r="U37" s="3160"/>
      <c r="V37" s="3160">
        <f>I37</f>
        <v>0</v>
      </c>
      <c r="W37" s="3160"/>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61" t="str">
        <f>A39</f>
        <v>估价对象XX用房的比较价值（楼面单价，元/平方米）</v>
      </c>
      <c r="Q39" s="3162"/>
      <c r="R39" s="3163" t="e">
        <f>IF(F1="售价",ROUND(AVERAGE(R38:V38),0),ROUND(AVERAGE(R38:V38),1))</f>
        <v>#DIV/0!</v>
      </c>
      <c r="S39" s="3163"/>
      <c r="T39" s="3163"/>
      <c r="U39" s="3163"/>
      <c r="V39" s="3163"/>
      <c r="W39" s="316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2" t="s">
        <v>2651</v>
      </c>
      <c r="D4" s="3173"/>
      <c r="E4" s="3174" t="s">
        <v>2652</v>
      </c>
      <c r="F4" s="3175"/>
      <c r="G4" s="3172" t="s">
        <v>2653</v>
      </c>
      <c r="H4" s="3173"/>
      <c r="I4" s="3172" t="s">
        <v>2654</v>
      </c>
      <c r="J4" s="3173"/>
      <c r="K4" s="610" t="s">
        <v>2655</v>
      </c>
      <c r="L4" s="1133"/>
      <c r="M4" s="1134"/>
      <c r="N4" s="1134"/>
      <c r="O4" s="1134"/>
      <c r="P4" s="3176" t="s">
        <v>2656</v>
      </c>
      <c r="Q4" s="3177"/>
      <c r="R4" s="3182" t="s">
        <v>2652</v>
      </c>
      <c r="S4" s="3183"/>
      <c r="T4" s="3182" t="s">
        <v>2653</v>
      </c>
      <c r="U4" s="3183"/>
      <c r="V4" s="3188" t="s">
        <v>2654</v>
      </c>
      <c r="W4" s="3188"/>
      <c r="X4" s="1816"/>
      <c r="Y4" s="3182" t="s">
        <v>2656</v>
      </c>
      <c r="Z4" s="3183"/>
      <c r="AA4" s="3169" t="s">
        <v>2652</v>
      </c>
      <c r="AB4" s="3170" t="s">
        <v>2653</v>
      </c>
      <c r="AC4" s="3169" t="s">
        <v>2654</v>
      </c>
    </row>
    <row r="5" spans="1:29" ht="15">
      <c r="A5" s="404"/>
      <c r="B5" s="405"/>
      <c r="C5" s="3206" t="s">
        <v>2547</v>
      </c>
      <c r="D5" s="3192"/>
      <c r="E5" s="3257" t="s">
        <v>2548</v>
      </c>
      <c r="F5" s="3199"/>
      <c r="G5" s="3206" t="s">
        <v>2549</v>
      </c>
      <c r="H5" s="3192"/>
      <c r="I5" s="3206" t="s">
        <v>2550</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2551</v>
      </c>
      <c r="D6" s="3190"/>
      <c r="E6" s="3196" t="s">
        <v>2551</v>
      </c>
      <c r="F6" s="3197"/>
      <c r="G6" s="3189" t="s">
        <v>2551</v>
      </c>
      <c r="H6" s="3190"/>
      <c r="I6" s="3189" t="s">
        <v>2551</v>
      </c>
      <c r="J6" s="3190"/>
      <c r="K6" s="610" t="s">
        <v>2552</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2553</v>
      </c>
      <c r="B7" s="409"/>
      <c r="C7" s="410">
        <f>'数据-取费表'!B2</f>
        <v>43220</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3" t="s">
        <v>2554</v>
      </c>
      <c r="Q7" s="3195"/>
      <c r="R7" s="770" t="s">
        <v>17</v>
      </c>
      <c r="S7" s="771">
        <f t="shared" ref="S7:S14" si="0">F7</f>
        <v>0</v>
      </c>
      <c r="T7" s="770" t="s">
        <v>17</v>
      </c>
      <c r="U7" s="771">
        <f t="shared" ref="U7:U14" si="1">H7</f>
        <v>0</v>
      </c>
      <c r="V7" s="770" t="s">
        <v>17</v>
      </c>
      <c r="W7" s="771">
        <f t="shared" ref="W7:W14" si="2">J7</f>
        <v>0</v>
      </c>
      <c r="X7" s="772"/>
      <c r="Y7" s="3193" t="s">
        <v>2554</v>
      </c>
      <c r="Z7" s="3194"/>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2557</v>
      </c>
      <c r="Q8" s="3194"/>
      <c r="R8" s="770" t="s">
        <v>17</v>
      </c>
      <c r="S8" s="771">
        <f t="shared" si="0"/>
        <v>0</v>
      </c>
      <c r="T8" s="770" t="s">
        <v>17</v>
      </c>
      <c r="U8" s="771">
        <f t="shared" si="1"/>
        <v>0</v>
      </c>
      <c r="V8" s="770" t="s">
        <v>17</v>
      </c>
      <c r="W8" s="771">
        <f t="shared" si="2"/>
        <v>0</v>
      </c>
      <c r="X8" s="772"/>
      <c r="Y8" s="3193" t="s">
        <v>2557</v>
      </c>
      <c r="Z8" s="3194"/>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9" t="s">
        <v>2560</v>
      </c>
      <c r="Q9" s="1798" t="str">
        <f t="shared" ref="Q9:Q14" si="6">B9</f>
        <v>用途</v>
      </c>
      <c r="R9" s="770" t="s">
        <v>17</v>
      </c>
      <c r="S9" s="771">
        <f t="shared" si="0"/>
        <v>100</v>
      </c>
      <c r="T9" s="770" t="s">
        <v>17</v>
      </c>
      <c r="U9" s="771">
        <f t="shared" si="1"/>
        <v>100</v>
      </c>
      <c r="V9" s="770" t="s">
        <v>17</v>
      </c>
      <c r="W9" s="771">
        <f t="shared" si="2"/>
        <v>100</v>
      </c>
      <c r="X9" s="772"/>
      <c r="Y9" s="3017"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9"/>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2564</v>
      </c>
      <c r="B14" s="69" t="s">
        <v>2714</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4" t="s">
        <v>2565</v>
      </c>
      <c r="Q14" s="1813" t="str">
        <f t="shared" si="6"/>
        <v>交通便捷度</v>
      </c>
      <c r="R14" s="774" t="s">
        <v>17</v>
      </c>
      <c r="S14" s="775">
        <f t="shared" si="0"/>
        <v>100</v>
      </c>
      <c r="T14" s="774" t="s">
        <v>17</v>
      </c>
      <c r="U14" s="775">
        <f t="shared" si="1"/>
        <v>100</v>
      </c>
      <c r="V14" s="774" t="s">
        <v>17</v>
      </c>
      <c r="W14" s="775">
        <f t="shared" si="2"/>
        <v>100</v>
      </c>
      <c r="X14" s="1816"/>
      <c r="Y14" s="3164"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5"/>
      <c r="Q15" s="1813"/>
      <c r="R15" s="774"/>
      <c r="S15" s="775"/>
      <c r="T15" s="774"/>
      <c r="U15" s="775"/>
      <c r="V15" s="774"/>
      <c r="W15" s="775"/>
      <c r="X15" s="1816"/>
      <c r="Y15" s="3165"/>
      <c r="Z15" s="1817"/>
      <c r="AA15" s="1814">
        <v>1</v>
      </c>
      <c r="AB15" s="1814">
        <v>1</v>
      </c>
      <c r="AC15" s="1814">
        <v>1</v>
      </c>
    </row>
    <row r="16" spans="1:29" ht="42.75">
      <c r="A16" s="428"/>
      <c r="B16" s="451" t="s">
        <v>2693</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65"/>
      <c r="Q17" s="1813"/>
      <c r="R17" s="774"/>
      <c r="S17" s="775"/>
      <c r="T17" s="774"/>
      <c r="U17" s="775"/>
      <c r="V17" s="774"/>
      <c r="W17" s="775"/>
      <c r="X17" s="1816"/>
      <c r="Y17" s="3165"/>
      <c r="Z17" s="1817"/>
      <c r="AA17" s="1814">
        <v>1</v>
      </c>
      <c r="AB17" s="1814">
        <v>1</v>
      </c>
      <c r="AC17" s="1814">
        <v>1</v>
      </c>
    </row>
    <row r="18" spans="1:29" ht="28.5">
      <c r="A18" s="428"/>
      <c r="B18" s="1387" t="s">
        <v>2694</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65"/>
      <c r="Q19" s="1813"/>
      <c r="R19" s="774"/>
      <c r="S19" s="775"/>
      <c r="T19" s="774"/>
      <c r="U19" s="775"/>
      <c r="V19" s="774"/>
      <c r="W19" s="775"/>
      <c r="X19" s="1816"/>
      <c r="Y19" s="3165"/>
      <c r="Z19" s="1817"/>
      <c r="AA19" s="1814">
        <v>1</v>
      </c>
      <c r="AB19" s="1814">
        <v>1</v>
      </c>
      <c r="AC19" s="1814">
        <v>1</v>
      </c>
    </row>
    <row r="20" spans="1:29" ht="57">
      <c r="A20" s="428"/>
      <c r="B20" s="451" t="s">
        <v>2715</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5"/>
      <c r="Q21" s="1813"/>
      <c r="R21" s="774"/>
      <c r="S21" s="775"/>
      <c r="T21" s="774"/>
      <c r="U21" s="775"/>
      <c r="V21" s="774"/>
      <c r="W21" s="775"/>
      <c r="X21" s="1816"/>
      <c r="Y21" s="3165"/>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5"/>
      <c r="Q24" s="1813">
        <f t="shared" ref="Q24:Q34"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15">
      <c r="A26" s="466" t="s">
        <v>2568</v>
      </c>
      <c r="B26" s="71" t="s">
        <v>2719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66"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7"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3" t="str">
        <f t="shared" si="11"/>
        <v>物业等级</v>
      </c>
      <c r="R28" s="774" t="s">
        <v>17</v>
      </c>
      <c r="S28" s="775">
        <f t="shared" si="12"/>
        <v>100</v>
      </c>
      <c r="T28" s="774" t="s">
        <v>17</v>
      </c>
      <c r="U28" s="775">
        <f t="shared" si="13"/>
        <v>100</v>
      </c>
      <c r="V28" s="774" t="s">
        <v>17</v>
      </c>
      <c r="W28" s="775">
        <f t="shared" si="14"/>
        <v>100</v>
      </c>
      <c r="X28" s="1816"/>
      <c r="Y28" s="3167"/>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3" t="str">
        <f t="shared" si="11"/>
        <v>有无电梯</v>
      </c>
      <c r="R29" s="774" t="s">
        <v>17</v>
      </c>
      <c r="S29" s="775">
        <f t="shared" si="12"/>
        <v>100</v>
      </c>
      <c r="T29" s="774" t="s">
        <v>17</v>
      </c>
      <c r="U29" s="775">
        <f t="shared" si="13"/>
        <v>100</v>
      </c>
      <c r="V29" s="774" t="s">
        <v>17</v>
      </c>
      <c r="W29" s="775">
        <f t="shared" si="14"/>
        <v>100</v>
      </c>
      <c r="X29" s="1816"/>
      <c r="Y29" s="3167"/>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3" t="str">
        <f t="shared" si="11"/>
        <v>建筑面积</v>
      </c>
      <c r="R30" s="774" t="s">
        <v>17</v>
      </c>
      <c r="S30" s="775" t="e">
        <f t="shared" si="12"/>
        <v>#N/A</v>
      </c>
      <c r="T30" s="774" t="s">
        <v>17</v>
      </c>
      <c r="U30" s="775" t="e">
        <f t="shared" si="13"/>
        <v>#N/A</v>
      </c>
      <c r="V30" s="774" t="s">
        <v>17</v>
      </c>
      <c r="W30" s="775" t="e">
        <f t="shared" si="14"/>
        <v>#N/A</v>
      </c>
      <c r="X30" s="1816"/>
      <c r="Y30" s="3167"/>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8"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2570</v>
      </c>
      <c r="Q32" s="1813">
        <f t="shared" si="11"/>
        <v>111</v>
      </c>
      <c r="R32" s="774" t="s">
        <v>17</v>
      </c>
      <c r="S32" s="775">
        <f t="shared" si="12"/>
        <v>100</v>
      </c>
      <c r="T32" s="774" t="s">
        <v>17</v>
      </c>
      <c r="U32" s="775">
        <f t="shared" si="13"/>
        <v>100</v>
      </c>
      <c r="V32" s="774" t="s">
        <v>17</v>
      </c>
      <c r="W32" s="775">
        <f t="shared" si="14"/>
        <v>100</v>
      </c>
      <c r="X32" s="1816"/>
      <c r="Y32" s="3167" t="s">
        <v>2570</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3">
        <f t="shared" si="11"/>
        <v>111</v>
      </c>
      <c r="R33" s="774" t="s">
        <v>17</v>
      </c>
      <c r="S33" s="775">
        <f t="shared" si="12"/>
        <v>100</v>
      </c>
      <c r="T33" s="774" t="s">
        <v>17</v>
      </c>
      <c r="U33" s="775">
        <f t="shared" si="13"/>
        <v>100</v>
      </c>
      <c r="V33" s="774" t="s">
        <v>17</v>
      </c>
      <c r="W33" s="775">
        <f t="shared" si="14"/>
        <v>100</v>
      </c>
      <c r="X33" s="1816"/>
      <c r="Y33" s="3167"/>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59" t="str">
        <f>A35</f>
        <v>成交单价（元/平方米）</v>
      </c>
      <c r="Q35" s="3159"/>
      <c r="R35" s="3160">
        <f>E35</f>
        <v>0</v>
      </c>
      <c r="S35" s="3160"/>
      <c r="T35" s="3160">
        <f>G35</f>
        <v>0</v>
      </c>
      <c r="U35" s="3160"/>
      <c r="V35" s="3160">
        <f>I35</f>
        <v>0</v>
      </c>
      <c r="W35" s="3160"/>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61" t="str">
        <f>A37</f>
        <v>估价对象XX用房的比较价值（楼面单价，元/平方米）</v>
      </c>
      <c r="Q37" s="3162"/>
      <c r="R37" s="3163" t="e">
        <f>IF(F1="售价",ROUND(AVERAGE(R36:V36),0),ROUND(AVERAGE(R36:V36),1))</f>
        <v>#DIV/0!</v>
      </c>
      <c r="S37" s="3163"/>
      <c r="T37" s="3163"/>
      <c r="U37" s="3163"/>
      <c r="V37" s="3163"/>
      <c r="W37" s="316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72" t="s">
        <v>2651</v>
      </c>
      <c r="D4" s="3173"/>
      <c r="E4" s="3174" t="s">
        <v>2652</v>
      </c>
      <c r="F4" s="3175"/>
      <c r="G4" s="3172" t="s">
        <v>2653</v>
      </c>
      <c r="H4" s="3173"/>
      <c r="I4" s="3172" t="s">
        <v>2654</v>
      </c>
      <c r="J4" s="3173"/>
      <c r="K4" s="610" t="s">
        <v>2655</v>
      </c>
      <c r="L4" s="1133"/>
      <c r="M4" s="1134"/>
      <c r="N4" s="1134"/>
      <c r="O4" s="1134"/>
      <c r="P4" s="3176" t="s">
        <v>2656</v>
      </c>
      <c r="Q4" s="3177"/>
      <c r="R4" s="3182" t="s">
        <v>2652</v>
      </c>
      <c r="S4" s="3183"/>
      <c r="T4" s="3182" t="s">
        <v>2653</v>
      </c>
      <c r="U4" s="3183"/>
      <c r="V4" s="3188" t="s">
        <v>2654</v>
      </c>
      <c r="W4" s="3188"/>
      <c r="X4" s="1816"/>
      <c r="Y4" s="3182" t="s">
        <v>2656</v>
      </c>
      <c r="Z4" s="3183"/>
      <c r="AA4" s="3169" t="s">
        <v>2652</v>
      </c>
      <c r="AB4" s="3170" t="s">
        <v>2653</v>
      </c>
      <c r="AC4" s="3169" t="s">
        <v>2654</v>
      </c>
    </row>
    <row r="5" spans="1:30" ht="15">
      <c r="A5" s="404"/>
      <c r="B5" s="405"/>
      <c r="C5" s="3206" t="s">
        <v>2547</v>
      </c>
      <c r="D5" s="3192"/>
      <c r="E5" s="3257" t="s">
        <v>2548</v>
      </c>
      <c r="F5" s="3199"/>
      <c r="G5" s="3206" t="s">
        <v>2549</v>
      </c>
      <c r="H5" s="3192"/>
      <c r="I5" s="3206" t="s">
        <v>2550</v>
      </c>
      <c r="J5" s="3192"/>
      <c r="K5" s="610"/>
      <c r="L5" s="1133"/>
      <c r="M5" s="1134"/>
      <c r="N5" s="1134"/>
      <c r="O5" s="1134"/>
      <c r="P5" s="3178"/>
      <c r="Q5" s="3179"/>
      <c r="R5" s="3184"/>
      <c r="S5" s="3185"/>
      <c r="T5" s="3184"/>
      <c r="U5" s="3185"/>
      <c r="V5" s="3188"/>
      <c r="W5" s="3188"/>
      <c r="X5" s="1816"/>
      <c r="Y5" s="3184"/>
      <c r="Z5" s="3185"/>
      <c r="AA5" s="3170"/>
      <c r="AB5" s="3170"/>
      <c r="AC5" s="3170"/>
    </row>
    <row r="6" spans="1:30" ht="15.75" thickBot="1">
      <c r="A6" s="406"/>
      <c r="B6" s="407"/>
      <c r="C6" s="3189" t="s">
        <v>2551</v>
      </c>
      <c r="D6" s="3190"/>
      <c r="E6" s="3196" t="s">
        <v>2551</v>
      </c>
      <c r="F6" s="3197"/>
      <c r="G6" s="3189" t="s">
        <v>2551</v>
      </c>
      <c r="H6" s="3190"/>
      <c r="I6" s="3189" t="s">
        <v>2551</v>
      </c>
      <c r="J6" s="3190"/>
      <c r="K6" s="610" t="s">
        <v>2552</v>
      </c>
      <c r="L6" s="1133"/>
      <c r="M6" s="1134"/>
      <c r="N6" s="1134"/>
      <c r="O6" s="1134"/>
      <c r="P6" s="3180"/>
      <c r="Q6" s="3181"/>
      <c r="R6" s="3184"/>
      <c r="S6" s="3185"/>
      <c r="T6" s="3186"/>
      <c r="U6" s="3187"/>
      <c r="V6" s="3188"/>
      <c r="W6" s="3188"/>
      <c r="X6" s="1816"/>
      <c r="Y6" s="3186"/>
      <c r="Z6" s="3187"/>
      <c r="AA6" s="3171"/>
      <c r="AB6" s="3171"/>
      <c r="AC6" s="3171"/>
    </row>
    <row r="7" spans="1:30" s="117" customFormat="1" ht="15.75" thickBot="1">
      <c r="A7" s="408" t="s">
        <v>2553</v>
      </c>
      <c r="B7" s="409"/>
      <c r="C7" s="410">
        <f>'数据-取费表'!B2</f>
        <v>43220</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3" t="s">
        <v>2554</v>
      </c>
      <c r="Q7" s="3195"/>
      <c r="R7" s="770" t="s">
        <v>17</v>
      </c>
      <c r="S7" s="771">
        <f t="shared" ref="S7:S15" si="0">F7</f>
        <v>0</v>
      </c>
      <c r="T7" s="770" t="s">
        <v>17</v>
      </c>
      <c r="U7" s="771">
        <f t="shared" ref="U7:U15" si="1">H7</f>
        <v>0</v>
      </c>
      <c r="V7" s="770" t="s">
        <v>17</v>
      </c>
      <c r="W7" s="771">
        <f t="shared" ref="W7:W15" si="2">J7</f>
        <v>0</v>
      </c>
      <c r="X7" s="772"/>
      <c r="Y7" s="3193" t="s">
        <v>2554</v>
      </c>
      <c r="Z7" s="3194"/>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2557</v>
      </c>
      <c r="Q8" s="3194"/>
      <c r="R8" s="770" t="s">
        <v>17</v>
      </c>
      <c r="S8" s="771">
        <f t="shared" si="0"/>
        <v>0</v>
      </c>
      <c r="T8" s="770" t="s">
        <v>17</v>
      </c>
      <c r="U8" s="771">
        <f t="shared" si="1"/>
        <v>0</v>
      </c>
      <c r="V8" s="770" t="s">
        <v>17</v>
      </c>
      <c r="W8" s="771">
        <f t="shared" si="2"/>
        <v>0</v>
      </c>
      <c r="X8" s="772"/>
      <c r="Y8" s="3193" t="s">
        <v>2557</v>
      </c>
      <c r="Z8" s="3194"/>
      <c r="AA8" s="773" t="e">
        <f t="shared" ref="AA8:AA45" si="3">D8/F8</f>
        <v>#DIV/0!</v>
      </c>
      <c r="AB8" s="773" t="e">
        <f t="shared" ref="AB8:AB45" si="4">D8/H8</f>
        <v>#DIV/0!</v>
      </c>
      <c r="AC8" s="773" t="e">
        <f t="shared" ref="AC8:AC45" si="5">D8/J8</f>
        <v>#DIV/0!</v>
      </c>
    </row>
    <row r="9" spans="1:30" s="117" customFormat="1">
      <c r="A9" s="415" t="s">
        <v>2558</v>
      </c>
      <c r="B9" s="71" t="s">
        <v>2559</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9"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143</v>
      </c>
      <c r="G10" s="463"/>
      <c r="H10" s="136">
        <f>ROUND(100/'数据-取费表'!G16,0)</f>
        <v>143</v>
      </c>
      <c r="I10" s="463"/>
      <c r="J10" s="136">
        <f>ROUND(100/'数据-取费表'!G16,0)</f>
        <v>143</v>
      </c>
      <c r="K10" s="672"/>
      <c r="L10" s="1138"/>
      <c r="M10" s="1139"/>
      <c r="N10" s="1139"/>
      <c r="O10" s="1140"/>
      <c r="P10" s="3159"/>
      <c r="Q10" s="1798" t="str">
        <f t="shared" si="6"/>
        <v>土地使用年限（年）</v>
      </c>
      <c r="R10" s="770" t="s">
        <v>17</v>
      </c>
      <c r="S10" s="771">
        <f t="shared" si="0"/>
        <v>143</v>
      </c>
      <c r="T10" s="770" t="s">
        <v>17</v>
      </c>
      <c r="U10" s="771">
        <f t="shared" si="1"/>
        <v>143</v>
      </c>
      <c r="V10" s="770" t="s">
        <v>17</v>
      </c>
      <c r="W10" s="771">
        <f t="shared" si="2"/>
        <v>143</v>
      </c>
      <c r="X10" s="772"/>
      <c r="Y10" s="3017"/>
      <c r="Z10" s="55" t="str">
        <f t="shared" si="7"/>
        <v>土地使用年限（年）</v>
      </c>
      <c r="AA10" s="773">
        <f t="shared" si="3"/>
        <v>0.69930069930069927</v>
      </c>
      <c r="AB10" s="773">
        <f t="shared" si="4"/>
        <v>0.69930069930069927</v>
      </c>
      <c r="AC10" s="773">
        <f t="shared" si="5"/>
        <v>0.69930069930069927</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6"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9"/>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2564</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4" t="s">
        <v>2565</v>
      </c>
      <c r="Q15" s="1813" t="str">
        <f t="shared" si="6"/>
        <v>居住社区成熟度</v>
      </c>
      <c r="R15" s="774" t="s">
        <v>17</v>
      </c>
      <c r="S15" s="775">
        <f t="shared" si="0"/>
        <v>100</v>
      </c>
      <c r="T15" s="774" t="s">
        <v>17</v>
      </c>
      <c r="U15" s="775">
        <f t="shared" si="1"/>
        <v>100</v>
      </c>
      <c r="V15" s="774" t="s">
        <v>17</v>
      </c>
      <c r="W15" s="775">
        <f t="shared" si="2"/>
        <v>100</v>
      </c>
      <c r="X15" s="1816"/>
      <c r="Y15" s="3164" t="s">
        <v>2565</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71.25">
      <c r="A17" s="428"/>
      <c r="B17" s="451" t="s">
        <v>2658</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5"/>
      <c r="Q17" s="1813" t="str">
        <f>B17</f>
        <v>商业繁华度</v>
      </c>
      <c r="R17" s="774" t="s">
        <v>17</v>
      </c>
      <c r="S17" s="775">
        <f>F17</f>
        <v>100</v>
      </c>
      <c r="T17" s="774" t="s">
        <v>17</v>
      </c>
      <c r="U17" s="775">
        <f>H17</f>
        <v>100</v>
      </c>
      <c r="V17" s="774" t="s">
        <v>17</v>
      </c>
      <c r="W17" s="775">
        <f>J17</f>
        <v>100</v>
      </c>
      <c r="X17" s="1816"/>
      <c r="Y17" s="3165"/>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71.25">
      <c r="A19" s="428"/>
      <c r="B19" s="451" t="s">
        <v>2692</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5"/>
      <c r="Q19" s="1813" t="str">
        <f>B19</f>
        <v>办公集聚程度</v>
      </c>
      <c r="R19" s="774" t="s">
        <v>17</v>
      </c>
      <c r="S19" s="775">
        <f>F19</f>
        <v>100</v>
      </c>
      <c r="T19" s="774" t="s">
        <v>17</v>
      </c>
      <c r="U19" s="775">
        <f>H19</f>
        <v>100</v>
      </c>
      <c r="V19" s="774" t="s">
        <v>17</v>
      </c>
      <c r="W19" s="775">
        <f>J19</f>
        <v>100</v>
      </c>
      <c r="X19" s="1816"/>
      <c r="Y19" s="3165"/>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65"/>
      <c r="Q20" s="1813"/>
      <c r="R20" s="774"/>
      <c r="S20" s="775"/>
      <c r="T20" s="774"/>
      <c r="U20" s="775"/>
      <c r="V20" s="774"/>
      <c r="W20" s="775"/>
      <c r="X20" s="1816"/>
      <c r="Y20" s="3165"/>
      <c r="Z20" s="1817"/>
      <c r="AA20" s="1814">
        <v>1</v>
      </c>
      <c r="AB20" s="1814">
        <v>1</v>
      </c>
      <c r="AC20" s="1814">
        <v>1</v>
      </c>
    </row>
    <row r="21" spans="1:29" ht="85.5">
      <c r="A21" s="428"/>
      <c r="B21" s="451" t="s">
        <v>2714</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5"/>
      <c r="Q21" s="1813" t="str">
        <f>B21</f>
        <v>交通便捷度</v>
      </c>
      <c r="R21" s="774" t="s">
        <v>17</v>
      </c>
      <c r="S21" s="775">
        <f>F21</f>
        <v>100</v>
      </c>
      <c r="T21" s="774" t="s">
        <v>17</v>
      </c>
      <c r="U21" s="775">
        <f>H21</f>
        <v>100</v>
      </c>
      <c r="V21" s="774" t="s">
        <v>17</v>
      </c>
      <c r="W21" s="775">
        <f>J21</f>
        <v>100</v>
      </c>
      <c r="X21" s="1816"/>
      <c r="Y21" s="3165"/>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5"/>
      <c r="Q23" s="1813" t="str">
        <f t="shared" ref="Q23:Q37" si="8">B23</f>
        <v>区域土地利用方向</v>
      </c>
      <c r="R23" s="774" t="s">
        <v>17</v>
      </c>
      <c r="S23" s="775">
        <f>F23</f>
        <v>100</v>
      </c>
      <c r="T23" s="774" t="s">
        <v>17</v>
      </c>
      <c r="U23" s="775">
        <f>H23</f>
        <v>100</v>
      </c>
      <c r="V23" s="774" t="s">
        <v>17</v>
      </c>
      <c r="W23" s="775">
        <f>J23</f>
        <v>100</v>
      </c>
      <c r="X23" s="1816"/>
      <c r="Y23" s="3165"/>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65"/>
      <c r="Q24" s="1813"/>
      <c r="R24" s="774"/>
      <c r="S24" s="775"/>
      <c r="T24" s="774"/>
      <c r="U24" s="775"/>
      <c r="V24" s="774"/>
      <c r="W24" s="775"/>
      <c r="X24" s="1816"/>
      <c r="Y24" s="3165"/>
      <c r="Z24" s="1817"/>
      <c r="AA24" s="1814"/>
      <c r="AB24" s="1814"/>
      <c r="AC24" s="1814"/>
    </row>
    <row r="25" spans="1:29" ht="57">
      <c r="A25" s="404"/>
      <c r="B25" s="1387" t="s">
        <v>2754</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5"/>
      <c r="Q25" s="1813" t="str">
        <f t="shared" si="8"/>
        <v>自然及人文环境状况</v>
      </c>
      <c r="R25" s="774" t="s">
        <v>17</v>
      </c>
      <c r="S25" s="775">
        <f>F25</f>
        <v>100</v>
      </c>
      <c r="T25" s="774" t="s">
        <v>17</v>
      </c>
      <c r="U25" s="775">
        <f>H25</f>
        <v>100</v>
      </c>
      <c r="V25" s="774" t="s">
        <v>17</v>
      </c>
      <c r="W25" s="775">
        <f>J25</f>
        <v>100</v>
      </c>
      <c r="X25" s="1816"/>
      <c r="Y25" s="3165"/>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65"/>
      <c r="Q26" s="1813"/>
      <c r="R26" s="774"/>
      <c r="S26" s="775"/>
      <c r="T26" s="774"/>
      <c r="U26" s="775"/>
      <c r="V26" s="774"/>
      <c r="W26" s="775"/>
      <c r="X26" s="1816"/>
      <c r="Y26" s="3165"/>
      <c r="Z26" s="1817"/>
      <c r="AA26" s="1814">
        <v>1</v>
      </c>
      <c r="AB26" s="1814">
        <v>1</v>
      </c>
      <c r="AC26" s="1814">
        <v>1</v>
      </c>
    </row>
    <row r="27" spans="1:29" s="117" customFormat="1" ht="42.75">
      <c r="A27" s="649"/>
      <c r="B27" s="1387" t="s">
        <v>2659</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5"/>
      <c r="Q27" s="1798" t="str">
        <f t="shared" si="8"/>
        <v>公共配套设施</v>
      </c>
      <c r="R27" s="770" t="s">
        <v>17</v>
      </c>
      <c r="S27" s="771">
        <f>F27</f>
        <v>100</v>
      </c>
      <c r="T27" s="770" t="s">
        <v>17</v>
      </c>
      <c r="U27" s="771">
        <f>H27</f>
        <v>100</v>
      </c>
      <c r="V27" s="770" t="s">
        <v>17</v>
      </c>
      <c r="W27" s="771">
        <f>J27</f>
        <v>100</v>
      </c>
      <c r="X27" s="772"/>
      <c r="Y27" s="3165"/>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65"/>
      <c r="Q28" s="1798"/>
      <c r="R28" s="770"/>
      <c r="S28" s="771"/>
      <c r="T28" s="770"/>
      <c r="U28" s="771"/>
      <c r="V28" s="770"/>
      <c r="W28" s="771"/>
      <c r="X28" s="772"/>
      <c r="Y28" s="3165"/>
      <c r="Z28" s="55"/>
      <c r="AA28" s="1814">
        <v>1</v>
      </c>
      <c r="AB28" s="1814">
        <v>1</v>
      </c>
      <c r="AC28" s="1814">
        <v>1</v>
      </c>
    </row>
    <row r="29" spans="1:29" s="117" customFormat="1" ht="28.5">
      <c r="A29" s="649"/>
      <c r="B29" s="1387" t="s">
        <v>2660</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5"/>
      <c r="Q29" s="1798"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65"/>
      <c r="Q30" s="1798"/>
      <c r="R30" s="770"/>
      <c r="S30" s="771"/>
      <c r="T30" s="770"/>
      <c r="U30" s="771"/>
      <c r="V30" s="770"/>
      <c r="W30" s="771"/>
      <c r="X30" s="772"/>
      <c r="Y30" s="3165"/>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5"/>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5"/>
      <c r="Q32" s="1813" t="str">
        <f t="shared" si="8"/>
        <v>毗邻道路的类型与等级</v>
      </c>
      <c r="R32" s="774" t="s">
        <v>17</v>
      </c>
      <c r="S32" s="775">
        <f t="shared" si="10"/>
        <v>100</v>
      </c>
      <c r="T32" s="774" t="s">
        <v>17</v>
      </c>
      <c r="U32" s="775">
        <f t="shared" si="11"/>
        <v>100</v>
      </c>
      <c r="V32" s="774" t="s">
        <v>17</v>
      </c>
      <c r="W32" s="775">
        <f t="shared" si="12"/>
        <v>100</v>
      </c>
      <c r="X32" s="1816"/>
      <c r="Y32" s="3165"/>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65"/>
      <c r="Q33" s="1813"/>
      <c r="R33" s="774"/>
      <c r="S33" s="775"/>
      <c r="T33" s="774"/>
      <c r="U33" s="775"/>
      <c r="V33" s="774"/>
      <c r="W33" s="775"/>
      <c r="X33" s="1816"/>
      <c r="Y33" s="3165"/>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5"/>
      <c r="Q34" s="1813" t="str">
        <f t="shared" si="8"/>
        <v>土地级别</v>
      </c>
      <c r="R34" s="774" t="s">
        <v>17</v>
      </c>
      <c r="S34" s="775">
        <f t="shared" si="10"/>
        <v>100</v>
      </c>
      <c r="T34" s="774" t="s">
        <v>17</v>
      </c>
      <c r="U34" s="775">
        <f t="shared" si="11"/>
        <v>100</v>
      </c>
      <c r="V34" s="774" t="s">
        <v>17</v>
      </c>
      <c r="W34" s="775">
        <f t="shared" si="12"/>
        <v>100</v>
      </c>
      <c r="X34" s="1816"/>
      <c r="Y34" s="316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5"/>
      <c r="Q35" s="1813">
        <f t="shared" si="8"/>
        <v>111</v>
      </c>
      <c r="R35" s="774" t="s">
        <v>17</v>
      </c>
      <c r="S35" s="775">
        <f t="shared" si="10"/>
        <v>100</v>
      </c>
      <c r="T35" s="774" t="s">
        <v>17</v>
      </c>
      <c r="U35" s="775">
        <f t="shared" si="11"/>
        <v>100</v>
      </c>
      <c r="V35" s="774" t="s">
        <v>17</v>
      </c>
      <c r="W35" s="775">
        <f t="shared" si="12"/>
        <v>100</v>
      </c>
      <c r="X35" s="1816"/>
      <c r="Y35" s="316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6" t="s">
        <v>2570</v>
      </c>
      <c r="Q36" s="1813">
        <f t="shared" si="8"/>
        <v>111</v>
      </c>
      <c r="R36" s="774" t="s">
        <v>17</v>
      </c>
      <c r="S36" s="775">
        <f t="shared" si="10"/>
        <v>100</v>
      </c>
      <c r="T36" s="774" t="s">
        <v>17</v>
      </c>
      <c r="U36" s="775">
        <f t="shared" si="11"/>
        <v>100</v>
      </c>
      <c r="V36" s="774" t="s">
        <v>17</v>
      </c>
      <c r="W36" s="775">
        <f t="shared" si="12"/>
        <v>100</v>
      </c>
      <c r="X36" s="1816"/>
      <c r="Y36" s="3167"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3">
        <f t="shared" si="8"/>
        <v>111</v>
      </c>
      <c r="R37" s="777" t="s">
        <v>17</v>
      </c>
      <c r="S37" s="778">
        <f t="shared" si="10"/>
        <v>100</v>
      </c>
      <c r="T37" s="777" t="s">
        <v>17</v>
      </c>
      <c r="U37" s="778">
        <f t="shared" si="11"/>
        <v>100</v>
      </c>
      <c r="V37" s="777" t="s">
        <v>17</v>
      </c>
      <c r="W37" s="778">
        <f t="shared" si="12"/>
        <v>100</v>
      </c>
      <c r="X37" s="779"/>
      <c r="Y37" s="3167"/>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7"/>
      <c r="Q38" s="1813" t="str">
        <f>B38</f>
        <v>宗地面积</v>
      </c>
      <c r="R38" s="774" t="s">
        <v>17</v>
      </c>
      <c r="S38" s="775" t="e">
        <f t="shared" si="10"/>
        <v>#N/A</v>
      </c>
      <c r="T38" s="774" t="s">
        <v>17</v>
      </c>
      <c r="U38" s="775" t="e">
        <f t="shared" si="11"/>
        <v>#N/A</v>
      </c>
      <c r="V38" s="774" t="s">
        <v>17</v>
      </c>
      <c r="W38" s="775" t="e">
        <f t="shared" si="12"/>
        <v>#N/A</v>
      </c>
      <c r="X38" s="1816"/>
      <c r="Y38" s="3167"/>
      <c r="Z38" s="1817" t="str">
        <f t="shared" si="13"/>
        <v>宗地面积</v>
      </c>
      <c r="AA38" s="1814" t="e">
        <f t="shared" si="3"/>
        <v>#N/A</v>
      </c>
      <c r="AB38" s="1814" t="e">
        <f t="shared" si="4"/>
        <v>#N/A</v>
      </c>
      <c r="AC38" s="1814" t="e">
        <f t="shared" si="5"/>
        <v>#N/A</v>
      </c>
    </row>
    <row r="39" spans="1:29" ht="15">
      <c r="A39" s="472"/>
      <c r="B39" s="422" t="s">
        <v>2757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67"/>
      <c r="Q39" s="1813" t="str">
        <f t="shared" ref="Q39:Q45" si="14">B39</f>
        <v>宗地形状</v>
      </c>
      <c r="R39" s="774" t="s">
        <v>17</v>
      </c>
      <c r="S39" s="775">
        <f t="shared" si="10"/>
        <v>100</v>
      </c>
      <c r="T39" s="774" t="s">
        <v>17</v>
      </c>
      <c r="U39" s="775">
        <f t="shared" si="11"/>
        <v>100</v>
      </c>
      <c r="V39" s="774" t="s">
        <v>17</v>
      </c>
      <c r="W39" s="775">
        <f t="shared" si="12"/>
        <v>100</v>
      </c>
      <c r="X39" s="1816"/>
      <c r="Y39" s="3167"/>
      <c r="Z39" s="1817" t="str">
        <f t="shared" si="13"/>
        <v>宗地形状</v>
      </c>
      <c r="AA39" s="1814">
        <f t="shared" si="3"/>
        <v>1</v>
      </c>
      <c r="AB39" s="1814">
        <f t="shared" si="4"/>
        <v>1</v>
      </c>
      <c r="AC39" s="1814">
        <f t="shared" si="5"/>
        <v>1</v>
      </c>
    </row>
    <row r="40" spans="1:29" ht="15">
      <c r="A40" s="472"/>
      <c r="B40" s="422" t="s">
        <v>2758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67"/>
      <c r="Q40" s="1813" t="str">
        <f t="shared" si="14"/>
        <v>临街宽度及深度</v>
      </c>
      <c r="R40" s="774" t="s">
        <v>17</v>
      </c>
      <c r="S40" s="775">
        <f t="shared" si="10"/>
        <v>100</v>
      </c>
      <c r="T40" s="774" t="s">
        <v>17</v>
      </c>
      <c r="U40" s="775">
        <f t="shared" si="11"/>
        <v>100</v>
      </c>
      <c r="V40" s="774" t="s">
        <v>17</v>
      </c>
      <c r="W40" s="775">
        <f t="shared" si="12"/>
        <v>100</v>
      </c>
      <c r="X40" s="1816"/>
      <c r="Y40" s="3167"/>
      <c r="Z40" s="1817" t="str">
        <f t="shared" si="13"/>
        <v>临街宽度及深度</v>
      </c>
      <c r="AA40" s="1814">
        <f t="shared" si="3"/>
        <v>1</v>
      </c>
      <c r="AB40" s="1814">
        <f t="shared" si="4"/>
        <v>1</v>
      </c>
      <c r="AC40" s="1814">
        <f t="shared" si="5"/>
        <v>1</v>
      </c>
    </row>
    <row r="41" spans="1:29" s="117" customFormat="1" ht="15">
      <c r="A41" s="473"/>
      <c r="B41" s="422" t="s">
        <v>2759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7"/>
      <c r="Q41" s="1813"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
      <c r="A42" s="472"/>
      <c r="B42" s="422" t="s">
        <v>2760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67" t="s">
        <v>2570</v>
      </c>
      <c r="Q42" s="1813" t="str">
        <f t="shared" si="14"/>
        <v>工程地质条件</v>
      </c>
      <c r="R42" s="774" t="s">
        <v>17</v>
      </c>
      <c r="S42" s="775">
        <f t="shared" si="10"/>
        <v>100</v>
      </c>
      <c r="T42" s="774" t="s">
        <v>17</v>
      </c>
      <c r="U42" s="775">
        <f t="shared" si="11"/>
        <v>100</v>
      </c>
      <c r="V42" s="774" t="s">
        <v>17</v>
      </c>
      <c r="W42" s="775">
        <f t="shared" si="12"/>
        <v>100</v>
      </c>
      <c r="X42" s="1816"/>
      <c r="Y42" s="3167"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3">
        <f t="shared" si="14"/>
        <v>111</v>
      </c>
      <c r="R43" s="774" t="s">
        <v>17</v>
      </c>
      <c r="S43" s="775">
        <f t="shared" si="10"/>
        <v>100</v>
      </c>
      <c r="T43" s="774" t="s">
        <v>17</v>
      </c>
      <c r="U43" s="775">
        <f t="shared" si="11"/>
        <v>100</v>
      </c>
      <c r="V43" s="774" t="s">
        <v>17</v>
      </c>
      <c r="W43" s="775">
        <f t="shared" si="12"/>
        <v>100</v>
      </c>
      <c r="X43" s="1816"/>
      <c r="Y43" s="316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3">
        <f t="shared" si="14"/>
        <v>111</v>
      </c>
      <c r="R44" s="774" t="s">
        <v>17</v>
      </c>
      <c r="S44" s="775">
        <f t="shared" si="10"/>
        <v>100</v>
      </c>
      <c r="T44" s="774" t="s">
        <v>17</v>
      </c>
      <c r="U44" s="775">
        <f t="shared" si="11"/>
        <v>100</v>
      </c>
      <c r="V44" s="774" t="s">
        <v>17</v>
      </c>
      <c r="W44" s="775">
        <f t="shared" si="12"/>
        <v>100</v>
      </c>
      <c r="X44" s="1816"/>
      <c r="Y44" s="3167"/>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3">
        <f t="shared" si="14"/>
        <v>111</v>
      </c>
      <c r="R45" s="777" t="s">
        <v>17</v>
      </c>
      <c r="S45" s="778">
        <f t="shared" si="10"/>
        <v>100</v>
      </c>
      <c r="T45" s="777" t="s">
        <v>17</v>
      </c>
      <c r="U45" s="778">
        <f t="shared" si="11"/>
        <v>100</v>
      </c>
      <c r="V45" s="777" t="s">
        <v>17</v>
      </c>
      <c r="W45" s="778">
        <f t="shared" si="12"/>
        <v>100</v>
      </c>
      <c r="X45" s="779"/>
      <c r="Y45" s="3167"/>
      <c r="Z45" s="780">
        <f t="shared" si="13"/>
        <v>111</v>
      </c>
      <c r="AA45" s="1814">
        <f t="shared" si="3"/>
        <v>1</v>
      </c>
      <c r="AB45" s="1814">
        <f t="shared" si="4"/>
        <v>1</v>
      </c>
      <c r="AC45" s="1814">
        <f t="shared" si="5"/>
        <v>1</v>
      </c>
    </row>
    <row r="46" spans="1:29" ht="15">
      <c r="A46" s="479" t="s">
        <v>2725</v>
      </c>
      <c r="B46" s="2710" t="s">
        <v>2761</v>
      </c>
      <c r="C46" s="682" t="s">
        <v>1</v>
      </c>
      <c r="D46" s="481"/>
      <c r="E46" s="482"/>
      <c r="F46" s="483"/>
      <c r="G46" s="484"/>
      <c r="H46" s="485"/>
      <c r="I46" s="482"/>
      <c r="J46" s="485"/>
      <c r="K46" s="783"/>
      <c r="L46" s="1146"/>
      <c r="M46" s="1147"/>
      <c r="N46" s="1134"/>
      <c r="O46" s="1147"/>
      <c r="P46" s="3159" t="str">
        <f>A46</f>
        <v>成交单价</v>
      </c>
      <c r="Q46" s="3159"/>
      <c r="R46" s="3188">
        <f>E46</f>
        <v>0</v>
      </c>
      <c r="S46" s="3188"/>
      <c r="T46" s="3188">
        <f>G46</f>
        <v>0</v>
      </c>
      <c r="U46" s="3188"/>
      <c r="V46" s="3188">
        <f>I46</f>
        <v>0</v>
      </c>
      <c r="W46" s="3188"/>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59" t="str">
        <f>A47</f>
        <v>比较价值（元/平方米）</v>
      </c>
      <c r="Q47" s="3159"/>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61" t="str">
        <f>A48</f>
        <v>估价对象XX用房的比较价值（楼面单价，元/平方米）</v>
      </c>
      <c r="Q48" s="3162"/>
      <c r="R48" s="3274" t="e">
        <f>ROUND(AVERAGE(R47:V47),0)</f>
        <v>#DIV/0!</v>
      </c>
      <c r="S48" s="3274"/>
      <c r="T48" s="3274"/>
      <c r="U48" s="3274"/>
      <c r="V48" s="3274"/>
      <c r="W48" s="327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1" t="s">
        <v>2765</v>
      </c>
      <c r="D55" s="2712" t="s">
        <v>2766</v>
      </c>
      <c r="E55" s="686" t="s">
        <v>2767</v>
      </c>
      <c r="F55" s="1110" t="s">
        <v>2768</v>
      </c>
      <c r="G55" s="3172" t="s">
        <v>2769</v>
      </c>
      <c r="H55" s="3275"/>
      <c r="I55" s="144" t="s">
        <v>2770</v>
      </c>
      <c r="J55" s="2713">
        <f>项目基本情况!F35</f>
        <v>0</v>
      </c>
      <c r="K55" s="2714" t="s">
        <v>2771</v>
      </c>
      <c r="L55" s="1109"/>
      <c r="M55" s="1147"/>
      <c r="N55" s="1147"/>
      <c r="O55" s="1147"/>
    </row>
    <row r="56" spans="1:15" s="692" customFormat="1">
      <c r="A56" s="688" t="s">
        <v>2772</v>
      </c>
      <c r="B56" s="689" t="e">
        <f>C48</f>
        <v>#DIV/0!</v>
      </c>
      <c r="C56" s="690">
        <v>1</v>
      </c>
      <c r="D56" s="1166">
        <v>1</v>
      </c>
      <c r="E56" s="690">
        <f>'数据-汇总表'!E8+'数据-汇总表'!E9</f>
        <v>1307.9000000000001</v>
      </c>
      <c r="F56" s="1106" t="e">
        <f t="shared" ref="F56:F65" si="15">ROUND(B56*E56/10000,0)</f>
        <v>#DIV/0!</v>
      </c>
      <c r="G56" s="3205"/>
      <c r="H56" s="3159"/>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76"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76"/>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76"/>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76"/>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5"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0.2</v>
      </c>
      <c r="D63" s="1167">
        <v>0.25</v>
      </c>
      <c r="E63" s="261">
        <f>'数据-汇总表'!E13</f>
        <v>0</v>
      </c>
      <c r="F63" s="1106" t="e">
        <f t="shared" si="15"/>
        <v>#DIV/0!</v>
      </c>
      <c r="G63" s="1112" t="s">
        <v>2783</v>
      </c>
      <c r="H63" s="1107" t="str">
        <f>IF(G63="商业",项目基本情况!B37,IF(G63="办公",项目基本情况!C37,IF(G63="住宅",项目基本情况!D37,项目基本情况!E37)))</f>
        <v>七级</v>
      </c>
      <c r="I63" s="1111">
        <f>SUMIF(修正!A45:A56,H63,修正!H45:H56)</f>
        <v>0.2</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5"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6"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1307.9000000000001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7" t="s">
        <v>2787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8" t="s">
        <v>2788</v>
      </c>
      <c r="B71" s="332" t="str">
        <f>"北京市平均增长率"&amp;TEXT(SUMIF(基准地价修正!N21:N25,A71,基准地价修正!P21:P25),"0.00%")</f>
        <v>北京市平均增长率2.59%</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72" t="s">
        <v>2651</v>
      </c>
      <c r="D4" s="3173"/>
      <c r="E4" s="3174" t="s">
        <v>2652</v>
      </c>
      <c r="F4" s="3175"/>
      <c r="G4" s="3172" t="s">
        <v>2653</v>
      </c>
      <c r="H4" s="3173"/>
      <c r="I4" s="3172" t="s">
        <v>2654</v>
      </c>
      <c r="J4" s="3173"/>
      <c r="K4" s="610" t="s">
        <v>2655</v>
      </c>
      <c r="L4" s="1133"/>
      <c r="M4" s="1134"/>
      <c r="N4" s="1134"/>
      <c r="O4" s="1134"/>
      <c r="P4" s="3176" t="s">
        <v>2656</v>
      </c>
      <c r="Q4" s="3177"/>
      <c r="R4" s="3182" t="s">
        <v>2652</v>
      </c>
      <c r="S4" s="3183"/>
      <c r="T4" s="3182" t="s">
        <v>2653</v>
      </c>
      <c r="U4" s="3183"/>
      <c r="V4" s="3188" t="s">
        <v>2654</v>
      </c>
      <c r="W4" s="3188"/>
      <c r="X4" s="1816"/>
      <c r="Y4" s="3182" t="s">
        <v>2656</v>
      </c>
      <c r="Z4" s="3183"/>
      <c r="AA4" s="3169" t="s">
        <v>2652</v>
      </c>
      <c r="AB4" s="3170" t="s">
        <v>2653</v>
      </c>
      <c r="AC4" s="3169" t="s">
        <v>2654</v>
      </c>
    </row>
    <row r="5" spans="1:29" ht="15">
      <c r="A5" s="404"/>
      <c r="B5" s="405"/>
      <c r="C5" s="3206" t="s">
        <v>2547</v>
      </c>
      <c r="D5" s="3192"/>
      <c r="E5" s="3257" t="s">
        <v>2548</v>
      </c>
      <c r="F5" s="3199"/>
      <c r="G5" s="3206" t="s">
        <v>2549</v>
      </c>
      <c r="H5" s="3192"/>
      <c r="I5" s="3206" t="s">
        <v>2550</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277" t="s">
        <v>2802</v>
      </c>
      <c r="D6" s="3278"/>
      <c r="E6" s="3279" t="s">
        <v>2802</v>
      </c>
      <c r="F6" s="3280"/>
      <c r="G6" s="3277" t="s">
        <v>2802</v>
      </c>
      <c r="H6" s="3278"/>
      <c r="I6" s="3277" t="s">
        <v>2802</v>
      </c>
      <c r="J6" s="3278"/>
      <c r="K6" s="610" t="s">
        <v>2552</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2553</v>
      </c>
      <c r="B7" s="409"/>
      <c r="C7" s="410">
        <f>'数据-取费表'!B2</f>
        <v>43220</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3" t="s">
        <v>2554</v>
      </c>
      <c r="Q7" s="3195"/>
      <c r="R7" s="770" t="s">
        <v>17</v>
      </c>
      <c r="S7" s="771">
        <f t="shared" ref="S7:S15" si="0">F7</f>
        <v>0</v>
      </c>
      <c r="T7" s="770" t="s">
        <v>17</v>
      </c>
      <c r="U7" s="771">
        <f t="shared" ref="U7:U15" si="1">H7</f>
        <v>0</v>
      </c>
      <c r="V7" s="770" t="s">
        <v>17</v>
      </c>
      <c r="W7" s="771">
        <f t="shared" ref="W7:W15" si="2">J7</f>
        <v>0</v>
      </c>
      <c r="X7" s="772"/>
      <c r="Y7" s="3193" t="s">
        <v>2554</v>
      </c>
      <c r="Z7" s="3194"/>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2557</v>
      </c>
      <c r="Q8" s="3194"/>
      <c r="R8" s="770" t="s">
        <v>17</v>
      </c>
      <c r="S8" s="771">
        <f t="shared" si="0"/>
        <v>0</v>
      </c>
      <c r="T8" s="770" t="s">
        <v>17</v>
      </c>
      <c r="U8" s="771">
        <f t="shared" si="1"/>
        <v>0</v>
      </c>
      <c r="V8" s="770" t="s">
        <v>17</v>
      </c>
      <c r="W8" s="771">
        <f t="shared" si="2"/>
        <v>0</v>
      </c>
      <c r="X8" s="772"/>
      <c r="Y8" s="3193" t="s">
        <v>2557</v>
      </c>
      <c r="Z8" s="3194"/>
      <c r="AA8" s="773" t="e">
        <f t="shared" ref="AA8:AA40" si="3">D8/F8</f>
        <v>#DIV/0!</v>
      </c>
      <c r="AB8" s="773" t="e">
        <f t="shared" ref="AB8:AB40" si="4">D8/H8</f>
        <v>#DIV/0!</v>
      </c>
      <c r="AC8" s="773" t="e">
        <f t="shared" ref="AC8:AC40" si="5">D8/J8</f>
        <v>#DIV/0!</v>
      </c>
    </row>
    <row r="9" spans="1:29" s="117" customFormat="1">
      <c r="A9" s="415" t="s">
        <v>2558</v>
      </c>
      <c r="B9" s="71" t="s">
        <v>2559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9"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143</v>
      </c>
      <c r="G10" s="432"/>
      <c r="H10" s="136">
        <f>ROUND(100/'数据-取费表'!G16,0)</f>
        <v>143</v>
      </c>
      <c r="I10" s="432"/>
      <c r="J10" s="136">
        <f>ROUND(100/'数据-取费表'!G16,0)</f>
        <v>143</v>
      </c>
      <c r="K10" s="672"/>
      <c r="L10" s="1138"/>
      <c r="M10" s="1139"/>
      <c r="N10" s="1139"/>
      <c r="O10" s="1140"/>
      <c r="P10" s="3159"/>
      <c r="Q10" s="1798" t="str">
        <f t="shared" si="6"/>
        <v>土地使用年限（年）</v>
      </c>
      <c r="R10" s="770" t="s">
        <v>17</v>
      </c>
      <c r="S10" s="771">
        <f t="shared" si="0"/>
        <v>143</v>
      </c>
      <c r="T10" s="770" t="s">
        <v>17</v>
      </c>
      <c r="U10" s="771">
        <f t="shared" si="1"/>
        <v>143</v>
      </c>
      <c r="V10" s="770" t="s">
        <v>17</v>
      </c>
      <c r="W10" s="771">
        <f t="shared" si="2"/>
        <v>143</v>
      </c>
      <c r="X10" s="772"/>
      <c r="Y10" s="3017"/>
      <c r="Z10" s="55" t="str">
        <f t="shared" si="7"/>
        <v>土地使用年限（年）</v>
      </c>
      <c r="AA10" s="773">
        <f t="shared" si="3"/>
        <v>0.69930069930069927</v>
      </c>
      <c r="AB10" s="773">
        <f t="shared" si="4"/>
        <v>0.69930069930069927</v>
      </c>
      <c r="AC10" s="773">
        <f t="shared" si="5"/>
        <v>0.69930069930069927</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2564</v>
      </c>
      <c r="B15" s="629" t="s">
        <v>2803</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4" t="s">
        <v>2565</v>
      </c>
      <c r="Q15" s="1813" t="str">
        <f t="shared" si="6"/>
        <v>产业集聚程度</v>
      </c>
      <c r="R15" s="774" t="s">
        <v>17</v>
      </c>
      <c r="S15" s="775">
        <f t="shared" si="0"/>
        <v>100</v>
      </c>
      <c r="T15" s="774" t="s">
        <v>17</v>
      </c>
      <c r="U15" s="775">
        <f t="shared" si="1"/>
        <v>100</v>
      </c>
      <c r="V15" s="774" t="s">
        <v>17</v>
      </c>
      <c r="W15" s="775">
        <f t="shared" si="2"/>
        <v>100</v>
      </c>
      <c r="X15" s="1816"/>
      <c r="Y15" s="3164" t="s">
        <v>2565</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85.5">
      <c r="A17" s="428"/>
      <c r="B17" s="631" t="s">
        <v>2714</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15">
      <c r="A19" s="428"/>
      <c r="B19" s="631" t="s">
        <v>2753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5"/>
      <c r="Q19" s="1813" t="str">
        <f t="shared" ref="Q19:Q33" si="8">B19</f>
        <v>区域土地利用方向</v>
      </c>
      <c r="R19" s="774" t="s">
        <v>17</v>
      </c>
      <c r="S19" s="775">
        <f>F19</f>
        <v>100</v>
      </c>
      <c r="T19" s="774" t="s">
        <v>17</v>
      </c>
      <c r="U19" s="775">
        <f>H19</f>
        <v>100</v>
      </c>
      <c r="V19" s="774" t="s">
        <v>17</v>
      </c>
      <c r="W19" s="775">
        <f>J19</f>
        <v>100</v>
      </c>
      <c r="X19" s="1816"/>
      <c r="Y19" s="3165"/>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65"/>
      <c r="Q20" s="1813"/>
      <c r="R20" s="774"/>
      <c r="S20" s="775"/>
      <c r="T20" s="774"/>
      <c r="U20" s="775"/>
      <c r="V20" s="774"/>
      <c r="W20" s="775"/>
      <c r="X20" s="1816"/>
      <c r="Y20" s="3165"/>
      <c r="Z20" s="1817"/>
      <c r="AA20" s="1814"/>
      <c r="AB20" s="1814"/>
      <c r="AC20" s="1814"/>
    </row>
    <row r="21" spans="1:29" ht="71.25">
      <c r="A21" s="404"/>
      <c r="B21" s="631" t="s">
        <v>2804</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5"/>
      <c r="Q21" s="1813" t="str">
        <f t="shared" si="8"/>
        <v>环境状况</v>
      </c>
      <c r="R21" s="774" t="s">
        <v>17</v>
      </c>
      <c r="S21" s="775">
        <f>F21</f>
        <v>100</v>
      </c>
      <c r="T21" s="774" t="s">
        <v>17</v>
      </c>
      <c r="U21" s="775">
        <f>H21</f>
        <v>100</v>
      </c>
      <c r="V21" s="774" t="s">
        <v>17</v>
      </c>
      <c r="W21" s="775">
        <f>J21</f>
        <v>100</v>
      </c>
      <c r="X21" s="1816"/>
      <c r="Y21" s="3165"/>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s="117" customFormat="1" ht="42.75">
      <c r="A23" s="649"/>
      <c r="B23" s="633" t="s">
        <v>2659</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5"/>
      <c r="Q23" s="1798" t="str">
        <f t="shared" si="8"/>
        <v>公共配套设施</v>
      </c>
      <c r="R23" s="770" t="s">
        <v>17</v>
      </c>
      <c r="S23" s="771">
        <f>F23</f>
        <v>100</v>
      </c>
      <c r="T23" s="770" t="s">
        <v>17</v>
      </c>
      <c r="U23" s="771">
        <f>H23</f>
        <v>100</v>
      </c>
      <c r="V23" s="770" t="s">
        <v>17</v>
      </c>
      <c r="W23" s="771">
        <f>J23</f>
        <v>100</v>
      </c>
      <c r="X23" s="772"/>
      <c r="Y23" s="3165"/>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65"/>
      <c r="Q24" s="1798"/>
      <c r="R24" s="770"/>
      <c r="S24" s="771"/>
      <c r="T24" s="770"/>
      <c r="U24" s="771"/>
      <c r="V24" s="770"/>
      <c r="W24" s="771"/>
      <c r="X24" s="772"/>
      <c r="Y24" s="3165"/>
      <c r="Z24" s="55"/>
      <c r="AA24" s="773">
        <v>1</v>
      </c>
      <c r="AB24" s="773">
        <v>1</v>
      </c>
      <c r="AC24" s="773">
        <v>1</v>
      </c>
    </row>
    <row r="25" spans="1:29" s="117" customFormat="1" ht="28.5">
      <c r="A25" s="649"/>
      <c r="B25" s="633" t="s">
        <v>2660</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5"/>
      <c r="Q25" s="1798"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65"/>
      <c r="Q26" s="1798"/>
      <c r="R26" s="770"/>
      <c r="S26" s="771"/>
      <c r="T26" s="770"/>
      <c r="U26" s="771"/>
      <c r="V26" s="770"/>
      <c r="W26" s="771"/>
      <c r="X26" s="772"/>
      <c r="Y26" s="3165"/>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5"/>
      <c r="Z27" s="1817" t="str">
        <f t="shared" ref="Z27:Z40" si="13">Q27</f>
        <v>临街状况</v>
      </c>
      <c r="AA27" s="1814">
        <f t="shared" si="3"/>
        <v>1</v>
      </c>
      <c r="AB27" s="1814">
        <f t="shared" si="4"/>
        <v>1</v>
      </c>
      <c r="AC27" s="1814">
        <f t="shared" si="5"/>
        <v>1</v>
      </c>
    </row>
    <row r="28" spans="1:29" ht="27">
      <c r="A28" s="428"/>
      <c r="B28" s="633" t="s">
        <v>2696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5"/>
      <c r="Q28" s="1813" t="str">
        <f t="shared" si="8"/>
        <v>毗邻道路的类型与等级</v>
      </c>
      <c r="R28" s="774" t="s">
        <v>17</v>
      </c>
      <c r="S28" s="775">
        <f t="shared" si="10"/>
        <v>100</v>
      </c>
      <c r="T28" s="774" t="s">
        <v>17</v>
      </c>
      <c r="U28" s="775">
        <f t="shared" si="11"/>
        <v>100</v>
      </c>
      <c r="V28" s="774" t="s">
        <v>17</v>
      </c>
      <c r="W28" s="775">
        <f t="shared" si="12"/>
        <v>100</v>
      </c>
      <c r="X28" s="1816"/>
      <c r="Y28" s="3165"/>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65"/>
      <c r="Q29" s="1813"/>
      <c r="R29" s="774"/>
      <c r="S29" s="775"/>
      <c r="T29" s="774"/>
      <c r="U29" s="775"/>
      <c r="V29" s="774"/>
      <c r="W29" s="775"/>
      <c r="X29" s="1816"/>
      <c r="Y29" s="3165"/>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5"/>
      <c r="Q30" s="1813" t="str">
        <f t="shared" si="8"/>
        <v>土地级别</v>
      </c>
      <c r="R30" s="774" t="s">
        <v>17</v>
      </c>
      <c r="S30" s="775">
        <f t="shared" si="10"/>
        <v>100</v>
      </c>
      <c r="T30" s="774" t="s">
        <v>17</v>
      </c>
      <c r="U30" s="775">
        <f t="shared" si="11"/>
        <v>100</v>
      </c>
      <c r="V30" s="774" t="s">
        <v>17</v>
      </c>
      <c r="W30" s="775">
        <f t="shared" si="12"/>
        <v>100</v>
      </c>
      <c r="X30" s="1816"/>
      <c r="Y30" s="3165"/>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5"/>
      <c r="Q31" s="1813">
        <f t="shared" si="8"/>
        <v>111</v>
      </c>
      <c r="R31" s="774" t="s">
        <v>17</v>
      </c>
      <c r="S31" s="775">
        <f t="shared" si="10"/>
        <v>100</v>
      </c>
      <c r="T31" s="774" t="s">
        <v>17</v>
      </c>
      <c r="U31" s="775">
        <f t="shared" si="11"/>
        <v>100</v>
      </c>
      <c r="V31" s="774" t="s">
        <v>17</v>
      </c>
      <c r="W31" s="775">
        <f t="shared" si="12"/>
        <v>100</v>
      </c>
      <c r="X31" s="1816"/>
      <c r="Y31" s="3165"/>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6" t="s">
        <v>2570</v>
      </c>
      <c r="Q32" s="1813">
        <f t="shared" si="8"/>
        <v>111</v>
      </c>
      <c r="R32" s="774" t="s">
        <v>17</v>
      </c>
      <c r="S32" s="775">
        <f t="shared" si="10"/>
        <v>100</v>
      </c>
      <c r="T32" s="774" t="s">
        <v>17</v>
      </c>
      <c r="U32" s="775">
        <f t="shared" si="11"/>
        <v>100</v>
      </c>
      <c r="V32" s="774" t="s">
        <v>17</v>
      </c>
      <c r="W32" s="775">
        <f t="shared" si="12"/>
        <v>100</v>
      </c>
      <c r="X32" s="1816"/>
      <c r="Y32" s="3167" t="s">
        <v>2570</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3">
        <f t="shared" si="8"/>
        <v>111</v>
      </c>
      <c r="R33" s="777" t="s">
        <v>17</v>
      </c>
      <c r="S33" s="778">
        <f t="shared" si="10"/>
        <v>100</v>
      </c>
      <c r="T33" s="777" t="s">
        <v>17</v>
      </c>
      <c r="U33" s="778">
        <f t="shared" si="11"/>
        <v>100</v>
      </c>
      <c r="V33" s="777" t="s">
        <v>17</v>
      </c>
      <c r="W33" s="778">
        <f t="shared" si="12"/>
        <v>100</v>
      </c>
      <c r="X33" s="779"/>
      <c r="Y33" s="3167"/>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7"/>
      <c r="Q34" s="1813" t="str">
        <f>B34</f>
        <v>宗地面积</v>
      </c>
      <c r="R34" s="774" t="s">
        <v>17</v>
      </c>
      <c r="S34" s="775" t="e">
        <f t="shared" si="10"/>
        <v>#N/A</v>
      </c>
      <c r="T34" s="774" t="s">
        <v>17</v>
      </c>
      <c r="U34" s="775" t="e">
        <f t="shared" si="11"/>
        <v>#N/A</v>
      </c>
      <c r="V34" s="774" t="s">
        <v>17</v>
      </c>
      <c r="W34" s="775" t="e">
        <f t="shared" si="12"/>
        <v>#N/A</v>
      </c>
      <c r="X34" s="1816"/>
      <c r="Y34" s="3167"/>
      <c r="Z34" s="1817" t="str">
        <f t="shared" si="13"/>
        <v>宗地面积</v>
      </c>
      <c r="AA34" s="1814" t="e">
        <f t="shared" si="3"/>
        <v>#N/A</v>
      </c>
      <c r="AB34" s="1814" t="e">
        <f t="shared" si="4"/>
        <v>#N/A</v>
      </c>
      <c r="AC34" s="1814" t="e">
        <f t="shared" si="5"/>
        <v>#N/A</v>
      </c>
    </row>
    <row r="35" spans="1:29" ht="15">
      <c r="A35" s="472"/>
      <c r="B35" s="422" t="s">
        <v>2757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67"/>
      <c r="Q35" s="1813" t="str">
        <f t="shared" ref="Q35:Q40" si="14">B35</f>
        <v>宗地形状</v>
      </c>
      <c r="R35" s="774" t="s">
        <v>17</v>
      </c>
      <c r="S35" s="775">
        <f t="shared" si="10"/>
        <v>100</v>
      </c>
      <c r="T35" s="774" t="s">
        <v>17</v>
      </c>
      <c r="U35" s="775">
        <f t="shared" si="11"/>
        <v>100</v>
      </c>
      <c r="V35" s="774" t="s">
        <v>17</v>
      </c>
      <c r="W35" s="775">
        <f t="shared" si="12"/>
        <v>100</v>
      </c>
      <c r="X35" s="1816"/>
      <c r="Y35" s="3167"/>
      <c r="Z35" s="1817" t="str">
        <f t="shared" si="13"/>
        <v>宗地形状</v>
      </c>
      <c r="AA35" s="1814">
        <f t="shared" si="3"/>
        <v>1</v>
      </c>
      <c r="AB35" s="1814">
        <f t="shared" si="4"/>
        <v>1</v>
      </c>
      <c r="AC35" s="1814">
        <f t="shared" si="5"/>
        <v>1</v>
      </c>
    </row>
    <row r="36" spans="1:29" s="117" customFormat="1" ht="15">
      <c r="A36" s="473"/>
      <c r="B36" s="422" t="s">
        <v>2759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7"/>
      <c r="Q36" s="1813"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
      <c r="A37" s="472"/>
      <c r="B37" s="422" t="s">
        <v>2760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67" t="s">
        <v>2570</v>
      </c>
      <c r="Q37" s="1813" t="str">
        <f t="shared" si="14"/>
        <v>工程地质条件</v>
      </c>
      <c r="R37" s="774" t="s">
        <v>17</v>
      </c>
      <c r="S37" s="775">
        <f t="shared" si="10"/>
        <v>100</v>
      </c>
      <c r="T37" s="774" t="s">
        <v>17</v>
      </c>
      <c r="U37" s="775">
        <f t="shared" si="11"/>
        <v>100</v>
      </c>
      <c r="V37" s="774" t="s">
        <v>17</v>
      </c>
      <c r="W37" s="775">
        <f t="shared" si="12"/>
        <v>100</v>
      </c>
      <c r="X37" s="1816"/>
      <c r="Y37" s="3167"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3">
        <f t="shared" si="14"/>
        <v>111</v>
      </c>
      <c r="R38" s="774" t="s">
        <v>17</v>
      </c>
      <c r="S38" s="775">
        <f t="shared" si="10"/>
        <v>100</v>
      </c>
      <c r="T38" s="774" t="s">
        <v>17</v>
      </c>
      <c r="U38" s="775">
        <f t="shared" si="11"/>
        <v>100</v>
      </c>
      <c r="V38" s="774" t="s">
        <v>17</v>
      </c>
      <c r="W38" s="775">
        <f t="shared" si="12"/>
        <v>100</v>
      </c>
      <c r="X38" s="1816"/>
      <c r="Y38" s="316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3">
        <f t="shared" si="14"/>
        <v>111</v>
      </c>
      <c r="R39" s="774" t="s">
        <v>17</v>
      </c>
      <c r="S39" s="775">
        <f t="shared" si="10"/>
        <v>100</v>
      </c>
      <c r="T39" s="774" t="s">
        <v>17</v>
      </c>
      <c r="U39" s="775">
        <f t="shared" si="11"/>
        <v>100</v>
      </c>
      <c r="V39" s="774" t="s">
        <v>17</v>
      </c>
      <c r="W39" s="775">
        <f t="shared" si="12"/>
        <v>100</v>
      </c>
      <c r="X39" s="1816"/>
      <c r="Y39" s="3167"/>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3">
        <f t="shared" si="14"/>
        <v>111</v>
      </c>
      <c r="R40" s="777" t="s">
        <v>17</v>
      </c>
      <c r="S40" s="778">
        <f t="shared" si="10"/>
        <v>100</v>
      </c>
      <c r="T40" s="777" t="s">
        <v>17</v>
      </c>
      <c r="U40" s="778">
        <f t="shared" si="11"/>
        <v>100</v>
      </c>
      <c r="V40" s="777" t="s">
        <v>17</v>
      </c>
      <c r="W40" s="778">
        <f t="shared" si="12"/>
        <v>100</v>
      </c>
      <c r="X40" s="779"/>
      <c r="Y40" s="3167"/>
      <c r="Z40" s="780">
        <f t="shared" si="13"/>
        <v>111</v>
      </c>
      <c r="AA40" s="1814">
        <f t="shared" si="3"/>
        <v>1</v>
      </c>
      <c r="AB40" s="1814">
        <f t="shared" si="4"/>
        <v>1</v>
      </c>
      <c r="AC40" s="1814">
        <f t="shared" si="5"/>
        <v>1</v>
      </c>
    </row>
    <row r="41" spans="1:29" ht="15">
      <c r="A41" s="479" t="s">
        <v>2725</v>
      </c>
      <c r="B41" s="2710" t="s">
        <v>2805</v>
      </c>
      <c r="C41" s="682" t="s">
        <v>1</v>
      </c>
      <c r="D41" s="481"/>
      <c r="E41" s="482"/>
      <c r="F41" s="483"/>
      <c r="G41" s="484"/>
      <c r="H41" s="485"/>
      <c r="I41" s="482"/>
      <c r="J41" s="485"/>
      <c r="K41" s="783"/>
      <c r="L41" s="1146"/>
      <c r="M41" s="1134"/>
      <c r="N41" s="1134"/>
      <c r="O41" s="1147"/>
      <c r="P41" s="3159" t="str">
        <f>A41</f>
        <v>成交单价</v>
      </c>
      <c r="Q41" s="3159"/>
      <c r="R41" s="3188">
        <f>E41</f>
        <v>0</v>
      </c>
      <c r="S41" s="3188"/>
      <c r="T41" s="3188">
        <f>G41</f>
        <v>0</v>
      </c>
      <c r="U41" s="3188"/>
      <c r="V41" s="3188">
        <f>I41</f>
        <v>0</v>
      </c>
      <c r="W41" s="3188"/>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59" t="str">
        <f>A42</f>
        <v>比较价值（元/平方米）</v>
      </c>
      <c r="Q42" s="3159"/>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61" t="str">
        <f>A43</f>
        <v>估价对象XX用房的比较价值（楼面单价，元/平方米）</v>
      </c>
      <c r="Q43" s="3162"/>
      <c r="R43" s="3274" t="e">
        <f>ROUND(AVERAGE(R42:V42),0)</f>
        <v>#DIV/0!</v>
      </c>
      <c r="S43" s="3274"/>
      <c r="T43" s="3274"/>
      <c r="U43" s="3274"/>
      <c r="V43" s="3274"/>
      <c r="W43" s="327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1" t="s">
        <v>2765</v>
      </c>
      <c r="D50" s="2712" t="s">
        <v>2766</v>
      </c>
      <c r="E50" s="686" t="s">
        <v>2767</v>
      </c>
      <c r="F50" s="687" t="s">
        <v>2768</v>
      </c>
      <c r="G50" s="3172" t="s">
        <v>2769</v>
      </c>
      <c r="H50" s="3275"/>
      <c r="I50" s="1817" t="s">
        <v>2806</v>
      </c>
      <c r="J50" s="1817">
        <f>项目基本情况!F35</f>
        <v>0</v>
      </c>
      <c r="K50" s="2714" t="s">
        <v>2771</v>
      </c>
      <c r="L50" s="1109"/>
      <c r="M50" s="1147"/>
      <c r="N50" s="1147"/>
      <c r="O50" s="1147"/>
    </row>
    <row r="51" spans="1:17" s="692" customFormat="1">
      <c r="A51" s="688" t="s">
        <v>2772</v>
      </c>
      <c r="B51" s="689" t="e">
        <f>C43</f>
        <v>#DIV/0!</v>
      </c>
      <c r="C51" s="690">
        <v>1</v>
      </c>
      <c r="D51" s="1166">
        <v>1</v>
      </c>
      <c r="E51" s="690">
        <f>'数据-汇总表'!E8+'数据-汇总表'!E9</f>
        <v>1307.9000000000001</v>
      </c>
      <c r="F51" s="691" t="e">
        <f t="shared" ref="F51:F60" si="15">ROUND(B51*E51/10000,0)</f>
        <v>#DIV/0!</v>
      </c>
      <c r="G51" s="3205"/>
      <c r="H51" s="3159"/>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76"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76"/>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76"/>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76"/>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5"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0.2</v>
      </c>
      <c r="D58" s="1167">
        <v>0.25</v>
      </c>
      <c r="E58" s="261">
        <f>'数据-汇总表'!E13</f>
        <v>0</v>
      </c>
      <c r="F58" s="691" t="e">
        <f t="shared" si="15"/>
        <v>#DIV/0!</v>
      </c>
      <c r="G58" s="1112" t="s">
        <v>2783</v>
      </c>
      <c r="H58" s="1107" t="str">
        <f>IF(G58="商业",项目基本情况!B37,IF(G58="办公",项目基本情况!C37,IF(G58="住宅",项目基本情况!D37,项目基本情况!E37)))</f>
        <v>七级</v>
      </c>
      <c r="I58" s="945">
        <f>SUMIF(修正!A45:A56,H58,修正!H45:H56)</f>
        <v>0.2</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5"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6"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1307.9000000000001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7" t="s">
        <v>2787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2" t="s">
        <v>2807</v>
      </c>
      <c r="B66" s="332" t="str">
        <f>"北京市平均增长率"&amp;TEXT(基准地价修正!P24,"0.00%")</f>
        <v>北京市平均增长率1.49%</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f ca="1">SUMIF(B6:B13,"&lt;&gt;#ref!",B6:B13)</f>
        <v>1889</v>
      </c>
      <c r="C2" s="2916" t="s">
        <v>3000</v>
      </c>
      <c r="D2" s="2916" t="s">
        <v>3001</v>
      </c>
      <c r="E2" s="2917">
        <f ca="1">SUMIF(E6:E13,"&lt;&gt;#ref!",E6:E13)</f>
        <v>1307.9000000000001</v>
      </c>
    </row>
    <row r="3" spans="1:5" ht="15.75">
      <c r="A3" s="2916" t="s">
        <v>3002</v>
      </c>
      <c r="B3" s="2917">
        <f ca="1">ROUND(B2*10000/E2,0)</f>
        <v>14443</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f ca="1">SUMIF(INDIRECT("'"&amp;A6&amp;"'"&amp;"!A:A"),"总价",INDIRECT("'"&amp;A6&amp;"'"&amp;"!B:B"))</f>
        <v>1889</v>
      </c>
      <c r="C6" s="2916" t="s">
        <v>3000</v>
      </c>
      <c r="D6" s="2918"/>
      <c r="E6" s="2581">
        <f ca="1">SUMIF(INDIRECT("'"&amp;A6&amp;"'"&amp;"!C:C"),"建筑面积",INDIRECT("'"&amp;A6&amp;"'"&amp;"!D:D"))</f>
        <v>1307.9000000000001</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6" t="s">
        <v>1151</v>
      </c>
      <c r="H1" s="3286"/>
      <c r="I1" s="3286"/>
      <c r="J1" s="3286"/>
      <c r="K1" s="3286"/>
      <c r="L1" s="3286"/>
      <c r="N1" s="3286" t="s">
        <v>1152</v>
      </c>
      <c r="O1" s="3286"/>
      <c r="P1" s="3286"/>
      <c r="Q1" s="3286"/>
      <c r="R1" s="1449"/>
      <c r="S1" s="3286" t="s">
        <v>1153</v>
      </c>
      <c r="T1" s="3286"/>
      <c r="U1" s="3286"/>
      <c r="V1" s="3286"/>
      <c r="X1" s="3285" t="s">
        <v>1154</v>
      </c>
      <c r="Y1" s="3286"/>
      <c r="Z1" s="3286"/>
      <c r="AA1" s="3286"/>
      <c r="AB1" s="3286"/>
      <c r="AD1" s="3285" t="s">
        <v>1155</v>
      </c>
      <c r="AE1" s="3286"/>
      <c r="AF1" s="3286"/>
      <c r="AG1" s="3286"/>
      <c r="AH1" s="328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3038</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3" t="s">
        <v>3010</v>
      </c>
      <c r="D1" s="3294"/>
      <c r="E1" s="3294"/>
      <c r="F1" s="3294"/>
      <c r="G1" s="3294"/>
      <c r="H1" s="3294"/>
      <c r="I1" s="3294"/>
      <c r="J1" s="3294"/>
      <c r="K1" s="3294"/>
      <c r="L1" s="3294"/>
      <c r="M1" s="3294"/>
      <c r="N1" s="3294"/>
      <c r="O1" s="3294"/>
      <c r="P1" s="3294"/>
      <c r="Q1" s="3294"/>
      <c r="R1" s="3294"/>
      <c r="S1" s="3295"/>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54" t="s">
        <v>33</v>
      </c>
      <c r="D22" s="3155"/>
      <c r="E22" s="3155"/>
      <c r="F22" s="3155"/>
      <c r="G22" s="3155"/>
      <c r="H22" s="3155"/>
      <c r="I22" s="3155"/>
      <c r="J22" s="3155"/>
      <c r="K22" s="3155"/>
      <c r="L22" s="3155"/>
      <c r="M22" s="3155"/>
      <c r="N22" s="3155"/>
      <c r="O22" s="3155"/>
      <c r="P22" s="3155"/>
      <c r="Q22" s="3292"/>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517</v>
      </c>
      <c r="E5" s="1962"/>
    </row>
    <row r="6" spans="1:5" ht="15.75">
      <c r="A6" s="1962"/>
      <c r="B6" s="2975"/>
      <c r="C6" s="1965" t="s">
        <v>1624</v>
      </c>
      <c r="D6" s="1043" t="str">
        <f ca="1">NUMBERSTRING(INT(D5*10000),2)&amp;"元整"</f>
        <v>伍佰壹拾柒万元整</v>
      </c>
      <c r="E6" s="1962"/>
    </row>
    <row r="7" spans="1:5" ht="15.75">
      <c r="A7" s="1962"/>
      <c r="B7" s="2980"/>
      <c r="C7" s="1966" t="s">
        <v>1625</v>
      </c>
      <c r="D7" s="1044">
        <f ca="1">结果表!H102</f>
        <v>3953</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517</v>
      </c>
      <c r="E13" s="1962"/>
    </row>
    <row r="14" spans="1:5" ht="15.75">
      <c r="A14" s="1962"/>
      <c r="B14" s="2975"/>
      <c r="C14" s="1965" t="s">
        <v>1624</v>
      </c>
      <c r="D14" s="1043" t="str">
        <f ca="1">NUMBERSTRING(INT(D13*10000),2)&amp;"元整"</f>
        <v>伍佰壹拾柒万元整</v>
      </c>
      <c r="E14" s="1962"/>
    </row>
    <row r="15" spans="1:5" ht="15">
      <c r="A15" s="1962"/>
      <c r="B15" s="2980"/>
      <c r="C15" s="1966" t="s">
        <v>1634</v>
      </c>
      <c r="D15" s="1055">
        <f ca="1">结果表!H108</f>
        <v>3953</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25053</v>
      </c>
      <c r="C2" s="2" t="s">
        <v>133</v>
      </c>
      <c r="D2" s="243"/>
      <c r="E2" s="243"/>
      <c r="F2" s="243"/>
      <c r="G2" s="243"/>
    </row>
    <row r="3" spans="1:7" s="244" customFormat="1" ht="18" customHeight="1" thickBot="1">
      <c r="A3" s="247" t="s">
        <v>85</v>
      </c>
      <c r="B3" s="248">
        <f ca="1">ROUND(B2*10000/'数据-汇总表'!E3,0)</f>
        <v>191551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1307.9000000000001</v>
      </c>
      <c r="E9" s="269">
        <f>'数据-取费表'!B27</f>
        <v>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26</v>
      </c>
      <c r="D19" s="1039">
        <f>'数据-汇总表'!E3</f>
        <v>1307.9000000000001</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1052</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1052</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24841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262</v>
      </c>
      <c r="D34" s="261"/>
      <c r="E34" s="264"/>
      <c r="F34" s="301">
        <f>IF('数据-取费表'!B24=0,1,'数据-取费表'!N16)</f>
        <v>1</v>
      </c>
      <c r="G34" s="263" t="s">
        <v>116</v>
      </c>
    </row>
    <row r="35" spans="1:7" ht="13.5" customHeight="1">
      <c r="A35" s="954" t="s">
        <v>796</v>
      </c>
      <c r="B35" s="259" t="s">
        <v>60</v>
      </c>
      <c r="C35" s="264">
        <f>ROUND(C34*F35,0)</f>
        <v>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26</v>
      </c>
      <c r="D37" s="261">
        <f>'数据-汇总表'!E3</f>
        <v>1307.9000000000001</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v>
      </c>
      <c r="D42" s="282"/>
      <c r="E42" s="282"/>
      <c r="F42" s="283"/>
      <c r="G42" s="3207" t="s">
        <v>121</v>
      </c>
    </row>
    <row r="43" spans="1:7" ht="13.5" customHeight="1">
      <c r="A43" s="954" t="s">
        <v>792</v>
      </c>
      <c r="B43" s="259" t="s">
        <v>1064</v>
      </c>
      <c r="C43" s="282">
        <f ca="1">ROUND(IF('数据-取费表'!B22&lt;=1,C39*F22*'数据-取费表'!B21/2,C39*(POWER((1+F22),'数据-取费表'!B21/2)-1)),0)</f>
        <v>0</v>
      </c>
      <c r="D43" s="282"/>
      <c r="E43" s="282"/>
      <c r="F43" s="283"/>
      <c r="G43" s="3208"/>
    </row>
    <row r="44" spans="1:7" ht="13.5" customHeight="1">
      <c r="A44" s="954" t="s">
        <v>793</v>
      </c>
      <c r="B44" s="259" t="s">
        <v>1066</v>
      </c>
      <c r="C44" s="282">
        <f ca="1">ROUND(IF('数据-取费表'!B22&lt;=1,C40*F22*'数据-取费表'!B21/2,C40*(POWER((1+F22),'数据-取费表'!B21/2)-1)),4)</f>
        <v>4.0000000000000002E-4</v>
      </c>
      <c r="D44" s="282"/>
      <c r="E44" s="282"/>
      <c r="F44" s="283"/>
      <c r="G44" s="3209"/>
    </row>
    <row r="45" spans="1:7" s="258" customFormat="1" ht="13.5" customHeight="1">
      <c r="A45" s="951" t="s">
        <v>786</v>
      </c>
      <c r="B45" s="288" t="s">
        <v>112</v>
      </c>
      <c r="C45" s="289">
        <f>C46</f>
        <v>15</v>
      </c>
      <c r="D45" s="279">
        <f>C47</f>
        <v>1E-3</v>
      </c>
      <c r="E45" s="280" t="s">
        <v>129</v>
      </c>
      <c r="F45" s="290"/>
      <c r="G45" s="291" t="s">
        <v>1072</v>
      </c>
    </row>
    <row r="46" spans="1:7" s="258" customFormat="1" ht="13.5" customHeight="1">
      <c r="A46" s="954" t="s">
        <v>794</v>
      </c>
      <c r="B46" s="292" t="s">
        <v>1065</v>
      </c>
      <c r="C46" s="293">
        <f>ROUND((C33+C39)*F27,0)</f>
        <v>15</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354</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212</v>
      </c>
      <c r="D51" s="276"/>
      <c r="E51" s="276"/>
      <c r="F51" s="308"/>
      <c r="G51" s="278" t="s">
        <v>64</v>
      </c>
    </row>
    <row r="52" spans="1:7" s="252" customFormat="1" ht="16.5" thickBot="1">
      <c r="A52" s="309" t="s">
        <v>65</v>
      </c>
      <c r="B52" s="310"/>
      <c r="C52" s="311">
        <f ca="1">C31+C51</f>
        <v>25053</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43220</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A4" workbookViewId="0">
      <selection activeCell="H21" sqref="H21"/>
    </sheetView>
  </sheetViews>
  <sheetFormatPr defaultRowHeight="13.5"/>
  <cols>
    <col min="1" max="1" width="11" customWidth="1"/>
    <col min="2" max="2" width="37.5" customWidth="1"/>
    <col min="3" max="4" width="10.75" customWidth="1"/>
    <col min="5" max="5" width="11.875" customWidth="1"/>
    <col min="6" max="6" width="11.625" bestFit="1" customWidth="1"/>
    <col min="7" max="7" width="18.125" customWidth="1"/>
    <col min="8" max="8" width="43.875" customWidth="1"/>
  </cols>
  <sheetData>
    <row r="1" spans="1:16">
      <c r="A1" s="2950"/>
      <c r="B1" s="2949" t="s">
        <v>3083</v>
      </c>
      <c r="C1" s="2949" t="s">
        <v>3084</v>
      </c>
      <c r="D1" s="2949" t="s">
        <v>3093</v>
      </c>
      <c r="E1" s="3300" t="s">
        <v>3076</v>
      </c>
      <c r="F1" s="3300"/>
      <c r="G1" s="2949" t="s">
        <v>3077</v>
      </c>
      <c r="H1" s="2949" t="s">
        <v>3078</v>
      </c>
      <c r="I1" s="2950"/>
      <c r="J1" s="2950"/>
      <c r="K1" s="2950"/>
      <c r="L1" s="2950"/>
      <c r="M1" s="2950"/>
      <c r="N1" s="2950"/>
      <c r="O1" s="2950"/>
      <c r="P1" s="2950"/>
    </row>
    <row r="2" spans="1:16">
      <c r="A2" s="2949" t="s">
        <v>3075</v>
      </c>
      <c r="B2" s="2949" t="s">
        <v>3092</v>
      </c>
      <c r="C2" s="2949" t="s">
        <v>3091</v>
      </c>
      <c r="D2" s="2949">
        <v>2267</v>
      </c>
      <c r="E2" s="2951">
        <v>41852</v>
      </c>
      <c r="F2" s="2951">
        <v>44530</v>
      </c>
      <c r="G2" s="2950">
        <v>2.6</v>
      </c>
      <c r="H2" s="2949" t="s">
        <v>3079</v>
      </c>
      <c r="I2" s="2950"/>
      <c r="J2" s="2950"/>
      <c r="K2" s="2950"/>
      <c r="L2" s="2950"/>
      <c r="M2" s="2950"/>
      <c r="N2" s="2950"/>
      <c r="O2" s="2950"/>
      <c r="P2" s="2950"/>
    </row>
    <row r="3" spans="1:16">
      <c r="A3" s="2949"/>
      <c r="B3" s="2949"/>
      <c r="C3" s="2949"/>
      <c r="D3" s="2949"/>
      <c r="E3" s="2951"/>
      <c r="F3" s="2953">
        <v>2014</v>
      </c>
      <c r="G3" s="2950">
        <v>2.6</v>
      </c>
      <c r="H3" s="2949"/>
      <c r="I3" s="2950"/>
      <c r="J3" s="2950"/>
      <c r="K3" s="2950"/>
      <c r="L3" s="2950"/>
      <c r="M3" s="2950"/>
      <c r="N3" s="2950"/>
      <c r="O3" s="2950"/>
      <c r="P3" s="2950"/>
    </row>
    <row r="4" spans="1:16">
      <c r="A4" s="2949"/>
      <c r="B4" s="2949"/>
      <c r="C4" s="2949"/>
      <c r="D4" s="2949"/>
      <c r="E4" s="2951"/>
      <c r="F4" s="2954" t="s">
        <v>3094</v>
      </c>
      <c r="G4" s="2950">
        <v>2.6</v>
      </c>
      <c r="H4" s="2949"/>
      <c r="I4" s="2950"/>
      <c r="J4" s="2950"/>
      <c r="K4" s="2950"/>
      <c r="L4" s="2950"/>
      <c r="M4" s="2950"/>
      <c r="N4" s="2950"/>
      <c r="O4" s="2950"/>
      <c r="P4" s="2950"/>
    </row>
    <row r="5" spans="1:16">
      <c r="A5" s="2949"/>
      <c r="B5" s="2949"/>
      <c r="C5" s="2949"/>
      <c r="D5" s="2949"/>
      <c r="E5" s="2951"/>
      <c r="F5" s="2954" t="s">
        <v>3096</v>
      </c>
      <c r="G5" s="2950">
        <v>2.6</v>
      </c>
      <c r="H5" s="2949"/>
      <c r="I5" s="2950"/>
      <c r="J5" s="2950"/>
      <c r="K5" s="2950"/>
      <c r="L5" s="2950"/>
      <c r="M5" s="2950"/>
      <c r="N5" s="2950"/>
      <c r="O5" s="2950"/>
      <c r="P5" s="2950"/>
    </row>
    <row r="6" spans="1:16">
      <c r="A6" s="2949"/>
      <c r="B6" s="2949"/>
      <c r="C6" s="2949"/>
      <c r="D6" s="2949"/>
      <c r="E6" s="2951"/>
      <c r="F6" s="2970" t="s">
        <v>3095</v>
      </c>
      <c r="G6" s="2971">
        <v>2.6</v>
      </c>
      <c r="H6" s="2949"/>
      <c r="I6" s="2950"/>
      <c r="J6" s="2950"/>
      <c r="K6" s="2950"/>
      <c r="L6" s="2950"/>
      <c r="M6" s="2950"/>
      <c r="N6" s="2950"/>
      <c r="O6" s="2950"/>
      <c r="P6" s="2950"/>
    </row>
    <row r="7" spans="1:16">
      <c r="A7" s="2949"/>
      <c r="B7" s="2949"/>
      <c r="C7" s="2952">
        <v>41639</v>
      </c>
      <c r="D7" s="2952">
        <v>43220</v>
      </c>
      <c r="E7" s="2951"/>
      <c r="F7" s="2956" t="s">
        <v>3097</v>
      </c>
      <c r="G7" s="2957">
        <v>2.8</v>
      </c>
      <c r="H7" s="2949"/>
      <c r="I7" s="2950"/>
      <c r="J7" s="2950"/>
      <c r="K7" s="2950"/>
      <c r="L7" s="2950"/>
      <c r="M7" s="2950"/>
      <c r="N7" s="2950"/>
      <c r="O7" s="2950"/>
      <c r="P7" s="2950"/>
    </row>
    <row r="8" spans="1:16">
      <c r="A8" s="2949"/>
      <c r="B8" s="2949"/>
      <c r="C8" s="2949"/>
      <c r="D8" s="2949"/>
      <c r="E8" s="2951"/>
      <c r="F8" s="2956" t="s">
        <v>3098</v>
      </c>
      <c r="G8" s="2957">
        <v>2.8</v>
      </c>
      <c r="H8" s="2949"/>
      <c r="I8" s="2950"/>
      <c r="J8" s="2950"/>
      <c r="K8" s="2950"/>
      <c r="L8" s="2950"/>
      <c r="M8" s="2950"/>
      <c r="N8" s="2950"/>
      <c r="O8" s="2950"/>
      <c r="P8" s="2950"/>
    </row>
    <row r="9" spans="1:16">
      <c r="A9" s="2950"/>
      <c r="B9" s="2950"/>
      <c r="C9" s="2950"/>
      <c r="D9" s="2950"/>
      <c r="E9" s="2950"/>
      <c r="F9" s="2958"/>
      <c r="G9" s="2957"/>
      <c r="H9" s="2950"/>
      <c r="I9" s="2950"/>
      <c r="J9" s="2950"/>
      <c r="K9" s="2950"/>
      <c r="L9" s="2950"/>
      <c r="M9" s="2950"/>
      <c r="N9" s="2950"/>
      <c r="O9" s="2950"/>
      <c r="P9" s="2950"/>
    </row>
    <row r="10" spans="1:16">
      <c r="A10" s="2969" t="s">
        <v>3080</v>
      </c>
      <c r="B10" s="2969" t="s">
        <v>3101</v>
      </c>
      <c r="C10" s="2969" t="s">
        <v>3091</v>
      </c>
      <c r="D10" s="2969">
        <v>410.9</v>
      </c>
      <c r="E10" s="2952">
        <v>42064</v>
      </c>
      <c r="F10" s="2952">
        <v>44255</v>
      </c>
      <c r="G10" s="2955">
        <v>2.8</v>
      </c>
      <c r="H10" s="2949" t="s">
        <v>3081</v>
      </c>
      <c r="I10" s="2950"/>
      <c r="J10" s="2950"/>
      <c r="K10" s="2950"/>
      <c r="L10" s="2950"/>
      <c r="M10" s="2950"/>
      <c r="N10" s="2950"/>
      <c r="O10" s="2950"/>
      <c r="P10" s="2950"/>
    </row>
    <row r="11" spans="1:16">
      <c r="A11" s="2949"/>
      <c r="B11" s="2949"/>
      <c r="C11" s="2949"/>
      <c r="D11" s="2949"/>
      <c r="E11" s="2951"/>
      <c r="F11" s="2959">
        <v>42064</v>
      </c>
      <c r="G11" s="2957">
        <v>2.8</v>
      </c>
      <c r="H11" s="2949"/>
      <c r="I11" s="2950"/>
      <c r="J11" s="2950"/>
      <c r="K11" s="2950"/>
      <c r="L11" s="2950"/>
      <c r="M11" s="2950"/>
      <c r="N11" s="2950"/>
      <c r="O11" s="2950"/>
      <c r="P11" s="2950"/>
    </row>
    <row r="12" spans="1:16">
      <c r="A12" s="2949"/>
      <c r="B12" s="2949"/>
      <c r="C12" s="2949"/>
      <c r="D12" s="2949"/>
      <c r="E12" s="2951"/>
      <c r="F12" s="2959">
        <v>42430</v>
      </c>
      <c r="G12" s="2957">
        <f>ROUND(G11*(1+10%),1)</f>
        <v>3.1</v>
      </c>
      <c r="H12" s="2949"/>
      <c r="I12" s="2950"/>
      <c r="J12" s="2950"/>
      <c r="K12" s="2950"/>
      <c r="L12" s="2950"/>
      <c r="M12" s="2950"/>
      <c r="N12" s="2950"/>
      <c r="O12" s="2950"/>
      <c r="P12" s="2950"/>
    </row>
    <row r="13" spans="1:16">
      <c r="A13" s="2949"/>
      <c r="B13" s="2949"/>
      <c r="C13" s="2949"/>
      <c r="D13" s="2949"/>
      <c r="E13" s="2951"/>
      <c r="F13" s="2959">
        <v>42795</v>
      </c>
      <c r="G13" s="2957">
        <f>ROUND(G12*(1+10%),1)</f>
        <v>3.4</v>
      </c>
      <c r="H13" s="2949"/>
      <c r="I13" s="2950"/>
      <c r="J13" s="2950"/>
      <c r="K13" s="2950"/>
      <c r="L13" s="2950"/>
      <c r="M13" s="2950"/>
      <c r="N13" s="2950"/>
      <c r="O13" s="2950"/>
      <c r="P13" s="2950"/>
    </row>
    <row r="14" spans="1:16">
      <c r="A14" s="2949"/>
      <c r="B14" s="2949"/>
      <c r="C14" s="2949"/>
      <c r="D14" s="2949"/>
      <c r="E14" s="2951"/>
      <c r="F14" s="2952">
        <v>43160</v>
      </c>
      <c r="G14" s="2955">
        <f>ROUND(G13*(1+10%),1)</f>
        <v>3.7</v>
      </c>
      <c r="H14" s="2949"/>
      <c r="I14" s="2950"/>
      <c r="J14" s="2950"/>
      <c r="K14" s="2950"/>
      <c r="L14" s="2950"/>
      <c r="M14" s="2950"/>
      <c r="N14" s="2950"/>
      <c r="O14" s="2950"/>
      <c r="P14" s="2950"/>
    </row>
    <row r="15" spans="1:16">
      <c r="A15" s="2949"/>
      <c r="B15" s="2949"/>
      <c r="C15" s="2949"/>
      <c r="D15" s="2949"/>
      <c r="E15" s="2951"/>
      <c r="F15" s="2959">
        <v>43525</v>
      </c>
      <c r="G15" s="2957">
        <f>ROUND(G14*(1+5%),1)</f>
        <v>3.9</v>
      </c>
      <c r="H15" s="2949"/>
      <c r="I15" s="2950"/>
      <c r="J15" s="2950"/>
      <c r="K15" s="2950"/>
      <c r="L15" s="2950"/>
      <c r="M15" s="2950"/>
      <c r="N15" s="2950"/>
      <c r="O15" s="2950"/>
      <c r="P15" s="2950"/>
    </row>
    <row r="16" spans="1:16">
      <c r="A16" s="2949"/>
      <c r="B16" s="2949"/>
      <c r="C16" s="2949"/>
      <c r="D16" s="2949"/>
      <c r="E16" s="2951"/>
      <c r="F16" s="2959"/>
      <c r="G16" s="2957"/>
      <c r="H16" s="2949"/>
      <c r="I16" s="2950"/>
      <c r="J16" s="2950"/>
      <c r="K16" s="2950"/>
      <c r="L16" s="2950"/>
      <c r="M16" s="2950"/>
      <c r="N16" s="2950"/>
      <c r="O16" s="2950"/>
      <c r="P16" s="2950"/>
    </row>
    <row r="17" spans="1:16">
      <c r="A17" s="2949" t="s">
        <v>3082</v>
      </c>
      <c r="B17" s="2949" t="s">
        <v>3087</v>
      </c>
      <c r="C17" s="2949" t="s">
        <v>3085</v>
      </c>
      <c r="D17" s="2949">
        <v>86</v>
      </c>
      <c r="E17" s="2951">
        <v>42996</v>
      </c>
      <c r="F17" s="2959">
        <v>43360</v>
      </c>
      <c r="G17" s="2957">
        <v>3</v>
      </c>
      <c r="H17" s="2950"/>
      <c r="I17" s="2950"/>
      <c r="J17" s="2950"/>
      <c r="K17" s="2950"/>
      <c r="L17" s="2950"/>
      <c r="M17" s="2950"/>
      <c r="N17" s="2950"/>
      <c r="O17" s="2950"/>
      <c r="P17" s="2950"/>
    </row>
    <row r="18" spans="1:16">
      <c r="A18" s="2950"/>
      <c r="B18" s="2950"/>
      <c r="C18" s="2950"/>
      <c r="D18" s="2950"/>
      <c r="E18" s="2950"/>
      <c r="F18" s="2960"/>
      <c r="G18" s="2960"/>
      <c r="H18" s="2950"/>
      <c r="I18" s="2950"/>
      <c r="J18" s="2950"/>
      <c r="K18" s="2950"/>
      <c r="L18" s="2950"/>
      <c r="M18" s="2950"/>
      <c r="N18" s="2950"/>
      <c r="O18" s="2950"/>
      <c r="P18" s="2950"/>
    </row>
    <row r="19" spans="1:16">
      <c r="A19" s="2949" t="s">
        <v>3086</v>
      </c>
      <c r="B19" s="2949" t="s">
        <v>3088</v>
      </c>
      <c r="C19" s="2949" t="s">
        <v>3089</v>
      </c>
      <c r="D19" s="2949">
        <v>56.18</v>
      </c>
      <c r="E19" s="2951">
        <v>43120</v>
      </c>
      <c r="F19" s="2951">
        <v>43824</v>
      </c>
      <c r="G19" s="2950">
        <v>3</v>
      </c>
      <c r="H19" s="2950"/>
      <c r="I19" s="2950"/>
      <c r="J19" s="2950"/>
      <c r="K19" s="2950"/>
      <c r="L19" s="2950"/>
      <c r="M19" s="2950"/>
      <c r="N19" s="2950"/>
      <c r="O19" s="2950"/>
      <c r="P19" s="2950"/>
    </row>
    <row r="20" spans="1:16">
      <c r="A20" s="2950"/>
      <c r="B20" s="2950"/>
      <c r="C20" s="2950"/>
      <c r="D20" s="2950"/>
      <c r="E20" s="2950"/>
      <c r="F20" s="2950"/>
      <c r="G20" s="2950"/>
      <c r="H20" s="2950"/>
      <c r="I20" s="2950"/>
      <c r="J20" s="2950"/>
      <c r="K20" s="2950"/>
      <c r="L20" s="2950"/>
      <c r="M20" s="2950"/>
      <c r="N20" s="2950"/>
      <c r="O20" s="2950"/>
      <c r="P20" s="2950"/>
    </row>
    <row r="21" spans="1:16">
      <c r="A21" s="2969" t="s">
        <v>3111</v>
      </c>
      <c r="B21" s="2969" t="s">
        <v>3128</v>
      </c>
      <c r="C21" s="2969" t="s">
        <v>3091</v>
      </c>
      <c r="D21" s="2955">
        <v>519</v>
      </c>
      <c r="E21" s="2952">
        <v>41828</v>
      </c>
      <c r="F21" s="2952">
        <v>44019</v>
      </c>
      <c r="G21" s="2955">
        <v>3.2</v>
      </c>
      <c r="H21" s="2949" t="s">
        <v>3112</v>
      </c>
      <c r="I21" s="2950"/>
      <c r="J21" s="2950"/>
      <c r="K21" s="2950"/>
      <c r="L21" s="2950"/>
      <c r="M21" s="2950"/>
      <c r="N21" s="2950"/>
      <c r="O21" s="2950"/>
      <c r="P21" s="2950"/>
    </row>
    <row r="22" spans="1:16">
      <c r="A22" s="2950"/>
      <c r="B22" s="2950"/>
      <c r="C22" s="2950"/>
      <c r="D22" s="2950"/>
      <c r="E22" s="2950"/>
      <c r="F22" s="2951">
        <v>41828</v>
      </c>
      <c r="G22" s="2950">
        <v>3.2</v>
      </c>
      <c r="H22" s="2950"/>
      <c r="I22" s="2950"/>
      <c r="J22" s="2950"/>
      <c r="K22" s="2950"/>
      <c r="L22" s="2950"/>
      <c r="M22" s="2950"/>
      <c r="N22" s="2950"/>
      <c r="O22" s="2950"/>
      <c r="P22" s="2950"/>
    </row>
    <row r="23" spans="1:16">
      <c r="A23" s="2950"/>
      <c r="B23" s="2950"/>
      <c r="C23" s="2950"/>
      <c r="D23" s="2950"/>
      <c r="E23" s="2950"/>
      <c r="F23" s="2951">
        <v>42193</v>
      </c>
      <c r="G23" s="2950">
        <v>3.2</v>
      </c>
      <c r="H23" s="2950"/>
      <c r="I23" s="2950"/>
      <c r="J23" s="2950"/>
      <c r="K23" s="2950"/>
      <c r="L23" s="2950"/>
      <c r="M23" s="2950"/>
      <c r="N23" s="2950"/>
      <c r="O23" s="2950"/>
      <c r="P23" s="2950"/>
    </row>
    <row r="24" spans="1:16">
      <c r="A24" s="2950"/>
      <c r="B24" s="2950"/>
      <c r="C24" s="2950"/>
      <c r="D24" s="2950"/>
      <c r="E24" s="2950"/>
      <c r="F24" s="2951">
        <v>42559</v>
      </c>
      <c r="G24" s="2950">
        <f>ROUND(G23*(1+10%),1)</f>
        <v>3.5</v>
      </c>
      <c r="H24" s="2950"/>
      <c r="I24" s="2950"/>
      <c r="J24" s="2950"/>
      <c r="K24" s="2950"/>
      <c r="L24" s="2950"/>
      <c r="M24" s="2950"/>
      <c r="N24" s="2950"/>
      <c r="O24" s="2950"/>
      <c r="P24" s="2950"/>
    </row>
    <row r="25" spans="1:16">
      <c r="A25" s="2950"/>
      <c r="B25" s="2950"/>
      <c r="C25" s="2950"/>
      <c r="D25" s="2950"/>
      <c r="E25" s="2950"/>
      <c r="F25" s="2952">
        <v>42924</v>
      </c>
      <c r="G25" s="2955">
        <v>3.5</v>
      </c>
      <c r="H25" s="2950"/>
      <c r="I25" s="2950"/>
      <c r="J25" s="2950"/>
      <c r="K25" s="2950"/>
      <c r="L25" s="2950"/>
      <c r="M25" s="2950"/>
      <c r="N25" s="2950"/>
      <c r="O25" s="2950"/>
      <c r="P25" s="2950"/>
    </row>
    <row r="26" spans="1:16">
      <c r="A26" s="2950"/>
      <c r="B26" s="2950"/>
      <c r="C26" s="2950"/>
      <c r="D26" s="2950"/>
      <c r="E26" s="2950"/>
      <c r="F26" s="2951">
        <v>43289</v>
      </c>
      <c r="G26" s="2950">
        <f>ROUND(G25*(1+10%),1)</f>
        <v>3.9</v>
      </c>
      <c r="H26" s="2950"/>
      <c r="I26" s="2950"/>
      <c r="J26" s="2950"/>
      <c r="K26" s="2950"/>
      <c r="L26" s="2950"/>
      <c r="M26" s="2950"/>
      <c r="N26" s="2950"/>
      <c r="O26" s="2950"/>
      <c r="P26" s="2950"/>
    </row>
    <row r="27" spans="1:16">
      <c r="A27" s="2950"/>
      <c r="B27" s="2950"/>
      <c r="C27" s="2950"/>
      <c r="D27" s="2950"/>
      <c r="E27" s="2950"/>
      <c r="F27" s="2951">
        <v>43654</v>
      </c>
      <c r="G27" s="2950">
        <v>3.9</v>
      </c>
      <c r="H27" s="2950"/>
      <c r="I27" s="2950"/>
      <c r="J27" s="2950"/>
      <c r="K27" s="2950"/>
      <c r="L27" s="2950"/>
      <c r="M27" s="2950"/>
      <c r="N27" s="2950"/>
      <c r="O27" s="2950"/>
      <c r="P27" s="2950"/>
    </row>
    <row r="28" spans="1:16">
      <c r="A28" s="2950"/>
      <c r="B28" s="2950"/>
      <c r="C28" s="2950"/>
      <c r="D28" s="2950"/>
      <c r="E28" s="2950"/>
      <c r="F28" s="2950"/>
      <c r="G28" s="2950"/>
      <c r="H28" s="2950"/>
      <c r="I28" s="2950"/>
      <c r="J28" s="2950"/>
      <c r="K28" s="2950"/>
      <c r="L28" s="2950"/>
      <c r="M28" s="2950"/>
      <c r="N28" s="2950"/>
      <c r="O28" s="2950"/>
      <c r="P28" s="2950"/>
    </row>
    <row r="29" spans="1:16">
      <c r="A29" s="2969" t="s">
        <v>3113</v>
      </c>
      <c r="B29" s="2969" t="s">
        <v>3142</v>
      </c>
      <c r="C29" s="2969" t="s">
        <v>3114</v>
      </c>
      <c r="D29" s="2955">
        <v>30</v>
      </c>
      <c r="E29" s="2952">
        <v>42880</v>
      </c>
      <c r="F29" s="2952">
        <v>43244</v>
      </c>
      <c r="G29" s="2955">
        <v>3</v>
      </c>
      <c r="H29" s="2950"/>
      <c r="I29" s="2950"/>
      <c r="J29" s="2950"/>
      <c r="K29" s="2950"/>
      <c r="L29" s="2950"/>
      <c r="M29" s="2950"/>
      <c r="N29" s="2950"/>
      <c r="O29" s="2950"/>
      <c r="P29" s="2950"/>
    </row>
    <row r="30" spans="1:16">
      <c r="A30" s="2950"/>
      <c r="B30" s="2950"/>
      <c r="C30" s="2950"/>
      <c r="D30" s="2950"/>
      <c r="E30" s="2950"/>
      <c r="F30" s="2950"/>
      <c r="G30" s="2950"/>
      <c r="H30" s="2950"/>
      <c r="I30" s="2950"/>
      <c r="J30" s="2950"/>
      <c r="K30" s="2950"/>
      <c r="L30" s="2950"/>
      <c r="M30" s="2950"/>
      <c r="N30" s="2950"/>
      <c r="O30" s="2950"/>
      <c r="P30" s="2950"/>
    </row>
    <row r="31" spans="1:16">
      <c r="A31" s="2950"/>
      <c r="B31" s="2950"/>
      <c r="C31" s="2950"/>
      <c r="D31" s="2950"/>
      <c r="E31" s="2950"/>
      <c r="F31" s="2950"/>
      <c r="G31" s="2950"/>
      <c r="H31" s="2950"/>
      <c r="I31" s="2950"/>
      <c r="J31" s="2950"/>
      <c r="K31" s="2950"/>
      <c r="L31" s="2950"/>
      <c r="M31" s="2950"/>
      <c r="N31" s="2950"/>
      <c r="O31" s="2950"/>
      <c r="P31" s="2950"/>
    </row>
    <row r="32" spans="1:16">
      <c r="A32" s="2950"/>
      <c r="B32" s="2950"/>
      <c r="C32" s="2950"/>
      <c r="D32" s="2950"/>
      <c r="E32" s="2950"/>
      <c r="F32" s="2950"/>
      <c r="G32" s="2950"/>
      <c r="H32" s="2950"/>
      <c r="I32" s="2950"/>
      <c r="J32" s="2950"/>
      <c r="K32" s="2950"/>
      <c r="L32" s="2950"/>
      <c r="M32" s="2950"/>
      <c r="N32" s="2950"/>
      <c r="O32" s="2950"/>
      <c r="P32" s="2950"/>
    </row>
    <row r="33" spans="1:16">
      <c r="A33" s="2950"/>
      <c r="B33" s="2950"/>
      <c r="C33" s="2950"/>
      <c r="D33" s="2950"/>
      <c r="E33" s="2950"/>
      <c r="F33" s="2950"/>
      <c r="G33" s="2950"/>
      <c r="H33" s="2950"/>
      <c r="I33" s="2950"/>
      <c r="J33" s="2950"/>
      <c r="K33" s="2950"/>
      <c r="L33" s="2950"/>
      <c r="M33" s="2950"/>
      <c r="N33" s="2950"/>
      <c r="O33" s="2950"/>
      <c r="P33" s="2950"/>
    </row>
    <row r="34" spans="1:16">
      <c r="A34" s="2950"/>
      <c r="B34" s="2950"/>
      <c r="C34" s="2950"/>
      <c r="D34" s="2950"/>
      <c r="E34" s="2950"/>
      <c r="F34" s="2950"/>
      <c r="G34" s="2950"/>
      <c r="H34" s="2950"/>
      <c r="I34" s="2950"/>
      <c r="J34" s="2950"/>
      <c r="K34" s="2950"/>
      <c r="L34" s="2950"/>
      <c r="M34" s="2950"/>
      <c r="N34" s="2950"/>
      <c r="O34" s="2950"/>
      <c r="P34" s="2950"/>
    </row>
    <row r="35" spans="1:16">
      <c r="A35" s="2950"/>
      <c r="B35" s="2950"/>
      <c r="C35" s="2950"/>
      <c r="D35" s="2950"/>
      <c r="E35" s="2950"/>
      <c r="F35" s="2950"/>
      <c r="G35" s="2950"/>
      <c r="H35" s="2950"/>
      <c r="I35" s="2950"/>
      <c r="J35" s="2950"/>
      <c r="K35" s="2950"/>
      <c r="L35" s="2950"/>
      <c r="M35" s="2950"/>
      <c r="N35" s="2950"/>
      <c r="O35" s="2950"/>
      <c r="P35" s="2950"/>
    </row>
  </sheetData>
  <mergeCells count="1">
    <mergeCell ref="E1:F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3" t="str">
        <f>IF(项目基本情况!B9="房地产市场价值","估价结果一览表","结果表-2")</f>
        <v>估价结果一览表</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房地产市场价值</v>
      </c>
      <c r="I2" s="2994"/>
    </row>
    <row r="3" spans="1:9" ht="15">
      <c r="A3" s="2988"/>
      <c r="B3" s="2988"/>
      <c r="C3" s="2988"/>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1307.9000000000001</v>
      </c>
      <c r="C4" s="1047">
        <f>项目基本情况!C18</f>
        <v>1307.9000000000001</v>
      </c>
      <c r="D4" s="1047" t="e">
        <f ca="1">结果表!D118</f>
        <v>#REF!</v>
      </c>
      <c r="E4" s="1047" t="e">
        <f ca="1">结果表!E118</f>
        <v>#REF!</v>
      </c>
      <c r="F4" s="1047" t="e">
        <f ca="1">结果表!F118</f>
        <v>#REF!</v>
      </c>
      <c r="G4" s="1047" t="e">
        <f ca="1">结果表!G118</f>
        <v>#REF!</v>
      </c>
      <c r="H4" s="1047">
        <f ca="1">结果表!H118</f>
        <v>517</v>
      </c>
      <c r="I4" s="1047">
        <f ca="1">结果表!I118</f>
        <v>3953</v>
      </c>
    </row>
    <row r="5" spans="1:9" ht="30" customHeight="1">
      <c r="A5" s="2988" t="s">
        <v>1640</v>
      </c>
      <c r="B5" s="2988"/>
      <c r="C5" s="2988"/>
      <c r="D5" s="2989" t="e">
        <f ca="1">结果表!D119</f>
        <v>#REF!</v>
      </c>
      <c r="E5" s="2989"/>
      <c r="F5" s="2989" t="e">
        <f ca="1">结果表!F119</f>
        <v>#REF!</v>
      </c>
      <c r="G5" s="2989"/>
      <c r="H5" s="2989" t="str">
        <f ca="1">结果表!H119</f>
        <v>伍佰壹拾柒万元整</v>
      </c>
      <c r="I5" s="2989"/>
    </row>
    <row r="6" spans="1:9" ht="15.75">
      <c r="A6" s="2987" t="str">
        <f>结果表!A120</f>
        <v/>
      </c>
      <c r="B6" s="2987"/>
      <c r="C6" s="2987"/>
      <c r="D6" s="2987">
        <f>结果表!D120</f>
        <v>0</v>
      </c>
      <c r="E6" s="2987"/>
      <c r="F6" s="2987"/>
      <c r="G6" s="2987"/>
      <c r="H6" s="2987"/>
      <c r="I6" s="2987"/>
    </row>
    <row r="7" spans="1:9" ht="15">
      <c r="A7" s="2988" t="s">
        <v>1640</v>
      </c>
      <c r="B7" s="2988"/>
      <c r="C7" s="2988"/>
      <c r="D7" s="2990" t="str">
        <f>结果表!D121</f>
        <v>零元整</v>
      </c>
      <c r="E7" s="2991"/>
      <c r="F7" s="2991"/>
      <c r="G7" s="2991"/>
      <c r="H7" s="2991"/>
      <c r="I7" s="2992"/>
    </row>
    <row r="8" spans="1:9" ht="15.75">
      <c r="A8" s="2987" t="str">
        <f>结果表!A122</f>
        <v/>
      </c>
      <c r="B8" s="2987"/>
      <c r="C8" s="2987"/>
      <c r="D8" s="2987">
        <f ca="1">结果表!D122</f>
        <v>517</v>
      </c>
      <c r="E8" s="2987"/>
      <c r="F8" s="2987"/>
      <c r="G8" s="2987"/>
      <c r="H8" s="2987"/>
      <c r="I8" s="2987"/>
    </row>
    <row r="9" spans="1:9" ht="15">
      <c r="A9" s="2988" t="s">
        <v>1640</v>
      </c>
      <c r="B9" s="2988"/>
      <c r="C9" s="2988"/>
      <c r="D9" s="2989" t="str">
        <f ca="1">结果表!D123</f>
        <v>伍佰壹拾柒万元整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1640</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1" t="s">
        <v>1662</v>
      </c>
      <c r="B1" s="3001"/>
      <c r="C1" s="3001"/>
      <c r="D1" s="3001"/>
    </row>
    <row r="2" spans="1:4" ht="18">
      <c r="A2" s="3002" t="s">
        <v>1646</v>
      </c>
      <c r="B2" s="3002"/>
      <c r="C2" s="3002"/>
      <c r="D2" s="3002"/>
    </row>
    <row r="3" spans="1:4" ht="18.75">
      <c r="A3" s="1980" t="s">
        <v>1647</v>
      </c>
      <c r="B3" s="1980" t="s">
        <v>1648</v>
      </c>
      <c r="C3" s="1980" t="s">
        <v>1649</v>
      </c>
      <c r="D3" s="1980" t="s">
        <v>1650</v>
      </c>
    </row>
    <row r="4" spans="1:4" ht="56.25" customHeight="1">
      <c r="A4" s="1981" t="str">
        <f>项目基本情况!B4</f>
        <v>叶凌</v>
      </c>
      <c r="B4" s="1982">
        <f ca="1">项目基本情况!C4</f>
        <v>1119970111</v>
      </c>
      <c r="C4" s="1983"/>
      <c r="D4" s="1984" t="s">
        <v>1651</v>
      </c>
    </row>
    <row r="5" spans="1:4" ht="56.25" customHeight="1">
      <c r="A5" s="1981" t="str">
        <f>项目基本情况!D4</f>
        <v>陈颖</v>
      </c>
      <c r="B5" s="1982">
        <f ca="1">项目基本情况!E4</f>
        <v>1120060040</v>
      </c>
      <c r="C5" s="1985"/>
      <c r="D5" s="1984" t="s">
        <v>1651</v>
      </c>
    </row>
    <row r="6" spans="1:4" ht="18">
      <c r="A6" s="3002" t="s">
        <v>1652</v>
      </c>
      <c r="B6" s="3002"/>
      <c r="C6" s="3002"/>
      <c r="D6" s="300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3"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0"/>
      <c r="C12" s="3000"/>
      <c r="D12" s="3000"/>
    </row>
    <row r="13" spans="1:4" ht="30" customHeight="1">
      <c r="A13" s="2995" t="str">
        <f>IF(项目基本情况!B8="抵押","3.抵押双方在办理抵押登记手续时，应使用本公司出具的正式《房地产评估报告》，特提醒报告使用者注意。","——")</f>
        <v>——</v>
      </c>
      <c r="B13" s="3000"/>
      <c r="C13" s="3000"/>
      <c r="D13" s="3000"/>
    </row>
    <row r="14" spans="1:4" ht="15.75" customHeight="1">
      <c r="A14" s="2995" t="str">
        <f>IF(项目基本情况!B8="抵押","4.本次评估估价师所知悉的法定优先受偿款情况说明如下：","——")</f>
        <v>——</v>
      </c>
      <c r="B14" s="3000"/>
      <c r="C14" s="3000"/>
      <c r="D14" s="3000"/>
    </row>
    <row r="15" spans="1:4" ht="42" customHeight="1">
      <c r="A15" s="2995" t="str">
        <f>IF(项目基本情况!B8="抵押","（1）"&amp;CONCATENATE(项目基本情况!L20,项目基本情况!L21,项目基本情况!L22),"——")</f>
        <v>——</v>
      </c>
      <c r="B15" s="2995"/>
      <c r="C15" s="2995"/>
      <c r="D15" s="2995"/>
    </row>
    <row r="16" spans="1:4" ht="30" customHeight="1">
      <c r="A16" s="2997" t="s">
        <v>1656</v>
      </c>
      <c r="B16" s="2997"/>
      <c r="C16" s="2997"/>
      <c r="D16" s="2997"/>
    </row>
    <row r="17" spans="1:4" ht="144" customHeight="1">
      <c r="A17" s="2997" t="s">
        <v>1657</v>
      </c>
      <c r="B17" s="2997"/>
      <c r="C17" s="2997"/>
      <c r="D17" s="2997"/>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6">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租金比较法</vt:lpstr>
      <vt:lpstr>成本法</vt:lpstr>
      <vt:lpstr>成本法 (元)</vt:lpstr>
      <vt:lpstr>假设开发法</vt:lpstr>
      <vt:lpstr>基准地价修正</vt:lpstr>
      <vt:lpstr>收益法 (元)</vt:lpstr>
      <vt:lpstr>收益法（汇总）</vt:lpstr>
      <vt:lpstr>酒店收入计算</vt:lpstr>
      <vt:lpstr>收益法</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2018-09-26T01:47:37Z</dcterms:modified>
</cp:coreProperties>
</file>