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N21" i="1" l="1"/>
  <c r="N22" i="1"/>
  <c r="N20" i="1"/>
  <c r="N24" i="1"/>
  <c r="F19" i="6"/>
  <c r="N23" i="1" l="1"/>
  <c r="Y6" i="1" l="1"/>
  <c r="AY3" i="3"/>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W62" i="3"/>
  <c r="AV62" i="3"/>
  <c r="AC62" i="3"/>
  <c r="H62" i="3"/>
  <c r="G62" i="3" s="1"/>
  <c r="BT61" i="3"/>
  <c r="BS61" i="3"/>
  <c r="BR61" i="3"/>
  <c r="BQ61" i="3"/>
  <c r="BP61" i="3"/>
  <c r="BO61" i="3"/>
  <c r="BN61" i="3"/>
  <c r="BM61" i="3"/>
  <c r="BK61" i="3"/>
  <c r="BJ61" i="3"/>
  <c r="BI61" i="3"/>
  <c r="BH61" i="3"/>
  <c r="BG61" i="3"/>
  <c r="BF61" i="3"/>
  <c r="BE61" i="3"/>
  <c r="BD61" i="3"/>
  <c r="BC61" i="3"/>
  <c r="BB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AX61"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AX6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144" i="3"/>
  <c r="AZ152" i="3"/>
  <c r="AZ168" i="3"/>
  <c r="AZ176" i="3"/>
  <c r="AZ184"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77" i="3"/>
  <c r="AZ82" i="3"/>
  <c r="AZ10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B12" i="1"/>
  <c r="E12" i="1" s="1"/>
  <c r="B10" i="1"/>
  <c r="E10" i="1" s="1"/>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7" i="67"/>
  <c r="F38" i="67"/>
  <c r="E8" i="76"/>
  <c r="E7" i="76"/>
  <c r="M29" i="67"/>
  <c r="F37" i="15"/>
  <c r="F13" i="67"/>
  <c r="F43" i="15"/>
  <c r="F43" i="67"/>
  <c r="F9" i="67"/>
  <c r="AO13" i="1"/>
  <c r="C76" i="15"/>
  <c r="E11" i="76"/>
  <c r="B13" i="76"/>
  <c r="F42" i="67"/>
  <c r="F42" i="15"/>
  <c r="F37" i="67"/>
  <c r="M28" i="15"/>
  <c r="F16" i="15"/>
  <c r="E9" i="76"/>
  <c r="B12" i="76"/>
  <c r="M23" i="15"/>
  <c r="F8" i="15"/>
  <c r="F26" i="15"/>
  <c r="M22" i="67"/>
  <c r="J15" i="67"/>
  <c r="L48" i="67"/>
  <c r="M23" i="67"/>
  <c r="M26" i="67"/>
  <c r="M6" i="67"/>
  <c r="E2" i="68"/>
  <c r="M8" i="15"/>
  <c r="F36" i="67"/>
  <c r="M6" i="15"/>
  <c r="M9" i="15"/>
  <c r="M22" i="15"/>
  <c r="F6" i="67"/>
  <c r="D6" i="73"/>
  <c r="M8" i="67"/>
  <c r="J15" i="15"/>
  <c r="C76" i="67"/>
  <c r="F26" i="67"/>
  <c r="F3" i="73"/>
  <c r="F6" i="15"/>
  <c r="F6" i="73"/>
  <c r="E12" i="76"/>
  <c r="F7" i="73"/>
  <c r="E13" i="76"/>
  <c r="F40" i="15"/>
  <c r="F36" i="15"/>
  <c r="F9" i="15"/>
  <c r="B11" i="76"/>
  <c r="B10" i="76"/>
  <c r="F13" i="15"/>
  <c r="E10" i="76"/>
  <c r="L48" i="15"/>
  <c r="M24" i="67"/>
  <c r="F7" i="67"/>
  <c r="B9" i="76"/>
  <c r="E2" i="69"/>
  <c r="F5" i="73"/>
  <c r="F4" i="73"/>
  <c r="M26" i="15"/>
  <c r="B8" i="76"/>
  <c r="M29" i="15"/>
  <c r="F20" i="31"/>
  <c r="F16" i="67"/>
  <c r="F38" i="15"/>
  <c r="F8" i="67"/>
  <c r="L47" i="15"/>
  <c r="F40" i="67"/>
  <c r="B7" i="76"/>
  <c r="F7" i="15"/>
  <c r="M24" i="15"/>
  <c r="M28" i="67"/>
  <c r="M9" i="67"/>
  <c r="BA114" i="3" l="1"/>
  <c r="BA128" i="3"/>
  <c r="AZ128" i="3" s="1"/>
  <c r="G32" i="3"/>
  <c r="G34" i="3"/>
  <c r="G38" i="3"/>
  <c r="G44" i="3"/>
  <c r="G64" i="3"/>
  <c r="BA65" i="3"/>
  <c r="AZ65" i="3" s="1"/>
  <c r="BA67" i="3"/>
  <c r="AZ67" i="3" s="1"/>
  <c r="BA73" i="3"/>
  <c r="G103" i="3"/>
  <c r="BA103" i="3"/>
  <c r="AZ103" i="3" s="1"/>
  <c r="BA104" i="3"/>
  <c r="BA106" i="3"/>
  <c r="BA118" i="3"/>
  <c r="AZ118" i="3" s="1"/>
  <c r="G55" i="3"/>
  <c r="BA79" i="3"/>
  <c r="AZ79" i="3" s="1"/>
  <c r="BA84" i="3"/>
  <c r="AZ84" i="3" s="1"/>
  <c r="G101" i="3"/>
  <c r="BA101" i="3"/>
  <c r="AZ101" i="3" s="1"/>
  <c r="G109" i="3"/>
  <c r="BA129" i="3"/>
  <c r="BA26" i="3"/>
  <c r="BA29" i="3"/>
  <c r="BA36" i="3"/>
  <c r="BA39" i="3"/>
  <c r="BA54" i="3"/>
  <c r="BA62" i="3"/>
  <c r="AZ62" i="3" s="1"/>
  <c r="G72" i="3"/>
  <c r="BA74" i="3"/>
  <c r="AZ74" i="3" s="1"/>
  <c r="BA75" i="3"/>
  <c r="AZ75" i="3" s="1"/>
  <c r="G81" i="3"/>
  <c r="BA86" i="3"/>
  <c r="AZ86" i="3" s="1"/>
  <c r="BA87" i="3"/>
  <c r="BA91" i="3"/>
  <c r="AZ91" i="3" s="1"/>
  <c r="G105" i="3"/>
  <c r="BA108" i="3"/>
  <c r="AZ108" i="3" s="1"/>
  <c r="BA110" i="3"/>
  <c r="AZ110" i="3" s="1"/>
  <c r="BA33" i="3"/>
  <c r="BL35" i="3"/>
  <c r="BA43" i="3"/>
  <c r="BA47" i="3"/>
  <c r="AZ47" i="3" s="1"/>
  <c r="BA68" i="3"/>
  <c r="BA22" i="3"/>
  <c r="BL24" i="3"/>
  <c r="BA30" i="3"/>
  <c r="BL34" i="3"/>
  <c r="BA40" i="3"/>
  <c r="BL44" i="3"/>
  <c r="BA50" i="3"/>
  <c r="BL52" i="3"/>
  <c r="BL57" i="3"/>
  <c r="BA63" i="3"/>
  <c r="AZ63" i="3" s="1"/>
  <c r="BA66" i="3"/>
  <c r="AZ66" i="3" s="1"/>
  <c r="BA71" i="3"/>
  <c r="AZ71" i="3" s="1"/>
  <c r="BA25" i="3"/>
  <c r="BA52" i="3"/>
  <c r="BA64" i="3"/>
  <c r="AZ64" i="3" s="1"/>
  <c r="BL68" i="3"/>
  <c r="BA69" i="3"/>
  <c r="AZ69" i="3" s="1"/>
  <c r="G27" i="3"/>
  <c r="G33" i="3"/>
  <c r="G37" i="3"/>
  <c r="G43" i="3"/>
  <c r="G47" i="3"/>
  <c r="BA55" i="3"/>
  <c r="G58" i="3"/>
  <c r="G48" i="3"/>
  <c r="G50" i="3"/>
  <c r="G52" i="3"/>
  <c r="BL16" i="3"/>
  <c r="AZ16" i="3" s="1"/>
  <c r="BL18" i="3"/>
  <c r="BL19" i="3"/>
  <c r="BA20" i="3"/>
  <c r="AZ20" i="3" s="1"/>
  <c r="BL25" i="3"/>
  <c r="BL27" i="3"/>
  <c r="BA28" i="3"/>
  <c r="AZ28" i="3" s="1"/>
  <c r="BA31" i="3"/>
  <c r="BA32" i="3"/>
  <c r="BA38" i="3"/>
  <c r="AZ38" i="3" s="1"/>
  <c r="BA41" i="3"/>
  <c r="BA42" i="3"/>
  <c r="BL48" i="3"/>
  <c r="BL54" i="3"/>
  <c r="BL55" i="3"/>
  <c r="BA59" i="3"/>
  <c r="BL61" i="3"/>
  <c r="BA19" i="3"/>
  <c r="AZ19" i="3" s="1"/>
  <c r="BA27" i="3"/>
  <c r="BL30" i="3"/>
  <c r="BL31" i="3"/>
  <c r="BL40" i="3"/>
  <c r="BL41" i="3"/>
  <c r="BL45" i="3"/>
  <c r="BA48" i="3"/>
  <c r="BA49" i="3"/>
  <c r="BA51" i="3"/>
  <c r="BL56" i="3"/>
  <c r="BA58" i="3"/>
  <c r="BL59" i="3"/>
  <c r="BL60" i="3"/>
  <c r="BA61" i="3"/>
  <c r="AZ61" i="3" s="1"/>
  <c r="BA18" i="3"/>
  <c r="BL21" i="3"/>
  <c r="AZ21" i="3" s="1"/>
  <c r="BL29" i="3"/>
  <c r="AZ29" i="3" s="1"/>
  <c r="BA37" i="3"/>
  <c r="BL39" i="3"/>
  <c r="AZ39" i="3" s="1"/>
  <c r="BA45" i="3"/>
  <c r="BA46" i="3"/>
  <c r="BL49" i="3"/>
  <c r="BL50" i="3"/>
  <c r="AZ50" i="3" s="1"/>
  <c r="BL51" i="3"/>
  <c r="BL53" i="3"/>
  <c r="AZ53" i="3" s="1"/>
  <c r="BA56" i="3"/>
  <c r="BA57" i="3"/>
  <c r="AZ57" i="3" s="1"/>
  <c r="BL58" i="3"/>
  <c r="BA60" i="3"/>
  <c r="F29" i="6"/>
  <c r="BL15" i="3"/>
  <c r="AZ15" i="3" s="1"/>
  <c r="AZ25" i="3"/>
  <c r="AZ52" i="3"/>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D86" i="43" s="1"/>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C36" i="68"/>
  <c r="C16" i="67"/>
  <c r="D3" i="73"/>
  <c r="D5" i="73"/>
  <c r="D7" i="73"/>
  <c r="D4" i="73"/>
  <c r="D9" i="68"/>
  <c r="G5" i="3" l="1"/>
  <c r="B3" i="3" s="1"/>
  <c r="AZ55" i="3"/>
  <c r="K16" i="1"/>
  <c r="B29" i="1" s="1"/>
  <c r="AZ45" i="3"/>
  <c r="AZ49" i="3"/>
  <c r="AZ27" i="3"/>
  <c r="E83" i="43"/>
  <c r="B81" i="43" s="1"/>
  <c r="N94" i="46"/>
  <c r="N370" i="46"/>
  <c r="J26" i="43"/>
  <c r="F26" i="43"/>
  <c r="AZ58" i="3"/>
  <c r="AZ59" i="3"/>
  <c r="AZ31" i="3"/>
  <c r="AZ51" i="3"/>
  <c r="AZ41" i="3"/>
  <c r="E26" i="43"/>
  <c r="H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G1" i="73"/>
  <c r="H6" i="3" l="1"/>
  <c r="AC6" i="3"/>
  <c r="D26" i="43"/>
  <c r="C25"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22" i="11" l="1"/>
  <c r="F24" i="67"/>
  <c r="C24" i="67" s="1"/>
  <c r="F24" i="15"/>
  <c r="C24" i="15" s="1"/>
  <c r="F22" i="69"/>
  <c r="F41" i="69" s="1"/>
  <c r="F22" i="68"/>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68"/>
  <c r="D22" i="68" s="1"/>
  <c r="C44" i="11"/>
  <c r="D41" i="11" s="1"/>
  <c r="C23" i="11"/>
  <c r="C24" i="11"/>
  <c r="C25" i="11"/>
  <c r="C26" i="11"/>
  <c r="D22" i="11" s="1"/>
  <c r="C66" i="67"/>
  <c r="C60" i="67"/>
  <c r="D10" i="69"/>
  <c r="C34" i="69"/>
  <c r="C17" i="15"/>
  <c r="D10" i="68"/>
  <c r="C17" i="67"/>
  <c r="C14" i="67"/>
  <c r="C44" i="69" l="1"/>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34" i="68"/>
  <c r="C14" i="15"/>
  <c r="C15" i="71" l="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20" i="9"/>
  <c r="C56" i="68" l="1"/>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L51" i="67"/>
  <c r="D2" i="33"/>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10" i="1"/>
  <c r="AO9"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H4" i="52" l="1"/>
  <c r="D14" i="74"/>
  <c r="G14" i="74" s="1"/>
  <c r="B6" i="74" s="1"/>
  <c r="D6" i="74" s="1"/>
  <c r="I118" i="9"/>
  <c r="D119" i="9"/>
  <c r="D5" i="52" s="1"/>
  <c r="B49" i="72" s="1"/>
  <c r="G118" i="9"/>
  <c r="G4" i="52" s="1"/>
  <c r="B52" i="72" s="1"/>
  <c r="C104" i="9"/>
  <c r="F119" i="9"/>
  <c r="F5" i="52" s="1"/>
  <c r="B53" i="72" s="1"/>
  <c r="H119" i="9"/>
  <c r="H5" i="52" s="1"/>
  <c r="H101" i="9"/>
  <c r="E14" i="74" l="1"/>
  <c r="F14" i="74"/>
  <c r="B5" i="74"/>
  <c r="D5" i="74" s="1"/>
  <c r="D5" i="53"/>
  <c r="H107" i="9"/>
  <c r="M48" i="9"/>
  <c r="D45" i="9"/>
  <c r="H102" i="9"/>
  <c r="E118" i="9"/>
  <c r="E4" i="52" s="1"/>
  <c r="B48" i="72" s="1"/>
  <c r="C105" i="9"/>
  <c r="I4" i="52"/>
  <c r="D53" i="9" l="1"/>
  <c r="C72" i="9"/>
  <c r="C64" i="9"/>
  <c r="C63" i="9" s="1"/>
  <c r="C67" i="9" s="1"/>
  <c r="D55" i="9"/>
  <c r="M53" i="9" s="1"/>
  <c r="C93" i="9"/>
  <c r="C86" i="9" s="1"/>
  <c r="C85" i="9"/>
  <c r="D52" i="9"/>
  <c r="C78" i="9"/>
  <c r="C73" i="9" s="1"/>
  <c r="D13" i="53"/>
  <c r="D122" i="9"/>
  <c r="H108" i="9"/>
  <c r="D7" i="53"/>
  <c r="B21" i="72" s="1"/>
  <c r="C5" i="74"/>
  <c r="B20" i="72"/>
  <c r="D6" i="53"/>
  <c r="B22" i="72" s="1"/>
  <c r="C95" i="9" l="1"/>
  <c r="D59" i="9"/>
  <c r="M55" i="9" s="1"/>
  <c r="C68" i="9"/>
  <c r="D54" i="9" s="1"/>
  <c r="D8" i="52"/>
  <c r="D123" i="9"/>
  <c r="D9" i="52" s="1"/>
  <c r="C79" i="9"/>
  <c r="D15" i="53"/>
  <c r="B31" i="72" s="1"/>
  <c r="C6" i="74"/>
  <c r="C96" i="9"/>
  <c r="E96" i="9" s="1"/>
  <c r="E97" i="9" s="1"/>
  <c r="D14" i="53"/>
  <c r="B32" i="72" s="1"/>
  <c r="B30" i="72"/>
  <c r="C97" i="9" l="1"/>
  <c r="D58" i="9" s="1"/>
  <c r="D56" i="9" s="1"/>
  <c r="M54" i="9" s="1"/>
  <c r="N57" i="9" s="1"/>
  <c r="C80" i="9"/>
  <c r="E80" i="9" s="1"/>
  <c r="E81" i="9" s="1"/>
  <c r="C81" i="9" l="1"/>
  <c r="N58" i="9"/>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<sst xmlns="http://schemas.openxmlformats.org/spreadsheetml/2006/main" count="7818" uniqueCount="3418">
  <si>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</si>
  <si>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</si>
  <si>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</si>
  <si>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</si>
  <si>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</si>
  <si>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</si>
  <si>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</si>
  <si>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</si>
  <si>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</si>
  <si>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</si>
  <si>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</si>
  <si>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</si>
  <si>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</si>
  <si>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</si>
  <si>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</si>
  <si>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</si>
  <si>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</si>
  <si>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</si>
  <si>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</si>
  <si>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</si>
  <si>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</si>
  <si>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</si>
  <si>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</si>
  <si>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</si>
  <si>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</si>
  <si>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</si>
  <si>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</si>
  <si>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</si>
  <si>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</si>
  <si>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</si>
  <si>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</si>
  <si>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</si>
  <si>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</si>
  <si>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</si>
  <si>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</si>
  <si>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</si>
  <si>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</si>
  <si>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</si>
  <si>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</si>
  <si>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</si>
  <si>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</si>
  <si>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</si>
  <si>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</si>
  <si>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</si>
  <si>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</si>
  <si>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</si>
  <si>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</si>
  <si>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</si>
  <si>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</si>
  <si>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</si>
  <si>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</si>
  <si>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</si>
  <si>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</si>
  <si>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</si>
  <si>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</si>
  <si>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</si>
  <si>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</si>
  <si>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</si>
  <si>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</si>
  <si>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</si>
  <si>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</si>
  <si>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</si>
  <si>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</si>
  <si>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</si>
  <si>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</si>
  <si>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</si>
  <si>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</si>
  <si>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</si>
  <si>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</si>
  <si>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</si>
  <si>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</si>
  <si>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</si>
  <si>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</si>
  <si>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</si>
  <si>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</si>
  <si>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</si>
  <si>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</si>
  <si>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</si>
  <si>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</si>
  <si>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</si>
  <si>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</si>
  <si>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</si>
  <si>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</si>
  <si>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</si>
  <si>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</si>
  <si>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</si>
  <si>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</si>
  <si>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</si>
  <si>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</si>
  <si>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</si>
  <si>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</si>
  <si>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</si>
  <si>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</si>
  <si>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</si>
  <si>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</si>
  <si>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</si>
  <si>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</si>
  <si>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</si>
  <si>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</si>
  <si>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</si>
  <si>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</si>
  <si>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</si>
  <si>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</si>
  <si>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</si>
  <si>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</si>
  <si>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</si>
  <si>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</si>
  <si>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</si>
  <si>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</si>
  <si>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</si>
  <si>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</si>
  <si>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</si>
  <si>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</si>
  <si>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</si>
  <si>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</si>
  <si>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</si>
  <si>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</si>
  <si>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</si>
  <si>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</si>
  <si>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</si>
  <si>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</si>
  <si>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</si>
  <si>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</si>
  <si>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</si>
  <si>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</si>
  <si>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</si>
  <si>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</si>
  <si>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</si>
  <si>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</si>
  <si>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</si>
  <si>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</si>
  <si>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</si>
  <si>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</si>
  <si>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</si>
  <si>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</si>
  <si>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</si>
  <si>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</si>
  <si>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</si>
  <si>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</si>
  <si>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</si>
  <si>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</si>
  <si>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</si>
  <si>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</si>
  <si>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</si>
  <si>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</si>
  <si>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</si>
  <si>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</si>
  <si>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</si>
  <si>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</si>
  <si>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</si>
  <si>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</si>
  <si>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</si>
  <si>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</si>
  <si>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</si>
  <si>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</si>
  <si>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</si>
  <si>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</si>
  <si>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</si>
  <si>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</si>
  <si>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</si>
  <si>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</si>
  <si>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</si>
  <si>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</si>
  <si>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</si>
  <si>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</si>
  <si>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</si>
  <si>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</si>
  <si>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</si>
  <si>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</si>
  <si>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</si>
  <si>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</si>
  <si>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</si>
  <si>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</si>
  <si>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</si>
  <si>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</si>
  <si>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</si>
  <si>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</si>
  <si>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</si>
  <si>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</si>
  <si>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</si>
  <si>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</si>
  <si>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</si>
  <si>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</si>
  <si>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</si>
  <si>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</si>
  <si>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</si>
  <si>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</si>
  <si>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</si>
  <si>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</si>
  <si>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</si>
  <si>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</si>
  <si>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</si>
  <si>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</si>
  <si>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</si>
  <si>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</si>
  <si>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</si>
  <si>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</si>
  <si>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</si>
  <si>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</si>
  <si>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</si>
  <si>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</si>
  <si>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</si>
  <si>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</si>
  <si>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</si>
  <si>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</si>
  <si>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</si>
  <si>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</si>
  <si>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</si>
  <si>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</si>
  <si>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</si>
  <si>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</si>
  <si>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</si>
  <si>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</si>
  <si>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</si>
  <si>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</si>
  <si>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</si>
  <si>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</si>
  <si>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</si>
  <si>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</si>
  <si>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</si>
  <si>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</si>
  <si>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</si>
  <si>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</si>
  <si>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</si>
  <si>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</si>
  <si>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</si>
  <si>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</si>
  <si>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</si>
  <si>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</si>
  <si>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</si>
  <si>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</si>
  <si>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</si>
  <si>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</si>
  <si>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</si>
  <si>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</si>
  <si>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</si>
  <si>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</si>
  <si>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</si>
  <si>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</si>
  <si>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</si>
  <si>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</si>
  <si>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</si>
  <si>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</si>
  <si>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</si>
  <si>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</si>
  <si>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</si>
  <si>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</si>
  <si>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</si>
  <si>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</si>
  <si>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</si>
  <si>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</si>
  <si>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</si>
  <si>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</si>
  <si>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</si>
  <si>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</si>
  <si>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</si>
  <si>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</si>
  <si>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</si>
  <si>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</si>
  <si>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</si>
  <si>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</si>
  <si>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</si>
  <si>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</si>
  <si>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</si>
  <si>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</si>
  <si>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</si>
  <si>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</si>
  <si>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</si>
  <si>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</si>
  <si>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</si>
  <si>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</si>
  <si>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</si>
  <si>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</si>
  <si>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</si>
  <si>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</si>
  <si>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</si>
  <si>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</si>
  <si>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</si>
  <si>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</si>
  <si>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</si>
  <si>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</si>
  <si>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</si>
  <si>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</si>
  <si>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</si>
  <si>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</si>
  <si>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</si>
  <si>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</si>
  <si>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</si>
  <si>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</si>
  <si>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</si>
  <si>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</si>
  <si>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</si>
  <si>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</si>
  <si>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</si>
  <si>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</si>
  <si>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</si>
  <si>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</si>
  <si>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</si>
  <si>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</si>
  <si>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</si>
  <si>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</si>
  <si>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</si>
  <si>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</si>
  <si>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</si>
  <si>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</si>
  <si>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</si>
  <si>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</si>
  <si>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</si>
  <si>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</si>
  <si>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</si>
  <si>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</si>
  <si>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</si>
  <si>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</si>
  <si>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</si>
  <si>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</si>
  <si>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</si>
  <si>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</si>
  <si>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</si>
  <si>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</si>
  <si>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</si>
  <si>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</si>
  <si>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</si>
  <si>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</si>
  <si>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</si>
  <si>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</si>
  <si>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</si>
  <si>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</si>
  <si>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</si>
  <si>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</si>
  <si>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</si>
  <si>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</si>
  <si>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</si>
  <si>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</si>
  <si>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</si>
  <si>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</si>
  <si>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</si>
  <si>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</si>
  <si>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</si>
  <si>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</si>
  <si>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</si>
  <si>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</si>
  <si>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</si>
  <si>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</si>
  <si>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</si>
  <si>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</si>
  <si>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</si>
  <si>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</si>
  <si>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</si>
  <si>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</si>
  <si>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</si>
  <si>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</si>
  <si>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</si>
  <si>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</si>
  <si>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</si>
  <si>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</si>
  <si>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</si>
  <si>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</si>
  <si>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</si>
  <si>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</si>
  <si>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</si>
  <si>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</si>
  <si>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</si>
  <si>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</si>
  <si>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</si>
  <si>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</si>
  <si>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</si>
  <si>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</si>
  <si>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</si>
  <si>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</si>
  <si>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</si>
  <si>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</si>
  <si>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</si>
  <si>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</si>
  <si>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</si>
  <si>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</si>
  <si>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</si>
  <si>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</si>
  <si>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</si>
  <si>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</si>
  <si>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</si>
  <si>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</si>
  <si>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</si>
  <si>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</si>
  <si>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</si>
  <si>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</si>
  <si>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</si>
  <si>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</si>
  <si>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</si>
  <si>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</si>
  <si>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</si>
  <si>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</si>
  <si>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</si>
  <si>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</si>
  <si>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</si>
  <si>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</si>
  <si>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</si>
  <si>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</si>
  <si>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</si>
  <si>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</si>
  <si>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</si>
  <si>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</si>
  <si>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</si>
  <si>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</si>
  <si>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</si>
  <si>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</si>
  <si>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</si>
  <si>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</si>
  <si>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</si>
  <si>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</si>
  <si>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</si>
  <si>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</si>
  <si>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</si>
  <si>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</si>
  <si>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</si>
  <si>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</si>
  <si>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</si>
  <si>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</si>
  <si>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</si>
  <si>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</si>
  <si>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</si>
  <si>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</si>
  <si>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</si>
  <si>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</si>
  <si>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</si>
  <si>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</si>
  <si>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</si>
  <si>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</si>
  <si>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</si>
  <si>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</si>
  <si>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</si>
  <si>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</si>
  <si>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</si>
  <si>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</si>
  <si>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</si>
  <si>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</si>
  <si>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</si>
  <si>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</si>
  <si>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</si>
  <si>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</si>
  <si>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</si>
  <si>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</si>
  <si>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</si>
  <si>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</si>
  <si>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</si>
  <si>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</si>
  <si>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</si>
  <si>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</si>
  <si>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</si>
  <si>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</si>
  <si>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</si>
  <si>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</si>
  <si>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</si>
  <si>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</si>
  <si>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</si>
  <si>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</si>
  <si>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</si>
  <si>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</si>
  <si>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</si>
  <si>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</si>
  <si>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</si>
  <si>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</si>
  <si>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</si>
  <si>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</si>
  <si>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</si>
  <si>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</si>
  <si>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</si>
  <si>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</si>
  <si>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</si>
  <si>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</si>
  <si>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</si>
  <si>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</si>
  <si>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</si>
  <si>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</si>
  <si>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</si>
  <si>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</si>
  <si>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</si>
  <si>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</si>
  <si>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</si>
  <si>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</si>
  <si>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</si>
  <si>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</si>
  <si>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</si>
  <si>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</si>
  <si>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</si>
  <si>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</si>
  <si>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</si>
  <si>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</si>
  <si>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</si>
  <si>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</si>
  <si>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</si>
  <si>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</si>
  <si>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</si>
  <si>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</si>
  <si>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</si>
  <si>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</si>
  <si>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</si>
  <si>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</si>
  <si>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</si>
  <si>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</si>
  <si>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</si>
  <si>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</si>
  <si>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</si>
  <si>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</si>
  <si>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</si>
  <si>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</si>
  <si>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</si>
  <si>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</si>
  <si>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</si>
  <si>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</si>
  <si>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</si>
  <si>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</si>
  <si>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</si>
  <si>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</si>
  <si>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</si>
  <si>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</si>
  <si>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</si>
  <si>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</si>
  <si>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</si>
  <si>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</si>
  <si>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</si>
  <si>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</si>
  <si>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</si>
  <si>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</si>
  <si>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</si>
  <si>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</si>
  <si>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</si>
  <si>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</si>
  <si>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</si>
  <si>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</si>
  <si>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</si>
  <si>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</si>
  <si>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</si>
  <si>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</si>
  <si>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</si>
  <si>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</si>
  <si>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</si>
  <si>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</si>
  <si>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</si>
  <si>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</si>
  <si>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</si>
  <si>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</si>
  <si>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</si>
  <si>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</si>
  <si>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</si>
  <si>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</si>
  <si>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</si>
  <si>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</si>
  <si>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</si>
  <si>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</si>
  <si>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</si>
  <si>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</si>
  <si>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</si>
  <si>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</si>
  <si>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</si>
  <si>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</si>
  <si>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</si>
  <si>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</si>
  <si>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</si>
  <si>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</si>
  <si>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</si>
  <si>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</si>
  <si>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</si>
  <si>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</si>
  <si>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</si>
  <si>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</si>
  <si>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</si>
  <si>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</si>
  <si>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</si>
  <si>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</si>
  <si>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</si>
  <si>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</si>
  <si>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</si>
  <si>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</si>
  <si>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</si>
  <si>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</si>
  <si>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</si>
  <si>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</si>
  <si>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</si>
  <si>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</si>
  <si>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</si>
  <si>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</si>
  <si>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</si>
  <si>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</si>
  <si>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</si>
  <si>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</si>
  <si>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</si>
  <si>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</si>
  <si>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</si>
  <si>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</si>
  <si>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</si>
  <si>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</si>
  <si>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</si>
  <si>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</si>
  <si>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</si>
  <si>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</si>
  <si>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</si>
  <si>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</si>
  <si>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</si>
  <si>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</si>
  <si>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</si>
  <si>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</si>
  <si>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</si>
  <si>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</si>
  <si>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</si>
  <si>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</si>
  <si>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</si>
  <si>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</si>
  <si>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</si>
  <si>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</si>
  <si>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</si>
  <si>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</si>
  <si>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</si>
  <si>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</si>
  <si>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</si>
  <si>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</si>
  <si>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</si>
  <si>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</si>
  <si>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</si>
  <si>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</si>
  <si>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</si>
  <si>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</si>
  <si>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</si>
  <si>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</si>
  <si>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</si>
  <si>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</si>
  <si>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</si>
  <si>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</si>
  <si>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</si>
  <si>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</si>
  <si>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</si>
  <si>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</si>
  <si>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</si>
  <si>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</si>
  <si>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</si>
  <si>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</si>
  <si>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</si>
  <si>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</si>
  <si>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</si>
  <si>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</si>
  <si>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</si>
  <si>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</si>
  <si>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</si>
  <si>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</si>
  <si>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</si>
  <si>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</si>
  <si>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</si>
  <si>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</si>
  <si>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</si>
  <si>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</si>
  <si>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</si>
  <si>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</si>
  <si>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</si>
  <si>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</si>
  <si>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</si>
  <si>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</si>
  <si>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</si>
  <si>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</si>
  <si>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</si>
  <si>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</si>
  <si>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</si>
  <si>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</si>
  <si>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</si>
  <si>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</si>
  <si>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</si>
  <si>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</si>
  <si>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</si>
  <si>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</si>
  <si>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</si>
  <si>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</si>
  <si>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</si>
  <si>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</si>
  <si>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</si>
  <si>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</si>
  <si>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</si>
  <si>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</si>
  <si>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</si>
  <si>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</si>
  <si>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</si>
  <si>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</si>
  <si>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</si>
  <si>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</si>
  <si>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</si>
  <si>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</si>
  <si>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</si>
  <si>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</si>
  <si>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</si>
  <si>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</si>
  <si>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</si>
  <si>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</si>
  <si>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</si>
  <si>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</si>
  <si>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</si>
  <si>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</si>
  <si>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</si>
  <si>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</si>
  <si>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</si>
  <si>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</si>
  <si>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</si>
  <si>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</si>
  <si>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</si>
  <si>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</si>
  <si>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</si>
  <si>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</si>
  <si>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</si>
  <si>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</si>
  <si>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</si>
  <si>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</si>
  <si>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</si>
  <si>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</si>
  <si>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</si>
  <si>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</si>
  <si>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</si>
  <si>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</si>
  <si>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</si>
  <si>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</si>
  <si>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</si>
  <si>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</si>
  <si>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</si>
  <si>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</si>
  <si>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</si>
  <si>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</si>
  <si>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</si>
  <si>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</si>
  <si>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</si>
  <si>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</si>
  <si>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</si>
  <si>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</si>
  <si>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</si>
  <si>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</si>
  <si>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</si>
  <si>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</si>
  <si>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</si>
  <si>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</si>
  <si>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</si>
  <si>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</si>
  <si>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</si>
  <si>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</si>
  <si>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</si>
  <si>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</si>
  <si>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</si>
  <si>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</si>
  <si>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</si>
  <si>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</si>
  <si>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</si>
  <si>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</si>
  <si>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</si>
  <si>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</si>
  <si>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</si>
  <si>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</si>
  <si>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</si>
  <si>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</si>
  <si>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</si>
  <si>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</si>
  <si>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</si>
  <si>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</si>
  <si>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</si>
  <si>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</si>
  <si>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</si>
  <si>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</si>
  <si>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</si>
  <si>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</si>
  <si>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</si>
  <si>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</si>
  <si>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</si>
  <si>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</si>
  <si>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</si>
  <si>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</si>
  <si>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</si>
  <si>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</si>
  <si>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</si>
  <si>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</si>
  <si>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</si>
  <si>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</si>
  <si>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</si>
  <si>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</si>
  <si>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</si>
  <si>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</si>
  <si>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</si>
  <si>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</si>
  <si>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</si>
  <si>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</si>
  <si>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</si>
  <si>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</si>
  <si>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</si>
  <si>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</si>
  <si>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</si>
  <si>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</si>
  <si>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</si>
  <si>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</si>
  <si>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</si>
  <si>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</si>
  <si>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</si>
  <si>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</si>
  <si>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</si>
  <si>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</si>
  <si>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</si>
  <si>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</si>
  <si>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</si>
  <si>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</si>
  <si>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</si>
  <si>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</si>
  <si>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</si>
  <si>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</si>
  <si>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</si>
  <si>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</si>
  <si>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</si>
  <si>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</si>
  <si>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</si>
  <si>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</si>
  <si>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</si>
  <si>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</si>
  <si>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</si>
  <si>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</si>
  <si>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</si>
  <si>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</si>
  <si>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</si>
  <si>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</si>
  <si>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</si>
  <si>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</si>
  <si>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</si>
  <si>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</si>
  <si>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</si>
  <si>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</si>
  <si>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</si>
  <si>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</si>
  <si>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</si>
  <si>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</si>
  <si>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</si>
  <si>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</si>
  <si>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</si>
  <si>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</si>
  <si>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</si>
  <si>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</si>
  <si>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</si>
  <si>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</si>
  <si>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</si>
  <si>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</si>
  <si>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</si>
  <si>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</si>
  <si>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</si>
  <si>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</si>
  <si>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</si>
  <si>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</si>
  <si>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</si>
  <si>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</si>
  <si>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</si>
  <si>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</si>
  <si>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</si>
  <si>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</si>
  <si>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</si>
  <si>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</si>
  <si>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</si>
  <si>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</si>
  <si>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</si>
  <si>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</si>
  <si>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</si>
  <si>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</si>
  <si>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</si>
  <si>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</si>
  <si>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</si>
  <si>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</si>
  <si>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</si>
  <si>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</si>
  <si>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</si>
  <si>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</si>
  <si>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</si>
  <si>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</si>
  <si>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</si>
  <si>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</si>
  <si>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</si>
  <si>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</si>
  <si>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</si>
  <si>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</si>
  <si>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</si>
  <si>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</si>
  <si>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</si>
  <si>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</si>
  <si>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</si>
  <si>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</si>
  <si>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</si>
  <si>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</si>
  <si>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</si>
  <si>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</si>
  <si>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</si>
  <si>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</si>
  <si>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</si>
  <si>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</si>
  <si>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</si>
  <si>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</si>
  <si>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</si>
  <si>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</si>
  <si>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</si>
  <si>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</si>
  <si>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</si>
  <si>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</si>
  <si>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</si>
  <si>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</si>
  <si>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</si>
  <si>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</si>
  <si>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</si>
  <si>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</si>
  <si>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</si>
  <si>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</si>
  <si>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</si>
  <si>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</si>
  <si>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</si>
  <si>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</si>
  <si>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</si>
  <si>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</si>
  <si>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</si>
  <si>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</si>
  <si>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</si>
  <si>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</si>
  <si>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</si>
  <si>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</si>
  <si>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</si>
  <si>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</si>
  <si>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</si>
  <si>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</si>
  <si>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</si>
  <si>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</si>
  <si>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</si>
  <si>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</si>
  <si>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</si>
  <si>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</si>
  <si>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</si>
  <si>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</si>
  <si>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</si>
  <si>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</si>
  <si>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</si>
  <si>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</si>
  <si>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</si>
  <si>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</si>
  <si>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</si>
  <si>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</si>
  <si>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</si>
  <si>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</si>
  <si>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</si>
  <si>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</si>
  <si>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</si>
  <si>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</si>
  <si>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</si>
  <si>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</si>
  <si>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</si>
  <si>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</si>
  <si>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</si>
  <si>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</si>
  <si>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</si>
  <si>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</si>
  <si>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</si>
  <si>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</si>
  <si>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</si>
  <si>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</si>
  <si>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</si>
  <si>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</si>
  <si>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</si>
  <si>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</si>
  <si>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</si>
  <si>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</si>
  <si>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</si>
  <si>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</si>
  <si>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</si>
  <si>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</si>
  <si>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</si>
  <si>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</si>
  <si>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</si>
  <si>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</si>
  <si>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</si>
  <si>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</si>
  <si>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</si>
  <si>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</si>
  <si>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</si>
  <si>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</si>
  <si>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</si>
  <si>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</si>
  <si>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</si>
  <si>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</si>
  <si>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</si>
  <si>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</si>
  <si>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</si>
  <si>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</si>
  <si>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</si>
  <si>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</si>
  <si>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</si>
  <si>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</si>
  <si>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</si>
  <si>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</si>
  <si>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</si>
  <si>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</si>
  <si>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</si>
  <si>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</si>
  <si>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</si>
  <si>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</si>
  <si>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</si>
  <si>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</si>
  <si>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</si>
  <si>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</si>
  <si>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</si>
  <si>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</si>
  <si>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</si>
  <si>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</si>
  <si>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</si>
  <si>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</si>
  <si>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</si>
  <si>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</si>
  <si>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</si>
  <si>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</si>
  <si>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</si>
  <si>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</si>
  <si>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</si>
  <si>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</si>
  <si>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</si>
  <si>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</si>
  <si>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</si>
  <si>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</si>
  <si>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</si>
  <si>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</si>
  <si>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</si>
  <si>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</si>
  <si>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</si>
  <si>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</si>
  <si>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</si>
  <si>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</si>
  <si>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</si>
  <si>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</si>
  <si>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</si>
  <si>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</si>
  <si>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</si>
  <si>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</si>
  <si>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</si>
  <si>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</si>
  <si>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</si>
  <si>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</si>
  <si>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</si>
  <si>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</si>
  <si>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</si>
  <si>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</si>
  <si>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</si>
  <si>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</si>
  <si>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</si>
  <si>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</si>
  <si>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</si>
  <si>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</si>
  <si>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</si>
  <si>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</si>
  <si>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</si>
  <si>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</si>
  <si>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</si>
  <si>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</si>
  <si>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</si>
  <si>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</si>
  <si>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</si>
  <si>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</si>
  <si>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</si>
  <si>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</si>
  <si>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</si>
  <si>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</si>
  <si>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</si>
  <si>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</si>
  <si>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</si>
  <si>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</si>
  <si>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</si>
  <si>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</si>
  <si>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</si>
  <si>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</si>
  <si>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</si>
  <si>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</si>
  <si>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</si>
  <si>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</si>
  <si>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</si>
  <si>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</si>
  <si>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</si>
  <si>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</si>
  <si>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</si>
  <si>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</si>
  <si>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</si>
  <si>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</si>
  <si>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</si>
  <si>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</si>
  <si>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</si>
  <si>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</si>
  <si>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</si>
  <si>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</si>
  <si>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</si>
  <si>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</si>
  <si>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</si>
  <si>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</si>
  <si>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</si>
  <si>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</si>
  <si>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</si>
  <si>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</si>
  <si>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</si>
  <si>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</si>
  <si>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</si>
  <si>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</si>
  <si>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</si>
  <si>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</si>
  <si>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</si>
  <si>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</si>
  <si>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</si>
  <si>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</si>
  <si>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</si>
  <si>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</si>
  <si>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</si>
  <si>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</si>
  <si>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</si>
  <si>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</si>
  <si>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</si>
  <si>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</si>
  <si>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</si>
  <si>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</si>
  <si>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</si>
  <si>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</si>
  <si>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</si>
  <si>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</si>
  <si>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</si>
  <si>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</si>
  <si>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</si>
  <si>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</si>
  <si>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</si>
  <si>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</si>
  <si>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</si>
  <si>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</si>
  <si>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</si>
  <si>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</si>
  <si>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</si>
  <si>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</si>
  <si>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</si>
  <si>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</si>
  <si>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</si>
  <si>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</si>
  <si>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</si>
  <si>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</si>
  <si>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</si>
  <si>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</si>
  <si>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</si>
  <si>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</si>
  <si>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</si>
  <si>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</si>
  <si>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</si>
  <si>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</si>
  <si>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</si>
  <si>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</si>
  <si>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</si>
  <si>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</si>
  <si>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</si>
  <si>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</si>
  <si>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</si>
  <si>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</si>
  <si>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</si>
  <si>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</si>
  <si>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</si>
  <si>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</si>
  <si>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</si>
  <si>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</si>
  <si>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</si>
  <si>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</si>
  <si>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</si>
  <si>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</si>
  <si>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</si>
  <si>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</si>
  <si>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</si>
  <si>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</si>
  <si>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</si>
  <si>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</si>
  <si>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</si>
  <si>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</si>
  <si>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</si>
  <si>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</si>
  <si>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</si>
  <si>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</si>
  <si>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</si>
  <si>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</si>
  <si>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</si>
  <si>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</si>
  <si>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</si>
  <si>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</si>
  <si>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</si>
  <si>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</si>
  <si>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</si>
  <si>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</si>
  <si>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</si>
  <si>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</si>
  <si>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</si>
  <si>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</si>
  <si>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</si>
  <si>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</si>
  <si>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</si>
  <si>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</si>
  <si>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</si>
  <si>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</si>
  <si>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</si>
  <si>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</si>
  <si>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</si>
  <si>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</si>
  <si>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</si>
  <si>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</si>
  <si>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</si>
  <si>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</si>
  <si>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</si>
  <si>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</si>
  <si>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</si>
  <si>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</si>
  <si>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</si>
  <si>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</si>
  <si>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</si>
  <si>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</si>
  <si>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</si>
  <si>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</si>
  <si>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</si>
  <si>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</si>
  <si>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</si>
  <si>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</si>
  <si>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</si>
  <si>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</si>
  <si>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</si>
  <si>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</si>
  <si>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</si>
  <si>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</si>
  <si>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</si>
  <si>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</si>
  <si>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</si>
  <si>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</si>
  <si>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</si>
  <si>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</si>
  <si>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</si>
  <si>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</si>
  <si>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</si>
  <si>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</si>
  <si>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</si>
  <si>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</si>
  <si>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</si>
  <si>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</si>
  <si>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</si>
  <si>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</si>
  <si>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</si>
  <si>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</si>
  <si>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</si>
  <si>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</si>
  <si>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</si>
  <si>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</si>
  <si>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</si>
  <si>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</si>
  <si>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</si>
  <si>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</si>
  <si>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</si>
  <si>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</si>
  <si>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</si>
  <si>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</si>
  <si>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</si>
  <si>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</si>
  <si>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</si>
  <si>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</si>
  <si>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</si>
  <si>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</si>
  <si>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</si>
  <si>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</si>
  <si>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</si>
  <si>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</si>
  <si>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</si>
  <si>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</si>
  <si>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</si>
  <si>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</si>
  <si>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</si>
  <si>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</si>
  <si>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</si>
  <si>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</si>
  <si>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</si>
  <si>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</si>
  <si>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</si>
  <si>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</si>
  <si>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</si>
  <si>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</si>
  <si>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</si>
  <si>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</si>
  <si>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</si>
  <si>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</si>
  <si>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</si>
  <si>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</si>
  <si>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</si>
  <si>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</si>
  <si>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</si>
  <si>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</si>
  <si>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</si>
  <si>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</si>
  <si>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</si>
  <si>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</si>
  <si>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</si>
  <si>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</si>
  <si>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</si>
  <si>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</si>
  <si>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</si>
  <si>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</si>
  <si>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</si>
  <si>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</si>
  <si>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</si>
  <si>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</si>
  <si>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</si>
  <si>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</si>
  <si>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</si>
  <si>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</si>
  <si>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</si>
  <si>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</si>
  <si>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</si>
  <si>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</si>
  <si>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</si>
  <si>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</si>
  <si>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</si>
  <si>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</si>
  <si>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</si>
  <si>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</si>
  <si>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</si>
  <si>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</si>
  <si>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</si>
  <si>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</si>
  <si>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</si>
  <si>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</si>
  <si>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</si>
  <si>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</si>
  <si>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</si>
  <si>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</si>
  <si>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</si>
  <si>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</si>
  <si>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</si>
  <si>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</si>
  <si>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</si>
  <si>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</si>
  <si>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</si>
  <si>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</si>
  <si>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</si>
  <si>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</si>
  <si>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</si>
  <si>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</si>
  <si>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</si>
  <si>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</si>
  <si>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</si>
  <si>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</si>
  <si>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</si>
  <si>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</si>
  <si>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</si>
  <si>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</si>
  <si>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</si>
  <si>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</si>
  <si>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</si>
  <si>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</si>
  <si>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</si>
  <si>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</si>
  <si>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</si>
  <si>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</si>
  <si>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</si>
  <si>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</si>
  <si>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</si>
  <si>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</si>
  <si>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</si>
  <si>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</si>
  <si>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</si>
  <si>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</si>
  <si>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</si>
  <si>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</si>
  <si>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</si>
  <si>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</si>
  <si>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</si>
  <si>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</si>
  <si>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</si>
  <si>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</si>
  <si>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</si>
  <si>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</si>
  <si>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</si>
  <si>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</si>
  <si>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</si>
  <si>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</si>
  <si>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</si>
  <si>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</si>
  <si>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</si>
  <si>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</si>
  <si>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</si>
  <si>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</si>
  <si>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</si>
  <si>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</si>
  <si>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</si>
  <si>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</si>
  <si>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</si>
  <si>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</si>
  <si>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</si>
  <si>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</si>
  <si>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</si>
  <si>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</si>
  <si>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</si>
  <si>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</si>
  <si>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</si>
  <si>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</si>
  <si>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</si>
  <si>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</si>
  <si>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</si>
  <si>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</si>
  <si>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</si>
  <si>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</si>
  <si>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</si>
  <si>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</si>
  <si>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</si>
  <si>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</si>
  <si>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</si>
  <si>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</si>
  <si>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</si>
  <si>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</si>
  <si>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</si>
  <si>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</si>
  <si>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</si>
  <si>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</si>
  <si>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</si>
  <si>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</si>
  <si>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</si>
  <si>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</si>
  <si>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</si>
  <si>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</si>
  <si>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</si>
  <si>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</si>
  <si>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</si>
  <si>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</si>
  <si>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</si>
  <si>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</si>
  <si>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</si>
  <si>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</si>
  <si>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</si>
  <si>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</si>
  <si>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</si>
  <si>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</si>
  <si>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</si>
  <si>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</si>
  <si>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</si>
  <si>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</si>
  <si>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</si>
  <si>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</si>
  <si>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</si>
  <si>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</si>
  <si>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</si>
  <si>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</si>
  <si>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</si>
  <si>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</si>
  <si>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</si>
  <si>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</si>
  <si>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</si>
  <si>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</si>
  <si>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</si>
  <si>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</si>
  <si>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</si>
  <si>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</si>
  <si>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</si>
  <si>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</si>
  <si>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</si>
  <si>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</si>
  <si>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</si>
  <si>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</si>
  <si>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</si>
  <si>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</si>
  <si>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</si>
  <si>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</si>
  <si>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</si>
  <si>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</si>
  <si>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</si>
  <si>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</si>
  <si>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</si>
  <si>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</si>
  <si>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</si>
  <si>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</si>
  <si>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</si>
  <si>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</si>
  <si>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</si>
  <si>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</si>
  <si>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</si>
  <si>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</si>
  <si>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</si>
  <si>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</si>
  <si>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</si>
  <si>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</si>
  <si>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</si>
  <si>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</si>
  <si>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</si>
  <si>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</si>
  <si>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</si>
  <si>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</si>
  <si>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</si>
  <si>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</si>
  <si>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</si>
  <si>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</si>
  <si>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</si>
  <si>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</si>
  <si>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</si>
  <si>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</si>
  <si>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</si>
  <si>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</si>
  <si>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</si>
  <si>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</si>
  <si>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</si>
  <si>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</si>
  <si>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</si>
  <si>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</si>
  <si>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</si>
  <si>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</si>
  <si>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</si>
  <si>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</si>
  <si>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</si>
  <si>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</si>
  <si>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</si>
  <si>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</si>
  <si>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</si>
  <si>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</si>
  <si>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</si>
  <si>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</si>
  <si>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</si>
  <si>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</si>
  <si>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</si>
  <si>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</si>
  <si>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</si>
  <si>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</si>
  <si>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</si>
  <si>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</si>
  <si>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</si>
  <si>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</si>
  <si>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</si>
  <si>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</si>
  <si>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</si>
  <si>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</si>
  <si>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</si>
  <si>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</si>
  <si>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</si>
  <si>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</si>
  <si>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</si>
  <si>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</si>
  <si>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</si>
  <si>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</si>
  <si>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</si>
  <si>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</si>
  <si>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</si>
  <si>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</si>
  <si>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</si>
  <si>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</si>
  <si>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</si>
  <si>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</si>
  <si>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</si>
  <si>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</si>
  <si>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</si>
  <si>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</si>
  <si>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</si>
  <si>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</si>
  <si>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</si>
  <si>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</si>
  <si>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</si>
  <si>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</si>
  <si>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</si>
  <si>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</si>
  <si>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</si>
  <si>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</si>
  <si>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</si>
  <si>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</si>
  <si>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</si>
  <si>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</si>
  <si>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</si>
  <si>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</si>
  <si>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</si>
  <si>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</si>
  <si>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</si>
  <si>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</si>
  <si>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</si>
  <si>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</si>
  <si>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</si>
  <si>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</si>
  <si>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</si>
  <si>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</si>
  <si>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</si>
  <si>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</si>
  <si>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</si>
  <si>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</si>
  <si>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</si>
  <si>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</si>
  <si>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</si>
  <si>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</si>
  <si>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</si>
  <si>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</si>
  <si>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</si>
  <si>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</si>
  <si>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</si>
  <si>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</si>
  <si>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</si>
  <si>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</si>
  <si>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</si>
  <si>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</si>
  <si>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</si>
  <si>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</si>
  <si>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</si>
  <si>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</si>
  <si>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</si>
  <si>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</si>
  <si>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</si>
  <si>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</si>
  <si>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</si>
  <si>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</si>
  <si>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</si>
  <si>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</si>
  <si>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</si>
  <si>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</si>
  <si>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</si>
  <si>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</si>
  <si>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</si>
  <si>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</si>
  <si>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</si>
  <si>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</si>
  <si>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</si>
  <si>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</si>
  <si>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</si>
  <si>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</si>
  <si>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</si>
  <si>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</si>
  <si>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</si>
  <si>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</si>
  <si>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</si>
  <si>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</si>
  <si>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</si>
  <si>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</si>
  <si>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</si>
  <si>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</si>
  <si>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</si>
  <si>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</si>
  <si>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</si>
  <si>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</si>
  <si>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</si>
  <si>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</si>
  <si>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</si>
  <si>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</si>
  <si>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</si>
  <si>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</si>
  <si>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</si>
  <si>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</si>
  <si>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</si>
  <si>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</si>
  <si>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</si>
  <si>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</si>
  <si>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</si>
  <si>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</si>
  <si>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</si>
  <si>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</si>
  <si>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</si>
  <si>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</si>
  <si>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</si>
  <si>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</si>
  <si>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</si>
  <si>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</si>
  <si>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</si>
  <si>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</si>
  <si>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</si>
  <si>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</si>
  <si>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</si>
  <si>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</si>
  <si>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</si>
  <si>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</si>
  <si>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</si>
  <si>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</si>
  <si>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</si>
  <si>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</si>
  <si>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</si>
  <si>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</si>
  <si>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</si>
  <si>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</si>
  <si>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</si>
  <si>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</si>
  <si>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</si>
  <si>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</si>
  <si>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</si>
  <si>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</si>
  <si>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</si>
  <si>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</si>
  <si>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</si>
  <si>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</si>
  <si>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</si>
  <si>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</si>
  <si>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</si>
  <si>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</si>
  <si>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</si>
  <si>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</si>
  <si>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</si>
  <si>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</si>
  <si>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</si>
  <si>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</si>
  <si>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</si>
  <si>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</si>
  <si>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</si>
  <si>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</si>
  <si>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</si>
  <si>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</si>
  <si>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</si>
  <si>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</si>
  <si>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</si>
  <si>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</si>
  <si>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</si>
  <si>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</si>
  <si>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</si>
  <si>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</si>
  <si>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</si>
  <si>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</si>
  <si>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</si>
  <si>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</si>
  <si>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</si>
  <si>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</si>
  <si>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</si>
  <si>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</si>
  <si>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</si>
  <si>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</si>
  <si>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</si>
  <si>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</si>
  <si>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</si>
  <si>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</si>
  <si>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</si>
  <si>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</si>
  <si>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</si>
  <si>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</si>
  <si>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</si>
  <si>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</si>
  <si>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</si>
  <si>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</si>
  <si>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</si>
  <si>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</si>
  <si>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</si>
  <si>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</si>
  <si>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</si>
  <si>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</si>
  <si>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</si>
  <si>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</si>
  <si>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</si>
  <si>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</si>
  <si>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</si>
  <si>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</si>
  <si>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</si>
  <si>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</si>
  <si>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</si>
  <si>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</si>
  <si>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</si>
  <si>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</si>
  <si>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</si>
  <si>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</si>
  <si>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</si>
  <si>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</si>
  <si>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</si>
  <si>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</si>
  <si>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</si>
  <si>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</si>
  <si>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</si>
  <si>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</si>
  <si>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</si>
  <si>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</si>
  <si>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</si>
  <si>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</si>
  <si>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</si>
  <si>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</si>
  <si>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</si>
  <si>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</si>
  <si>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</si>
  <si>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</si>
  <si>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</si>
  <si>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</si>
  <si>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</si>
  <si>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</si>
  <si>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</si>
  <si>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</si>
  <si>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</si>
  <si>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</si>
  <si>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</si>
  <si>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</si>
  <si>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</si>
  <si>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</si>
  <si>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</si>
  <si>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</si>
  <si>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</si>
  <si>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</si>
  <si>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</si>
  <si>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</si>
  <si>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</si>
  <si>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</si>
  <si>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</si>
  <si>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</si>
  <si>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</si>
  <si>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</si>
  <si>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</si>
  <si>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</si>
  <si>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</si>
  <si>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</si>
  <si>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</si>
  <si>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</si>
  <si>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</si>
  <si>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</si>
  <si>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</si>
  <si>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</si>
  <si>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</si>
  <si>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</si>
  <si>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</si>
  <si>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</si>
  <si>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</si>
  <si>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</si>
  <si>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</si>
  <si>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</si>
  <si>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</si>
  <si>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</si>
  <si>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</si>
  <si>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</si>
  <si>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</si>
  <si>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</si>
  <si>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</si>
  <si>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</si>
  <si>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</si>
  <si>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</si>
  <si>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</si>
  <si>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</si>
  <si>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</si>
  <si>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</si>
  <si>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</si>
  <si>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</si>
  <si>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</si>
  <si>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</si>
  <si>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</si>
  <si>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</si>
  <si>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</si>
  <si>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</si>
  <si>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</si>
  <si>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</si>
  <si>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</si>
  <si>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</si>
  <si>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</si>
  <si>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</si>
  <si>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</si>
  <si>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</si>
  <si>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</si>
  <si>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</si>
  <si>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</si>
  <si>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</si>
  <si>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</si>
  <si>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</si>
  <si>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</si>
  <si>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</si>
  <si>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</si>
  <si>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</si>
  <si>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</si>
  <si>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</si>
  <si>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</si>
  <si>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</si>
  <si>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</si>
  <si>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</si>
  <si>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</si>
  <si>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</si>
  <si>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</si>
  <si>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</si>
  <si>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</si>
  <si>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</si>
  <si>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</si>
  <si>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</si>
  <si>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</si>
  <si>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</si>
  <si>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</si>
  <si>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</si>
  <si>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</si>
  <si>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</si>
  <si>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</si>
  <si>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</si>
  <si>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</si>
  <si>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</si>
  <si>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</si>
  <si>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</si>
  <si>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</si>
  <si>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</si>
  <si>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</si>
  <si>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</si>
  <si>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</si>
  <si>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</si>
  <si>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</si>
  <si>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</si>
  <si>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</si>
  <si>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</si>
  <si>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</si>
  <si>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</si>
  <si>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</si>
  <si>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</si>
  <si>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</si>
  <si>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</si>
  <si>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</si>
  <si>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</si>
  <si>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</si>
  <si>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</si>
  <si>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</si>
  <si>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</si>
  <si>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</si>
  <si>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</si>
  <si>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</si>
  <si>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</si>
  <si>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</si>
  <si>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</si>
  <si>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</si>
  <si>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</si>
  <si>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</si>
  <si>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</si>
  <si>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</si>
  <si>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</si>
  <si>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</si>
  <si>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</si>
  <si>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</si>
  <si>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</si>
  <si>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</si>
  <si>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</si>
  <si>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</si>
  <si>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</si>
  <si>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</si>
  <si>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</si>
  <si>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</si>
  <si>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</si>
  <si>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</si>
  <si>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</si>
  <si>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</si>
  <si>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</si>
  <si>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</si>
  <si>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</si>
  <si>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</si>
  <si>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</si>
  <si>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</si>
  <si>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</si>
  <si>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</si>
  <si>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</si>
  <si>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</si>
  <si>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</si>
  <si>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</si>
  <si>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</si>
  <si>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</si>
  <si>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</si>
  <si>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</si>
  <si>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</si>
  <si>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</si>
  <si>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</si>
  <si>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</si>
  <si>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</si>
  <si>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</si>
  <si>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</si>
  <si>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</si>
  <si>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</si>
  <si>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</si>
  <si>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</si>
  <si>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</si>
  <si>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</si>
  <si>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</si>
  <si>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</si>
  <si>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</si>
  <si>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</si>
  <si>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</si>
  <si>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</si>
  <si>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</si>
  <si>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</si>
  <si>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</si>
  <si>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</si>
  <si>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</si>
  <si>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</si>
  <si>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</si>
  <si>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</si>
  <si>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</si>
  <si>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</si>
  <si>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</si>
  <si>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</si>
  <si>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</si>
  <si>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</si>
  <si>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</si>
  <si>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</si>
  <si>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</si>
  <si>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</si>
  <si>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</si>
  <si>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</si>
  <si>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</si>
  <si>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</si>
  <si>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</si>
  <si>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</si>
  <si>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</si>
  <si>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</si>
  <si>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</si>
  <si>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</si>
  <si>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</si>
  <si>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</si>
  <si>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</si>
  <si>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</si>
  <si>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</si>
  <si>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</si>
  <si>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</si>
  <si>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</si>
  <si>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</si>
  <si>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</si>
  <si>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</si>
  <si>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</si>
  <si>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</si>
  <si>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</si>
  <si>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</si>
  <si>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</si>
  <si>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</si>
  <si>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</si>
  <si>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</si>
  <si>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</si>
  <si>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</si>
  <si>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</si>
  <si>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</si>
  <si>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</si>
  <si>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</si>
  <si>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</si>
  <si>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</si>
  <si>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</si>
  <si>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</si>
  <si>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</si>
  <si>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</si>
  <si>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</si>
  <si>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</si>
  <si>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</si>
  <si>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</si>
  <si>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</si>
  <si>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</si>
  <si>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</si>
  <si>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</si>
  <si>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</si>
  <si>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</si>
  <si>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</si>
  <si>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</si>
  <si>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</si>
  <si>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</si>
  <si>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</si>
  <si>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</si>
  <si>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</si>
  <si>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</si>
  <si>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</si>
  <si>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</si>
  <si>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</si>
  <si>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</si>
  <si>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</si>
  <si>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</si>
  <si>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</si>
  <si>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</si>
  <si>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</si>
  <si>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</si>
  <si>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</si>
  <si>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</si>
  <si>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</si>
  <si>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</si>
  <si>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</si>
  <si>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</si>
  <si>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</si>
  <si>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</si>
  <si>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</si>
  <si>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</si>
  <si>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</si>
  <si>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</si>
  <si>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</si>
  <si>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</si>
  <si>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</si>
  <si>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</si>
  <si>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</si>
  <si>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</si>
  <si>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</si>
  <si>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</si>
  <si>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</si>
  <si>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</si>
  <si>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</si>
  <si>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</si>
  <si>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</si>
  <si>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</si>
  <si>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</si>
  <si>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</si>
  <si>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</si>
  <si>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</si>
  <si>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</si>
  <si>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</si>
  <si>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</si>
  <si>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</si>
  <si>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</si>
  <si>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</si>
  <si>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</si>
  <si>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</si>
  <si>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</si>
  <si>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</si>
  <si>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</si>
  <si>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</si>
  <si>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</si>
  <si>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</si>
  <si>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</si>
  <si>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</si>
  <si>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</si>
  <si>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</si>
  <si>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</si>
  <si>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</si>
  <si>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</si>
  <si>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</si>
  <si>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</si>
  <si>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</si>
  <si>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</si>
  <si>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</si>
  <si>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</si>
  <si>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</si>
  <si>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</si>
  <si>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</si>
  <si>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</si>
  <si>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</si>
  <si>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</si>
  <si>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</si>
  <si>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</si>
  <si>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</si>
  <si>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</si>
  <si>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</si>
  <si>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</si>
  <si>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</si>
  <si>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</si>
  <si>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</si>
  <si>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</si>
  <si>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</si>
  <si>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</si>
  <si>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</si>
  <si>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</si>
  <si>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</si>
  <si>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</si>
  <si>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</si>
  <si>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</si>
  <si>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</si>
  <si>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</si>
  <si>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</si>
  <si>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</si>
  <si>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</si>
  <si>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</si>
  <si>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</si>
  <si>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</si>
  <si>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</si>
  <si>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</si>
  <si>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</si>
  <si>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</si>
  <si>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</si>
  <si>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</si>
  <si>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</si>
  <si>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</si>
  <si>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</si>
  <si>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</si>
  <si>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</si>
  <si>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</si>
  <si>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</si>
  <si>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</si>
  <si>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</si>
  <si>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</si>
  <si>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</si>
  <si>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</si>
  <si>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</si>
  <si>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</si>
  <si>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</si>
  <si>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</si>
  <si>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</si>
  <si>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</si>
  <si>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</si>
  <si>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</si>
  <si>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</si>
  <si>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</si>
  <si>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</si>
  <si>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</si>
  <si>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</si>
  <si>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</si>
  <si>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</si>
  <si>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</si>
  <si>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</si>
  <si>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</si>
  <si>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</si>
  <si>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</si>
  <si>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</si>
  <si>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</si>
  <si>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</si>
  <si>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</si>
  <si>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</si>
  <si>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</si>
  <si>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</si>
  <si>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</si>
  <si>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</si>
  <si>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</si>
  <si>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</si>
  <si>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</si>
  <si>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</si>
  <si>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</si>
  <si>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</si>
  <si>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</si>
  <si>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</si>
  <si>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</si>
  <si>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</si>
  <si>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</si>
  <si>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</si>
  <si>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</si>
  <si>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</si>
  <si>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</si>
  <si>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</si>
  <si>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</si>
  <si>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</si>
  <si>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</si>
  <si>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</si>
  <si>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</si>
  <si>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</si>
  <si>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</si>
  <si>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</si>
  <si>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</si>
  <si>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</si>
  <si>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</si>
  <si>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</si>
  <si>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</si>
  <si>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</si>
  <si>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</si>
  <si>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</si>
  <si>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</si>
  <si>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</si>
  <si>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</si>
  <si>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</si>
  <si>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</si>
  <si>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</si>
  <si>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</si>
  <si>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</si>
  <si>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</si>
  <si>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</si>
  <si>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</si>
  <si>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</si>
  <si>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</si>
  <si>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</si>
  <si>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</si>
  <si>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</si>
  <si>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</si>
  <si>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</si>
  <si>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</si>
  <si>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</si>
  <si>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</si>
  <si>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</si>
  <si>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</si>
  <si>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</si>
  <si>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</si>
  <si>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</si>
  <si>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</si>
  <si>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</si>
  <si>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</si>
  <si>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</si>
  <si>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</si>
  <si>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</si>
  <si>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</si>
  <si>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</si>
  <si>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</si>
  <si>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</si>
  <si>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</si>
  <si>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</si>
  <si>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</si>
  <si>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</si>
  <si>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</si>
  <si>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</si>
  <si>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</si>
  <si>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</si>
  <si>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</si>
  <si>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</si>
  <si>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</si>
  <si>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</si>
  <si>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</si>
  <si>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</si>
  <si>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</si>
  <si>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</si>
  <si>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</si>
  <si>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</si>
  <si>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</si>
  <si>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</si>
  <si>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</si>
  <si>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</si>
  <si>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</si>
  <si>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</si>
  <si>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</si>
  <si>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</si>
  <si>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</si>
  <si>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</si>
  <si>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</si>
  <si>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</si>
  <si>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</si>
  <si>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</si>
  <si>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</si>
  <si>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</si>
  <si>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</si>
  <si>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</si>
  <si>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</si>
  <si>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</si>
  <si>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</si>
  <si>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</si>
  <si>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</si>
  <si>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</si>
  <si>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</si>
  <si>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</si>
  <si>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</si>
  <si>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</si>
  <si>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</si>
  <si>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</si>
  <si>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</si>
  <si>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</si>
  <si>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</si>
  <si>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</si>
  <si>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</si>
  <si>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</si>
  <si>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</si>
  <si>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</si>
  <si>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</si>
  <si>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</si>
  <si>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</si>
  <si>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</si>
  <si>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</si>
  <si>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</si>
  <si>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</si>
  <si>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</si>
  <si>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</si>
  <si>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</si>
  <si>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</si>
  <si>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</si>
  <si>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</si>
  <si>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</si>
  <si>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</si>
  <si>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</si>
  <si>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</si>
  <si>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</si>
  <si>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</si>
  <si>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</si>
  <si>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</si>
  <si>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</si>
  <si>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</si>
  <si>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</si>
  <si>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</si>
  <si>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</si>
  <si>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</si>
  <si>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</si>
  <si>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</si>
  <si>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</si>
  <si>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</si>
  <si>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</si>
  <si>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</si>
  <si>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</si>
  <si>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</si>
  <si>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</si>
  <si>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</si>
  <si>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</si>
  <si>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</si>
  <si>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</si>
  <si>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</si>
  <si>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</si>
  <si>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</si>
  <si>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</si>
  <si>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</si>
  <si>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</si>
  <si>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</si>
  <si>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</si>
  <si>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</si>
  <si>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</si>
  <si>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</si>
  <si>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</si>
  <si>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</si>
  <si>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</si>
  <si>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</si>
  <si>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</si>
  <si>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</si>
  <si>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</si>
  <si>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</si>
  <si>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</si>
  <si>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</si>
  <si>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</si>
  <si>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</si>
  <si>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</si>
  <si>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</si>
  <si>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</si>
  <si>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</si>
  <si>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</si>
  <si>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</si>
  <si>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</si>
  <si>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</si>
  <si>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</si>
  <si>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</si>
  <si>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</si>
  <si>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</si>
  <si>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</si>
  <si>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</si>
  <si>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</si>
  <si>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</si>
  <si>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</si>
  <si>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</si>
  <si>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</si>
  <si>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</si>
  <si>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</si>
  <si>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</si>
  <si>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</si>
  <si>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</si>
  <si>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</si>
  <si>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</si>
  <si>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</si>
  <si>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</si>
  <si>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</si>
  <si>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</si>
  <si>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</si>
  <si>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</si>
  <si>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</si>
  <si>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</si>
  <si>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</si>
  <si>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</si>
  <si>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</si>
  <si>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</si>
  <si>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</si>
  <si>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</si>
  <si>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</si>
  <si>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</si>
  <si>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</si>
  <si>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</si>
  <si>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</si>
  <si>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</si>
  <si>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</si>
  <si>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</si>
  <si>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</si>
  <si>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</si>
  <si>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</si>
  <si>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</si>
  <si>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</si>
  <si>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</si>
  <si>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</si>
  <si>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</si>
  <si>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</si>
  <si>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</si>
  <si>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</si>
  <si>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</si>
  <si>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</si>
  <si>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</si>
  <si>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</si>
  <si>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</si>
  <si>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</si>
  <si>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</si>
  <si>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</si>
  <si>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</si>
  <si>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</si>
  <si>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</si>
  <si>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</si>
  <si>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</si>
  <si>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</si>
  <si>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</si>
  <si>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</si>
  <si>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</si>
  <si>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</si>
  <si>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</si>
  <si>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</si>
  <si>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</si>
  <si>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</si>
  <si>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</si>
  <si>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</si>
  <si>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</si>
  <si>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</si>
  <si>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</si>
  <si>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</si>
  <si>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</si>
  <si>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</si>
  <si>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</si>
  <si>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</si>
  <si>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</si>
  <si>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</si>
  <si>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</si>
  <si>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</si>
  <si>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</si>
  <si>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</si>
  <si>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</si>
  <si>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</si>
  <si>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</si>
  <si>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</si>
  <si>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</si>
  <si>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</si>
  <si>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</si>
  <si>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</si>
  <si>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</si>
  <si>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</si>
  <si>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</si>
  <si>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</si>
  <si>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</si>
  <si>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</si>
  <si>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</si>
  <si>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</si>
  <si>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</si>
  <si>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</si>
  <si>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</si>
  <si>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</si>
  <si>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</si>
  <si>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</si>
  <si>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</si>
  <si>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</si>
  <si>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</si>
  <si>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</si>
  <si>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</si>
  <si>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</si>
  <si>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</si>
  <si>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</si>
  <si>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</si>
  <si>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</si>
  <si>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</si>
  <si>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</si>
  <si>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</si>
  <si>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</si>
  <si>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</si>
  <si>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</si>
  <si>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</si>
  <si>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</si>
  <si>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</si>
  <si>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</si>
  <si>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</si>
  <si>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</si>
  <si>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</si>
  <si>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</si>
  <si>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</si>
  <si>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</si>
  <si>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</si>
  <si>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</si>
  <si>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</si>
  <si>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</si>
  <si>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</si>
  <si>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</si>
  <si>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</si>
  <si>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</si>
  <si>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</si>
  <si>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</si>
  <si>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</si>
  <si>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</si>
  <si>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</si>
  <si>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</si>
  <si>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</si>
  <si>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</si>
  <si>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</si>
  <si>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</si>
  <si>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</si>
  <si>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</si>
  <si>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</si>
  <si>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</si>
  <si>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</si>
  <si>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</si>
  <si>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</si>
  <si>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</si>
  <si>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</si>
  <si>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</si>
  <si>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</si>
  <si>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</si>
  <si>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</si>
  <si>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</si>
  <si>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</si>
  <si>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</si>
  <si>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</si>
  <si>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</si>
  <si>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</si>
  <si>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</si>
  <si>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</si>
  <si>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</si>
  <si>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</si>
  <si>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</si>
  <si>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</si>
  <si>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</si>
  <si>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</si>
  <si>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</si>
  <si>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</si>
  <si>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</si>
  <si>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</si>
  <si>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</si>
  <si>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</si>
  <si>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</si>
  <si>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</si>
  <si>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</si>
  <si>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</si>
  <si>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</si>
  <si>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</si>
  <si>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</si>
  <si>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</si>
  <si>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</si>
  <si>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</si>
  <si>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</si>
  <si>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</si>
  <si>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</si>
  <si>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</si>
  <si>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</si>
  <si>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</si>
  <si>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</si>
  <si>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</si>
  <si>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</si>
  <si>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</si>
  <si>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</si>
  <si>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</si>
  <si>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</si>
  <si>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</si>
  <si>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</si>
  <si>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</si>
  <si>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</si>
  <si>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</si>
  <si>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</si>
  <si>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</si>
  <si>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</si>
  <si>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</si>
  <si>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</si>
  <si>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</si>
  <si>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</si>
  <si>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</si>
  <si>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</si>
  <si>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</si>
  <si>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</si>
  <si>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</si>
  <si>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</si>
  <si>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</si>
  <si>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</si>
  <si>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</si>
  <si>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</si>
  <si>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</si>
  <si>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</si>
  <si>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</si>
  <si>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</si>
  <si>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</si>
  <si>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</si>
  <si>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</si>
  <si>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</si>
  <si>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</si>
  <si>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</si>
  <si>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</si>
  <si>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</si>
  <si>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</si>
  <si>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</si>
  <si>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</si>
  <si>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</si>
  <si>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</si>
  <si>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</si>
  <si>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</si>
  <si>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</si>
  <si>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</si>
  <si>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</si>
  <si>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</si>
  <si>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</si>
  <si>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</si>
  <si>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</si>
  <si>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</si>
  <si>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</si>
  <si>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</si>
  <si>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</si>
  <si>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</si>
  <si>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</si>
  <si>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</si>
  <si>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</si>
  <si>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</si>
  <si>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</si>
  <si>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</si>
  <si>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</si>
  <si>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</si>
  <si>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</si>
  <si>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</si>
  <si>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</si>
  <si>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</si>
  <si>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</si>
  <si>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</si>
  <si>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</si>
  <si>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</si>
  <si>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</si>
  <si>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</si>
  <si>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</si>
  <si>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</si>
  <si>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</si>
  <si>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</si>
  <si>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</si>
  <si>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</si>
  <si>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</si>
  <si>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</si>
  <si>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</si>
  <si>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</si>
  <si>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</si>
  <si>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</si>
  <si>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</si>
  <si>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</si>
  <si>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</si>
  <si>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</si>
  <si>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</si>
  <si>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</si>
  <si>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</si>
  <si>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</si>
  <si>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</si>
  <si>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</si>
  <si>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</si>
  <si>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</si>
  <si>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</si>
  <si>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</si>
  <si>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</si>
  <si>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</si>
  <si>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</si>
  <si>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</si>
  <si>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</si>
  <si>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</si>
  <si>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</si>
  <si>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</si>
  <si>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</si>
  <si>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</si>
  <si>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</si>
  <si>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</si>
  <si>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</si>
  <si>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</si>
  <si>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</si>
  <si>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</si>
  <si>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</si>
  <si>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</si>
  <si>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</si>
  <si>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</si>
  <si>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</si>
  <si>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</si>
  <si>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</si>
  <si>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</si>
  <si>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</si>
  <si>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</si>
  <si>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</si>
  <si>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</si>
  <si>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</si>
  <si>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</si>
  <si>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</si>
  <si>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</si>
  <si>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</si>
  <si>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</si>
  <si>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</si>
  <si>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</si>
  <si>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</si>
  <si>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</si>
  <si>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</si>
  <si>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</si>
  <si>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</si>
  <si>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</si>
  <si>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</si>
  <si>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</si>
  <si>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</si>
  <si>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</si>
  <si>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</si>
  <si>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</si>
  <si>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</si>
  <si>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</si>
  <si>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</si>
  <si>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</si>
  <si>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</si>
  <si>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</si>
  <si>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</si>
  <si>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</si>
  <si>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</si>
  <si>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</si>
  <si>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</si>
  <si>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</si>
  <si>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</si>
  <si>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</si>
  <si>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</si>
  <si>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</si>
  <si>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</si>
  <si>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</si>
  <si>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</si>
  <si>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</si>
  <si>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</si>
  <si>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</si>
  <si>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</si>
  <si>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</si>
  <si>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</si>
  <si>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</si>
  <si>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</si>
  <si>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</si>
  <si>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</si>
  <si>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</si>
  <si>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</si>
  <si>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</si>
  <si>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</si>
  <si>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</si>
  <si>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</si>
  <si>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</si>
  <si>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</si>
  <si>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</si>
  <si>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</si>
  <si>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</si>
  <si>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</si>
  <si>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</si>
  <si>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</si>
  <si>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</si>
  <si>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</si>
  <si>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</si>
  <si>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</si>
  <si>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</si>
  <si>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</si>
  <si>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</si>
  <si>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</si>
  <si>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</si>
  <si>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</si>
  <si>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</si>
  <si>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</si>
  <si>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</si>
  <si>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</si>
  <si>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</si>
  <si>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</si>
  <si>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</si>
  <si>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</si>
  <si>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</si>
  <si>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</si>
  <si>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</si>
  <si>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</si>
  <si>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</si>
  <si>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</si>
  <si>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</si>
  <si>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</si>
  <si>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</si>
  <si>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</si>
  <si>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</si>
  <si>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</si>
  <si>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</si>
  <si>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</si>
  <si>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</si>
  <si>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</si>
  <si>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</si>
  <si>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</si>
  <si>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</si>
  <si>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</si>
  <si>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</si>
  <si>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</si>
  <si>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</si>
  <si>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</si>
  <si>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</si>
  <si>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</si>
  <si>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</si>
  <si>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</si>
  <si>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</si>
  <si>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</si>
  <si>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</si>
  <si>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</si>
  <si>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</si>
  <si>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</si>
  <si>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</si>
  <si>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</si>
  <si>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</si>
  <si>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</si>
  <si>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</si>
  <si>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</si>
  <si>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</si>
  <si>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</si>
  <si>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</si>
  <si>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</si>
  <si>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</si>
  <si>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</si>
  <si>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</si>
  <si>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</si>
  <si>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</si>
  <si>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</si>
  <si>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</si>
  <si>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</si>
  <si>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</si>
  <si>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</si>
  <si>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</si>
  <si>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</si>
  <si>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</si>
  <si>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</si>
  <si>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</si>
  <si>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</si>
  <si>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</si>
  <si>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</si>
  <si>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</si>
  <si>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</si>
  <si>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</si>
  <si>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</si>
  <si>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</si>
  <si>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</si>
  <si>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</si>
  <si>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</si>
  <si>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</si>
  <si>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</si>
  <si>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</si>
  <si>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</si>
  <si>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</si>
  <si>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</si>
  <si>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</si>
  <si>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</si>
  <si>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</si>
  <si>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</si>
  <si>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</si>
  <si>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</si>
  <si>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</si>
  <si>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</si>
  <si>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</si>
  <si>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</si>
  <si>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</si>
  <si>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</si>
  <si>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</si>
  <si>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</si>
  <si>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</si>
  <si>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</si>
  <si>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</si>
  <si>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</si>
  <si>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</si>
  <si>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</si>
  <si>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</si>
  <si>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</si>
  <si>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</si>
  <si>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</si>
  <si>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</si>
  <si>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</si>
  <si>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</si>
  <si>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</si>
  <si>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</si>
  <si>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</si>
  <si>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</si>
  <si>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</si>
  <si>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</si>
  <si>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</si>
  <si>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</si>
  <si>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</si>
  <si>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</si>
  <si>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</si>
  <si>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</si>
  <si>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</si>
  <si>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</si>
  <si>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</si>
  <si>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</si>
  <si>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</si>
  <si>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</si>
  <si>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</si>
  <si>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</si>
  <si>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</si>
  <si>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</si>
  <si>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</si>
  <si>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</si>
  <si>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</si>
  <si>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</si>
  <si>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</si>
  <si>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</si>
  <si>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</si>
  <si>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</si>
  <si>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</si>
  <si>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</si>
  <si>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</si>
  <si>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</si>
  <si>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</si>
  <si>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</si>
  <si>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</si>
  <si>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</si>
  <si>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</si>
  <si>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</si>
  <si>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</si>
  <si>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</si>
  <si>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</si>
  <si>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</si>
  <si>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</si>
  <si>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</si>
  <si>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</si>
  <si>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</si>
  <si>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</si>
  <si>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</si>
  <si>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</si>
  <si>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</si>
  <si>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</si>
  <si>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</si>
  <si>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</si>
  <si>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</si>
  <si>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</si>
  <si>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</si>
  <si>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</si>
  <si>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</si>
  <si>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</si>
  <si>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</si>
  <si>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</si>
  <si>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</si>
  <si>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</si>
  <si>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</si>
  <si>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</si>
  <si>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</si>
  <si>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</si>
  <si>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</si>
  <si>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</si>
  <si>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</si>
  <si>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</si>
  <si>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</si>
  <si>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</si>
  <si>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</si>
  <si>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</si>
  <si>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</si>
  <si>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</si>
  <si>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</si>
  <si>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</si>
  <si>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</si>
  <si>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</si>
  <si>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</si>
  <si>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</si>
  <si>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</si>
  <si>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</si>
  <si>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</si>
  <si>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</si>
  <si>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</si>
  <si>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</si>
  <si>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</si>
  <si>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</si>
  <si>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</si>
  <si>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</si>
  <si>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</si>
  <si>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</si>
  <si>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</si>
  <si>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</si>
  <si>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</si>
  <si>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</si>
  <si>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</si>
  <si>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</si>
  <si>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</si>
  <si>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</si>
  <si>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</si>
  <si>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</si>
  <si>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</si>
  <si>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</si>
  <si>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</si>
  <si>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</si>
  <si>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</si>
  <si>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</si>
  <si>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</si>
  <si>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</si>
  <si>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</si>
  <si>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</si>
  <si>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</si>
  <si>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</si>
  <si>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</si>
  <si>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</si>
  <si>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</si>
  <si>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</si>
  <si>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</si>
  <si>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</si>
  <si>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</si>
  <si>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</si>
  <si>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</si>
  <si>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</si>
  <si>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</si>
  <si>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</si>
  <si>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</si>
  <si>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</si>
  <si>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</si>
  <si>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</si>
  <si>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</si>
  <si>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</si>
  <si>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</si>
  <si>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</si>
  <si>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</si>
  <si>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</si>
  <si>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</si>
  <si>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</si>
  <si>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</si>
  <si>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</si>
  <si>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</si>
  <si>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</si>
  <si>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</si>
  <si>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</si>
  <si>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</si>
  <si>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</si>
  <si>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</si>
  <si>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</si>
  <si>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</si>
  <si>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</si>
  <si>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</si>
  <si>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</si>
  <si>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</si>
  <si>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</si>
  <si>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</si>
  <si>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</si>
  <si>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</si>
  <si>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</si>
  <si>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</si>
  <si>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</si>
  <si>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</si>
  <si>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</si>
  <si>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</si>
  <si>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</si>
  <si>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</si>
  <si>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</si>
  <si>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</si>
  <si>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</si>
  <si>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</si>
  <si>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</si>
  <si>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</si>
  <si>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</si>
  <si>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</si>
  <si>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</si>
  <si>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</si>
  <si>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</si>
  <si>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</si>
  <si>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</si>
  <si>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</si>
  <si>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</si>
  <si>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</si>
  <si>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</si>
  <si>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</si>
  <si>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</si>
  <si>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</si>
  <si>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</si>
  <si>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</si>
  <si>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</si>
  <si>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</si>
  <si>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</si>
  <si>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</si>
  <si>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</si>
  <si>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</si>
  <si>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</si>
  <si>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</si>
  <si>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</si>
  <si>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</si>
  <si>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</si>
  <si>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</si>
  <si>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</si>
  <si>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</si>
  <si>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</si>
  <si>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</si>
  <si>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</si>
  <si>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</si>
  <si>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</si>
  <si>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</si>
  <si>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</si>
  <si>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</si>
  <si>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</si>
  <si>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</si>
  <si>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</si>
  <si>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</si>
  <si>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</si>
  <si>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</si>
  <si>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</si>
  <si>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</si>
  <si>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</si>
  <si>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</si>
  <si>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</si>
  <si>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</si>
  <si>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</si>
  <si>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</si>
  <si>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</si>
  <si>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</si>
  <si>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</si>
  <si>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</si>
  <si>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</si>
  <si>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</si>
  <si>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</si>
  <si>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</si>
  <si>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</si>
  <si>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</si>
  <si>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</si>
  <si>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</si>
  <si>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</si>
  <si>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</si>
  <si>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</si>
  <si>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</si>
  <si>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</si>
  <si>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</si>
  <si>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</si>
  <si>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</si>
  <si>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</si>
  <si>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</si>
  <si>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</si>
  <si>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</si>
  <si>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</si>
  <si>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</si>
  <si>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</si>
  <si>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</si>
  <si>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</si>
  <si>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</si>
  <si>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</si>
  <si>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</si>
  <si>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</si>
  <si>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</si>
  <si>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</si>
  <si>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</si>
  <si>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</si>
  <si>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</si>
  <si>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</si>
  <si>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</si>
  <si>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</si>
  <si>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</si>
  <si>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</si>
  <si>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</si>
  <si>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</si>
  <si>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</si>
  <si>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</si>
  <si>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</si>
  <si>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</si>
  <si>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</si>
  <si>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</si>
  <si>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</si>
  <si>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</si>
  <si>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</si>
  <si>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</si>
  <si>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</si>
  <si>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</si>
  <si>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</si>
  <si>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</si>
  <si>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</si>
  <si>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</si>
  <si>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</si>
  <si>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</si>
  <si>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</si>
  <si>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</si>
  <si>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</si>
  <si>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</si>
  <si>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</si>
  <si>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</si>
  <si>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</si>
  <si>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</si>
  <si>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</si>
  <si>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</si>
  <si>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</si>
  <si>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</si>
  <si>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</si>
  <si>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</si>
  <si>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</si>
  <si>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</si>
  <si>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</si>
  <si>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</si>
  <si>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</si>
  <si>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</si>
  <si>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</si>
  <si>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</si>
  <si>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</si>
  <si>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</si>
  <si>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</si>
  <si>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</si>
  <si>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</si>
  <si>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</si>
  <si>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</si>
  <si>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</si>
  <si>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</si>
  <si>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</si>
  <si>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</si>
  <si>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</si>
  <si>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</si>
  <si>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</si>
  <si>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</si>
  <si>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</si>
  <si>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</si>
  <si>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</si>
  <si>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</si>
  <si>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</si>
  <si>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</si>
  <si>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</si>
  <si>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</si>
  <si>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</si>
  <si>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</si>
  <si>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</si>
  <si>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</si>
  <si>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</si>
  <si>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</si>
  <si>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</si>
  <si>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</si>
  <si>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</si>
  <si>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</si>
  <si>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</si>
  <si>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</si>
  <si>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</si>
  <si>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</si>
  <si>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</si>
  <si>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</si>
  <si>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</si>
  <si>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</si>
  <si>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</si>
  <si>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</si>
  <si>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</si>
  <si>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</si>
  <si>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</si>
  <si>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</si>
  <si>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</si>
  <si>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</si>
  <si>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</si>
  <si>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</si>
  <si>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</si>
  <si>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</si>
  <si>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</si>
  <si>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</si>
  <si>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</si>
  <si>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</si>
  <si>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</si>
  <si>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</si>
  <si>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</si>
  <si>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</si>
  <si>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</si>
  <si>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</si>
  <si>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</si>
  <si>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</si>
  <si>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</si>
  <si>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</si>
  <si>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</si>
  <si>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</si>
  <si>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</si>
  <si>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</si>
  <si>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</si>
  <si>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</si>
  <si>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</si>
  <si>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</si>
  <si>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</si>
  <si>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</si>
  <si>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</si>
  <si>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</si>
  <si>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</si>
  <si>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</si>
  <si>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</si>
  <si>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</si>
  <si>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</si>
  <si>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</si>
  <si>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</si>
  <si>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</si>
  <si>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</si>
  <si>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</si>
  <si>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</si>
  <si>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</si>
  <si>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</si>
  <si>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</si>
  <si>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</si>
  <si>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</si>
  <si>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</si>
  <si>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</si>
  <si>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</si>
  <si>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</si>
  <si>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</si>
  <si>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</si>
  <si>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</si>
  <si>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</si>
  <si>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</si>
  <si>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</si>
  <si>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</si>
  <si>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</si>
  <si>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</si>
  <si>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</si>
  <si>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</si>
  <si>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</si>
  <si>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</si>
  <si>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</si>
  <si>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</si>
  <si>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</si>
  <si>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</si>
  <si>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</si>
  <si>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</si>
  <si>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</si>
  <si>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</si>
  <si>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</si>
  <si>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</si>
  <si>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</si>
  <si>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</si>
  <si>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</si>
  <si>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</si>
  <si>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</si>
  <si>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</si>
  <si>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</si>
  <si>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</si>
  <si>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</si>
  <si>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</si>
  <si>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</si>
  <si>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</si>
  <si>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</si>
  <si>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</si>
  <si>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</si>
  <si>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</si>
  <si>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</si>
  <si>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</si>
  <si>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</si>
  <si>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</si>
  <si>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</si>
  <si>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</si>
  <si>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</si>
  <si>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</si>
  <si>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</si>
  <si>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</si>
  <si>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</si>
  <si>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</si>
  <si>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</si>
  <si>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</si>
  <si>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</si>
  <si>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</si>
  <si>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</si>
  <si>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</si>
  <si>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</si>
  <si>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</si>
  <si>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</si>
  <si>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</si>
  <si>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</si>
  <si>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</si>
  <si>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</si>
  <si>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</si>
  <si>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</si>
  <si>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</si>
  <si>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</si>
  <si>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</si>
  <si>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</si>
  <si>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</si>
  <si>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</si>
  <si>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</si>
  <si>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</si>
  <si>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</si>
  <si>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</si>
  <si>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</si>
  <si>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</si>
  <si>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</si>
  <si>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</si>
  <si>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</si>
  <si>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</si>
  <si>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</si>
  <si>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</si>
  <si>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</si>
  <si>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</si>
  <si>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</si>
  <si>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企业</t>
  </si>
  <si>
    <t>否</t>
  </si>
  <si>
    <t>是</t>
  </si>
  <si>
    <t>地上</t>
  </si>
  <si>
    <t>工业用房</t>
    <phoneticPr fontId="3" type="noConversion"/>
  </si>
  <si>
    <t>成新度</t>
  </si>
  <si>
    <t>自定义容积率</t>
  </si>
  <si>
    <t>与级别开发程度不一致</t>
  </si>
  <si>
    <t>通路</t>
  </si>
  <si>
    <t>通电</t>
  </si>
  <si>
    <t>通讯</t>
  </si>
  <si>
    <t>通上水</t>
  </si>
  <si>
    <t>通下水</t>
  </si>
  <si>
    <t>燃气</t>
  </si>
  <si>
    <t>平整</t>
  </si>
  <si>
    <t>工业用房</t>
  </si>
  <si>
    <t>未包含在土地购买价格中</t>
  </si>
  <si>
    <t>全部缴纳</t>
  </si>
  <si>
    <t>已包含在土地取得成本中</t>
  </si>
  <si>
    <t>收益法</t>
  </si>
  <si>
    <t>押一</t>
  </si>
  <si>
    <t>钢混</t>
  </si>
  <si>
    <t>非生产用房</t>
  </si>
  <si>
    <t>现房</t>
  </si>
  <si>
    <t>成本法</t>
  </si>
  <si>
    <t>一般</t>
  </si>
  <si>
    <t>较好</t>
  </si>
  <si>
    <t>好</t>
  </si>
  <si>
    <t>Ⅵ-BDA核心</t>
  </si>
  <si>
    <t>东环北路1号</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</si>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</sst>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268" fillId="0" borderId="1" xfId="0" applyFont="1" applyBorder="1" applyAlignment="1" applyProtection="1">
      <alignment horizontal="center" vertical="center" wrapText="1"/>
      <protection locked="0"/>
    </xf>
    <xf numFmtId="0" fontId="268" fillId="2" borderId="2" xfId="0" applyFont="1" applyFill="1" applyBorder="1" applyAlignment="1" applyProtection="1">
      <alignment horizontal="center" vertical="center" wrapText="1"/>
      <protection locked="0"/>
    </xf>
    <xf numFmtId="0" fontId="268" fillId="22" borderId="1" xfId="0" applyFont="1" applyFill="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268" fillId="0" borderId="1" xfId="0" applyFont="1" applyFill="1" applyBorder="1" applyAlignment="1" applyProtection="1">
      <alignment horizontal="center" vertical="center" wrapText="1"/>
      <protection locked="0"/>
    </xf>
    <xf numFmtId="0" fontId="114" fillId="0" borderId="2" xfId="0" applyFont="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44" fillId="0" borderId="1" xfId="0" applyFont="1" applyFill="1" applyBorder="1" applyAlignment="1" applyProtection="1">
      <alignment horizontal="center" vertical="center"/>
      <protection locked="0"/>
    </xf>
    <xf numFmtId="0" fontId="113" fillId="5" borderId="24"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179" fontId="47" fillId="3" borderId="5" xfId="0" applyNumberFormat="1" applyFont="1" applyFill="1" applyBorder="1" applyAlignment="1" applyProtection="1">
      <alignment horizontal="center" vertical="center" wrapText="1"/>
      <protection locked="0"/>
    </xf>
    <xf numFmtId="0" fontId="47" fillId="2" borderId="2"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07" fillId="0" borderId="4" xfId="0" applyNumberFormat="1"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北京市东环北路1号预评估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受贵公司委托，我公司对北京市东环北路1号进行了预评估。</v>
      </c>
    </row>
    <row r="7" spans="1:2" s="1202" customFormat="1">
      <c r="A7" s="1200" t="s">
        <v>566</v>
      </c>
      <c r="B7" s="1201" t="str">
        <f>'预评函-1'!A7</f>
        <v>估价对象为北京市东环北路1号房地产，为所有。根据《国有土地使用证》[]，估价对象（分摊）出让国有建设用地使用权面积为15462.6平方米，建筑面积为8640.14平方米。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估价对象为北京市东环北路1号房地产,属开发建设的，该项目尚在开发建设中。根据《国有土地使用证》[]，估价对象（分摊）出让国有建设用地使用权面积为15462.6平方米，规划建筑面积为8640.14平方米。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2024年8月12日（评估专业人员实地查勘之日）</v>
      </c>
    </row>
    <row r="13" spans="1:2" s="1202" customFormat="1">
      <c r="A13" s="1200" t="s">
        <v>529</v>
      </c>
      <c r="B13" s="1201" t="str">
        <f>'预评函-1'!A18</f>
        <v>本次估价的“房地产价值”是指在正常市场情况下，在价值时点2024年8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11426</v>
      </c>
    </row>
    <row r="21" spans="1:2" s="1202" customFormat="1">
      <c r="A21" s="1200" t="s">
        <v>537</v>
      </c>
      <c r="B21" s="1201">
        <f ca="1">'预评函-2'!D7</f>
        <v>13224</v>
      </c>
    </row>
    <row r="22" spans="1:2" s="1202" customFormat="1">
      <c r="A22" s="1200" t="s">
        <v>538</v>
      </c>
      <c r="B22" s="1201" t="str">
        <f ca="1">'预评函-2'!D6</f>
        <v>壹亿壹仟肆佰贰拾陆万元整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11426</v>
      </c>
    </row>
    <row r="31" spans="1:2" s="1202" customFormat="1">
      <c r="A31" s="1200" t="s">
        <v>576</v>
      </c>
      <c r="B31" s="1201">
        <f ca="1">'预评函-2'!D15</f>
        <v>13224</v>
      </c>
    </row>
    <row r="32" spans="1:2" s="1202" customFormat="1">
      <c r="A32" s="1200" t="s">
        <v>543</v>
      </c>
      <c r="B32" s="1201" t="str">
        <f ca="1">'预评函-2'!D14</f>
        <v>壹亿壹仟肆佰贰拾陆万元整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北京市东环北路1号房地产</v>
      </c>
    </row>
    <row r="42" spans="1:2" s="1202" customFormat="1">
      <c r="A42" s="1200" t="s">
        <v>590</v>
      </c>
      <c r="B42" s="1201" t="str">
        <f>'预评函-3'!B2</f>
        <v>建筑面积</v>
      </c>
    </row>
    <row r="43" spans="1:2" s="1202" customFormat="1">
      <c r="A43" s="1200" t="s">
        <v>591</v>
      </c>
      <c r="B43" s="1201">
        <f>'预评函-3'!B4</f>
        <v>8640.14</v>
      </c>
    </row>
    <row r="44" spans="1:2" s="1202" customFormat="1">
      <c r="A44" s="1200" t="s">
        <v>575</v>
      </c>
      <c r="B44" s="1201" t="str">
        <f>'预评函-3'!C2</f>
        <v>(分摊)土地面积</v>
      </c>
    </row>
    <row r="45" spans="1:2" s="1202" customFormat="1">
      <c r="A45" s="1200" t="s">
        <v>547</v>
      </c>
      <c r="B45" s="1201">
        <f>'预评函-3'!C4</f>
        <v>15462.6</v>
      </c>
    </row>
    <row r="46" spans="1:2" s="1202" customFormat="1">
      <c r="A46" s="1200" t="s">
        <v>573</v>
      </c>
      <c r="B46" s="1201" t="str">
        <f>'预评函-3'!D2</f>
        <v>出让国有建设用地使用权价值</v>
      </c>
    </row>
    <row r="47" spans="1:2" s="1202" customFormat="1">
      <c r="A47" s="1200" t="s">
        <v>548</v>
      </c>
      <c r="B47" s="1201">
        <f ca="1">'预评函-3'!D4</f>
        <v>7153</v>
      </c>
    </row>
    <row r="48" spans="1:2" s="1202" customFormat="1">
      <c r="A48" s="1200" t="s">
        <v>549</v>
      </c>
      <c r="B48" s="1201">
        <f ca="1">'预评函-3'!E4</f>
        <v>8278</v>
      </c>
    </row>
    <row r="49" spans="1:2" s="1202" customFormat="1">
      <c r="A49" s="1200" t="s">
        <v>550</v>
      </c>
      <c r="B49" s="1201" t="str">
        <f ca="1">'预评函-3'!D5</f>
        <v>柒仟壹佰伍拾叁万元整</v>
      </c>
    </row>
    <row r="50" spans="1:2" s="1202" customFormat="1">
      <c r="A50" s="1200" t="s">
        <v>574</v>
      </c>
      <c r="B50" s="1201" t="str">
        <f>'预评函-3'!F2</f>
        <v>在建建筑物价值</v>
      </c>
    </row>
    <row r="51" spans="1:2" s="1202" customFormat="1">
      <c r="A51" s="1200" t="s">
        <v>551</v>
      </c>
      <c r="B51" s="1201">
        <f ca="1">'预评函-3'!F4</f>
        <v>4273</v>
      </c>
    </row>
    <row r="52" spans="1:2" s="1202" customFormat="1">
      <c r="A52" s="1200" t="s">
        <v>552</v>
      </c>
      <c r="B52" s="1201">
        <f ca="1">'预评函-3'!G4</f>
        <v>4946</v>
      </c>
    </row>
    <row r="53" spans="1:2" s="1202" customFormat="1">
      <c r="A53" s="1200" t="s">
        <v>580</v>
      </c>
      <c r="B53" s="1201" t="str">
        <f ca="1">'预评函-3'!F5</f>
        <v>肆仟贰佰柒拾叁万元整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拟使用北京市东环北路1号房地产作为抵押担保物，向办理贷款手续。特委托北京康正宏基房地产评估有限公司对上述抵押物进行评估。本次评估为确定房地产抵押贷款额度提供参考依据而评估房地产抵押价值。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3" t="s">
        <v>385</v>
      </c>
      <c r="C54" s="1550" t="s">
        <v>583</v>
      </c>
    </row>
    <row r="55" spans="1:4">
      <c r="A55" s="3497"/>
      <c r="B55" s="1553" t="s">
        <v>386</v>
      </c>
      <c r="C55" s="1550" t="s">
        <v>584</v>
      </c>
    </row>
    <row r="56" spans="1:4">
      <c r="A56" s="3497"/>
      <c r="B56" s="1553" t="s">
        <v>387</v>
      </c>
      <c r="C56" s="1550" t="s">
        <v>588</v>
      </c>
    </row>
    <row r="57" spans="1:4">
      <c r="A57" s="349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2" t="s">
        <v>2595</v>
      </c>
      <c r="J1" s="3221"/>
      <c r="K1" s="3221"/>
      <c r="L1" s="3221"/>
      <c r="M1" s="3221"/>
      <c r="N1" s="3433"/>
      <c r="O1" s="3433"/>
      <c r="P1" s="3433"/>
      <c r="Q1" s="3433"/>
      <c r="R1" s="3433"/>
    </row>
    <row r="2" spans="1:18">
      <c r="A2" s="3012"/>
      <c r="B2" s="3013"/>
      <c r="C2" s="3013"/>
      <c r="D2" s="3013"/>
      <c r="E2" s="3013"/>
      <c r="F2" s="3014"/>
      <c r="I2" s="3498" t="s">
        <v>2582</v>
      </c>
      <c r="J2" s="3498"/>
      <c r="K2" s="3498"/>
      <c r="L2" s="3498"/>
      <c r="M2" s="3498"/>
      <c r="N2" s="3498"/>
      <c r="O2" s="3498"/>
      <c r="P2" s="3498"/>
      <c r="Q2" s="3498"/>
      <c r="R2" s="3498"/>
    </row>
    <row r="3" spans="1:18">
      <c r="A3" s="3015" t="s">
        <v>2503</v>
      </c>
      <c r="B3" s="3016">
        <f>项目基本情况!D3</f>
        <v>45516</v>
      </c>
      <c r="C3" s="3018"/>
      <c r="D3" s="3018"/>
      <c r="E3" s="3018"/>
      <c r="F3" s="3014"/>
      <c r="I3" s="3434"/>
      <c r="J3" s="3434" t="s">
        <v>2586</v>
      </c>
      <c r="K3" s="3434" t="s">
        <v>2587</v>
      </c>
      <c r="L3" s="3434" t="s">
        <v>2588</v>
      </c>
      <c r="M3" s="3434" t="s">
        <v>2589</v>
      </c>
      <c r="N3" s="3435" t="s">
        <v>2590</v>
      </c>
      <c r="O3" s="3435" t="s">
        <v>2591</v>
      </c>
      <c r="P3" s="3435" t="s">
        <v>2592</v>
      </c>
      <c r="Q3" s="3435" t="s">
        <v>2593</v>
      </c>
      <c r="R3" s="3435" t="s">
        <v>2594</v>
      </c>
    </row>
    <row r="4" spans="1:18">
      <c r="A4" s="3015" t="s">
        <v>2504</v>
      </c>
      <c r="B4" s="3018" t="s">
        <v>2505</v>
      </c>
      <c r="C4" s="3018" t="s">
        <v>2506</v>
      </c>
      <c r="D4" s="3018" t="s">
        <v>2507</v>
      </c>
      <c r="E4" s="3018" t="s">
        <v>2508</v>
      </c>
      <c r="F4" s="3014"/>
      <c r="I4" s="3434" t="s">
        <v>2583</v>
      </c>
      <c r="J4" s="3434">
        <v>80</v>
      </c>
      <c r="K4" s="3434">
        <v>70</v>
      </c>
      <c r="L4" s="3434">
        <v>20</v>
      </c>
      <c r="M4" s="3434">
        <v>30</v>
      </c>
      <c r="N4" s="3018">
        <v>45</v>
      </c>
      <c r="O4" s="3018">
        <v>60</v>
      </c>
      <c r="P4" s="3018">
        <v>50</v>
      </c>
      <c r="Q4" s="3018">
        <v>20</v>
      </c>
      <c r="R4" s="3018">
        <v>375</v>
      </c>
    </row>
    <row r="5" spans="1:18">
      <c r="A5" s="3019">
        <v>40</v>
      </c>
      <c r="B5" s="3016">
        <v>46375</v>
      </c>
      <c r="C5" s="3018">
        <f>ROUNDDOWN(MIN((B5-B3)/365,A5),2)</f>
        <v>2.35</v>
      </c>
      <c r="D5" s="3020">
        <f>IF(ISERROR(ROUND(POWER(1+E5,A5-C5)*(POWER(1+E5,C5)-1)/(POWER(1+E5,A5)-1),3)),0,ROUND(POWER(1+E5,A5-C5)*(POWER(1+E5,C5)-1)/(POWER(1+E5,A5)-1),4))</f>
        <v>0.11119999999999999</v>
      </c>
      <c r="E5" s="3021">
        <v>0.04</v>
      </c>
      <c r="F5" s="3014"/>
      <c r="I5" s="3434" t="s">
        <v>2584</v>
      </c>
      <c r="J5" s="3434">
        <v>70</v>
      </c>
      <c r="K5" s="3434">
        <v>60</v>
      </c>
      <c r="L5" s="3434">
        <v>15</v>
      </c>
      <c r="M5" s="3434">
        <v>25</v>
      </c>
      <c r="N5" s="3018">
        <v>40</v>
      </c>
      <c r="O5" s="3018">
        <v>50</v>
      </c>
      <c r="P5" s="3018">
        <v>40</v>
      </c>
      <c r="Q5" s="3018">
        <v>15</v>
      </c>
      <c r="R5" s="3018">
        <v>315</v>
      </c>
    </row>
    <row r="6" spans="1:18">
      <c r="A6" s="3019">
        <v>50</v>
      </c>
      <c r="B6" s="3016">
        <v>50028</v>
      </c>
      <c r="C6" s="3018">
        <f>ROUNDDOWN(MIN((B6-B3)/365,A6),2)</f>
        <v>12.36</v>
      </c>
      <c r="D6" s="3020">
        <f>IF(ISERROR(ROUND(POWER(1+E6,A6-C6)*(POWER(1+E6,C6)-1)/(POWER(1+E6,A6)-1),3)),0,ROUND(POWER(1+E6,A6-C6)*(POWER(1+E6,C6)-1)/(POWER(1+E6,A6)-1),4))</f>
        <v>0.4471</v>
      </c>
      <c r="E6" s="3021">
        <v>0.04</v>
      </c>
      <c r="F6" s="3014"/>
      <c r="I6" s="3434" t="s">
        <v>2585</v>
      </c>
      <c r="J6" s="3434">
        <v>60</v>
      </c>
      <c r="K6" s="3434">
        <v>50</v>
      </c>
      <c r="L6" s="3434">
        <v>10</v>
      </c>
      <c r="M6" s="3434">
        <v>20</v>
      </c>
      <c r="N6" s="3018">
        <v>35</v>
      </c>
      <c r="O6" s="3018">
        <v>40</v>
      </c>
      <c r="P6" s="3018">
        <v>30</v>
      </c>
      <c r="Q6" s="3018">
        <v>10</v>
      </c>
      <c r="R6" s="3018">
        <v>255</v>
      </c>
    </row>
    <row r="7" spans="1:18">
      <c r="A7" s="3019">
        <v>70</v>
      </c>
      <c r="B7" s="3016">
        <v>57333</v>
      </c>
      <c r="C7" s="3018">
        <f>ROUNDDOWN(MIN((B7-B3)/365,A7),2)</f>
        <v>32.369999999999997</v>
      </c>
      <c r="D7" s="3020">
        <f>IF(ISERROR(ROUND(POWER(1+E7,A7-C7)*(POWER(1+E7,C7)-1)/(POWER(1+E7,A7)-1),3)),0,ROUND(POWER(1+E7,A7-C7)*(POWER(1+E7,C7)-1)/(POWER(1+E7,A7)-1),4))</f>
        <v>0.76839999999999997</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19" sqref="G1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8"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499" t="str">
        <f>IF(B10="北京市","北京市",C10)&amp;F10&amp;IF(结果表!G1="在建","出让国有建设用地使用权及在建建筑物",IF(结果表!G1="土地","出让国有建设用地使用权",))&amp;B9&amp;"预评估"</f>
        <v>北京市东环北路1号预评估</v>
      </c>
      <c r="C1" s="3500"/>
      <c r="D1" s="3500"/>
      <c r="E1" s="3500"/>
      <c r="F1" s="3500"/>
      <c r="G1" s="3500"/>
      <c r="H1" s="3500"/>
      <c r="I1" s="3501"/>
      <c r="J1" s="2468"/>
      <c r="K1" s="2365"/>
      <c r="L1" s="2366"/>
      <c r="M1" s="2366"/>
      <c r="N1" s="2367"/>
      <c r="O1" s="1575"/>
      <c r="P1" s="2367"/>
      <c r="Q1" s="2367"/>
      <c r="R1" s="2367"/>
      <c r="S1" s="1680" t="str">
        <f>IF(B10="北京市","北京市",C10)&amp;F10&amp;IF(结果表!G1="在建","出让国有建设用地使用权及在建建筑物房地产抵押价值",IF(结果表!G1="土地","出让国有建设用地使用权抵押价值",B9))</f>
        <v>北京市东环北路1号</v>
      </c>
      <c r="T1" s="1742"/>
      <c r="U1" s="1742"/>
      <c r="V1" s="1742"/>
      <c r="W1" s="1742"/>
      <c r="X1" s="1742"/>
      <c r="Y1" s="1742"/>
      <c r="Z1" s="1742"/>
      <c r="AA1" s="1742"/>
      <c r="AB1" s="1742"/>
    </row>
    <row r="2" spans="1:30">
      <c r="A2" s="2364" t="s">
        <v>2169</v>
      </c>
      <c r="B2" s="2368"/>
      <c r="C2" s="2369"/>
      <c r="D2" s="2665"/>
      <c r="E2" s="2658"/>
      <c r="F2" s="2658"/>
      <c r="G2" s="2659"/>
      <c r="H2" s="2659"/>
      <c r="I2" s="2659"/>
      <c r="J2" s="2468"/>
      <c r="K2" s="2365"/>
      <c r="L2" s="2366"/>
      <c r="M2" s="2366"/>
      <c r="N2" s="2367"/>
      <c r="O2" s="1575"/>
      <c r="P2" s="2367"/>
      <c r="Q2" s="2367"/>
      <c r="R2" s="2367"/>
      <c r="S2" s="1680" t="str">
        <f>IF(B10="北京市","北京市",C10)&amp;F10&amp;IF(结果表!G1="在建","出让国有建设用地使用权及在建建筑物房地产",IF(结果表!G1="土地","出让国有建设用地使用权","房地产"))</f>
        <v>北京市东环北路1号房地产</v>
      </c>
      <c r="T2" s="1742"/>
      <c r="U2" s="1742"/>
      <c r="V2" s="1742"/>
      <c r="W2" s="1742"/>
      <c r="X2" s="1742"/>
      <c r="Y2" s="1742"/>
      <c r="Z2" s="1742"/>
      <c r="AA2" s="1742"/>
      <c r="AB2" s="1742"/>
    </row>
    <row r="3" spans="1:30">
      <c r="A3" s="302" t="s">
        <v>2170</v>
      </c>
      <c r="B3" s="2370">
        <v>45516</v>
      </c>
      <c r="C3" s="2371" t="s">
        <v>2171</v>
      </c>
      <c r="D3" s="2370">
        <f>B3</f>
        <v>45516</v>
      </c>
      <c r="E3" s="2659"/>
      <c r="F3" s="2659"/>
      <c r="G3" s="2659"/>
      <c r="H3" s="2659"/>
      <c r="I3" s="2659"/>
      <c r="J3" s="2468"/>
      <c r="K3" s="2365"/>
      <c r="L3" s="2366"/>
      <c r="M3" s="2366"/>
      <c r="N3" s="2367"/>
      <c r="O3" s="1575"/>
      <c r="P3" s="2367"/>
      <c r="Q3" s="2367"/>
      <c r="R3" s="2367"/>
      <c r="S3" s="1680"/>
      <c r="T3" s="1742"/>
      <c r="U3" s="1742"/>
      <c r="V3" s="1742"/>
      <c r="W3" s="1742"/>
      <c r="X3" s="1742"/>
      <c r="Y3" s="1742"/>
      <c r="Z3" s="1742"/>
      <c r="AA3" s="1742"/>
      <c r="AB3" s="1742"/>
    </row>
    <row r="4" spans="1:30" ht="13.5" thickBot="1">
      <c r="A4" s="1089"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0"/>
      <c r="T4" s="1742"/>
      <c r="U4" s="1742"/>
      <c r="V4" s="1742"/>
      <c r="W4" s="1742"/>
      <c r="X4" s="1742"/>
      <c r="Y4" s="1742"/>
      <c r="Z4" s="1742"/>
      <c r="AA4" s="1742"/>
      <c r="AB4" s="1742"/>
    </row>
    <row r="5" spans="1:30" ht="13.5" thickTop="1">
      <c r="A5" s="2376" t="s">
        <v>2173</v>
      </c>
      <c r="B5" s="2377"/>
      <c r="C5" s="2378"/>
      <c r="D5" s="2379"/>
      <c r="E5" s="2660"/>
      <c r="F5" s="2660"/>
      <c r="G5" s="2660"/>
      <c r="H5" s="2660"/>
      <c r="I5" s="2660"/>
      <c r="J5" s="2436"/>
      <c r="K5" s="2375" t="str">
        <f>IF(F4="——","",IF(H4="——",F4&amp;"（注册号："&amp;G4&amp;")",CONCATENATE(F4,"（注册号：",G4,")、",H4,"（注册号：",I4,")")))</f>
        <v>（注册号：0)、（注册号：0)</v>
      </c>
      <c r="L5" s="2366"/>
      <c r="M5" s="2366"/>
      <c r="N5" s="2367"/>
      <c r="O5" s="1575"/>
      <c r="P5" s="2367"/>
      <c r="Q5" s="2367"/>
      <c r="R5" s="2367"/>
      <c r="S5" s="1742"/>
      <c r="T5" s="1742"/>
      <c r="U5" s="1742"/>
      <c r="V5" s="1742"/>
      <c r="W5" s="1742"/>
      <c r="X5" s="1742"/>
      <c r="Y5" s="1742"/>
      <c r="Z5" s="1742"/>
      <c r="AA5" s="1742"/>
      <c r="AB5" s="1742"/>
    </row>
    <row r="6" spans="1:30">
      <c r="A6" s="2380" t="s">
        <v>2174</v>
      </c>
      <c r="B6" s="2381"/>
      <c r="C6" s="2382"/>
      <c r="D6" s="2383"/>
      <c r="E6" s="2658"/>
      <c r="F6" s="2660"/>
      <c r="G6" s="2660"/>
      <c r="H6" s="2660"/>
      <c r="I6" s="2660"/>
      <c r="J6" s="2436"/>
      <c r="K6" s="2612" t="str">
        <f>IF(COUNTIF(B6,"*上海银行*"),"上海银行","")</f>
        <v/>
      </c>
      <c r="L6" s="2610"/>
      <c r="M6" s="2610"/>
      <c r="N6" s="2436"/>
      <c r="O6" s="2447"/>
      <c r="P6" s="2436"/>
      <c r="Q6" s="2436"/>
      <c r="R6" s="2436"/>
    </row>
    <row r="7" spans="1:30">
      <c r="A7" s="2380" t="s">
        <v>2175</v>
      </c>
      <c r="B7" s="2384"/>
      <c r="C7" s="2382"/>
      <c r="D7" s="2383"/>
      <c r="E7" s="2658"/>
      <c r="F7" s="2660"/>
      <c r="G7" s="2660"/>
      <c r="H7" s="2660"/>
      <c r="I7" s="2660"/>
      <c r="J7" s="2436"/>
      <c r="K7" s="2613"/>
      <c r="L7" s="2610"/>
      <c r="M7" s="2610"/>
      <c r="N7" s="2436"/>
      <c r="O7" s="2447"/>
      <c r="P7" s="2436"/>
      <c r="Q7" s="2436"/>
      <c r="R7" s="2436"/>
    </row>
    <row r="8" spans="1:30">
      <c r="A8" s="2385" t="s">
        <v>2176</v>
      </c>
      <c r="B8" s="2386"/>
      <c r="C8" s="2387"/>
      <c r="D8" s="3502" t="s">
        <v>2177</v>
      </c>
      <c r="E8" s="2388"/>
      <c r="F8" s="2389"/>
      <c r="G8" s="2659"/>
      <c r="H8" s="2659"/>
      <c r="I8" s="2659"/>
      <c r="J8" s="2436"/>
      <c r="K8" s="2611"/>
      <c r="L8" s="2610"/>
      <c r="M8" s="2610"/>
      <c r="N8" s="2436"/>
      <c r="O8" s="2447"/>
      <c r="P8" s="2436"/>
      <c r="Q8" s="2436"/>
      <c r="R8" s="2436"/>
    </row>
    <row r="9" spans="1:30" ht="13.5" thickBot="1">
      <c r="A9" s="2390" t="s">
        <v>2178</v>
      </c>
      <c r="B9" s="2391"/>
      <c r="C9" s="2392"/>
      <c r="D9" s="3503"/>
      <c r="E9" s="2391"/>
      <c r="F9" s="2393"/>
      <c r="G9" s="2661"/>
      <c r="H9" s="2661"/>
      <c r="I9" s="2661"/>
      <c r="J9" s="2436"/>
      <c r="K9" s="2613"/>
      <c r="L9" s="2610"/>
      <c r="M9" s="2610"/>
      <c r="N9" s="2436"/>
      <c r="O9" s="2447"/>
      <c r="P9" s="2436"/>
      <c r="Q9" s="2436"/>
      <c r="R9" s="2436"/>
    </row>
    <row r="10" spans="1:30" ht="15" thickTop="1">
      <c r="A10" s="2394" t="s">
        <v>2179</v>
      </c>
      <c r="B10" s="2395" t="s">
        <v>3385</v>
      </c>
      <c r="C10" s="2396"/>
      <c r="D10" s="2379"/>
      <c r="E10" s="2397" t="s">
        <v>2180</v>
      </c>
      <c r="F10" s="3796" t="s">
        <v>3415</v>
      </c>
      <c r="G10" s="2662"/>
      <c r="H10" s="2663"/>
      <c r="I10" s="2664"/>
      <c r="J10" s="2436"/>
      <c r="K10" s="2613"/>
      <c r="L10" s="2610"/>
      <c r="M10" s="2610"/>
      <c r="N10" s="2436"/>
      <c r="O10" s="2447"/>
      <c r="P10" s="2436"/>
      <c r="Q10" s="2436"/>
      <c r="R10" s="2436"/>
    </row>
    <row r="11" spans="1:30">
      <c r="A11" s="2398" t="s">
        <v>2181</v>
      </c>
      <c r="B11" s="2399" t="s">
        <v>3386</v>
      </c>
      <c r="C11" s="2400"/>
      <c r="D11" s="2401"/>
      <c r="E11" s="2367"/>
      <c r="F11" s="2367"/>
      <c r="G11" s="2367"/>
      <c r="H11" s="2367"/>
      <c r="I11" s="2367"/>
      <c r="J11" s="3056"/>
      <c r="K11" s="3055"/>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2578</v>
      </c>
      <c r="J12" s="3057"/>
      <c r="K12" s="2610"/>
      <c r="L12" s="2610"/>
      <c r="M12" s="2436"/>
      <c r="N12" s="2447"/>
      <c r="O12" s="2436"/>
      <c r="P12" s="2436"/>
      <c r="Q12" s="2436"/>
      <c r="AD12" s="1742"/>
    </row>
    <row r="13" spans="1:30">
      <c r="A13" s="3418" t="s">
        <v>3334</v>
      </c>
      <c r="B13" s="2404" t="s">
        <v>2190</v>
      </c>
      <c r="C13" s="856"/>
      <c r="D13" s="856"/>
      <c r="E13" s="856"/>
      <c r="F13" s="856"/>
      <c r="G13" s="856"/>
      <c r="H13" s="856">
        <v>58966</v>
      </c>
      <c r="I13" s="856"/>
      <c r="J13" s="3057"/>
      <c r="K13" s="2610"/>
      <c r="L13" s="2610"/>
      <c r="M13" s="2436"/>
      <c r="N13" s="2447"/>
      <c r="O13" s="2436"/>
      <c r="P13" s="2436"/>
      <c r="Q13" s="2436"/>
      <c r="AD13" s="1742"/>
    </row>
    <row r="14" spans="1:30">
      <c r="A14" s="1080"/>
      <c r="B14" s="2404" t="s">
        <v>2191</v>
      </c>
      <c r="C14" s="2405"/>
      <c r="D14" s="2405"/>
      <c r="E14" s="2405"/>
      <c r="F14" s="2405"/>
      <c r="G14" s="2405"/>
      <c r="H14" s="2405">
        <v>50</v>
      </c>
      <c r="I14" s="2405"/>
      <c r="J14" s="3058"/>
      <c r="K14" s="2610"/>
      <c r="L14" s="2610"/>
      <c r="M14" s="2436"/>
      <c r="N14" s="2447"/>
      <c r="O14" s="2436"/>
      <c r="P14" s="2436"/>
      <c r="Q14" s="2436"/>
      <c r="AD14" s="1742"/>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36.840000000000003</v>
      </c>
      <c r="I15" s="2407" t="str">
        <f>IF(A13="出让",IF(I13="","",ROUNDDOWN(MIN((I13-$D$3)/365,I14),2)),I14)</f>
        <v/>
      </c>
      <c r="J15" s="3059"/>
      <c r="K15" s="2448"/>
      <c r="L15" s="2448"/>
      <c r="M15" s="2506"/>
      <c r="N15" s="2448"/>
      <c r="O15" s="2506"/>
      <c r="P15" s="2436"/>
      <c r="Q15" s="2436"/>
      <c r="AD15" s="1742"/>
    </row>
    <row r="16" spans="1:30">
      <c r="A16" s="2397" t="s">
        <v>2193</v>
      </c>
      <c r="B16" s="3509"/>
      <c r="C16" s="3510"/>
      <c r="D16" s="3511"/>
      <c r="E16" s="2410" t="s">
        <v>2194</v>
      </c>
      <c r="F16" s="3512"/>
      <c r="G16" s="3513"/>
      <c r="H16" s="3513"/>
      <c r="I16" s="3514"/>
      <c r="J16" s="2436"/>
      <c r="K16" s="2614"/>
      <c r="L16" s="2448"/>
      <c r="M16" s="2448"/>
      <c r="N16" s="2506"/>
      <c r="O16" s="2448"/>
      <c r="P16" s="2506"/>
      <c r="Q16" s="2436"/>
      <c r="R16" s="2436"/>
    </row>
    <row r="17" spans="1:28">
      <c r="A17" s="313" t="s">
        <v>2195</v>
      </c>
      <c r="B17" s="302" t="s">
        <v>2196</v>
      </c>
      <c r="C17" s="8">
        <f>'数据-汇总表'!E3</f>
        <v>8640.14</v>
      </c>
      <c r="D17" s="2319" t="s">
        <v>2197</v>
      </c>
      <c r="E17" s="3515" t="s">
        <v>2198</v>
      </c>
      <c r="F17" s="3516"/>
      <c r="G17" s="3516"/>
      <c r="H17" s="3516"/>
      <c r="I17" s="3517"/>
      <c r="J17" s="2436"/>
      <c r="K17" s="2615"/>
      <c r="L17" s="2448"/>
      <c r="M17" s="2448"/>
      <c r="N17" s="2506"/>
      <c r="O17" s="2448"/>
      <c r="P17" s="2506"/>
      <c r="Q17" s="2436"/>
      <c r="R17" s="2436"/>
      <c r="S17" s="2436"/>
      <c r="T17" s="2436"/>
      <c r="U17" s="2436"/>
      <c r="V17" s="2436"/>
    </row>
    <row r="18" spans="1:28" ht="24.75" thickBot="1">
      <c r="A18" s="2411" t="s">
        <v>2199</v>
      </c>
      <c r="B18" s="1089" t="s">
        <v>2200</v>
      </c>
      <c r="C18" s="2412">
        <f>'数据-汇总表'!D3</f>
        <v>15462.6</v>
      </c>
      <c r="D18" s="1091" t="s">
        <v>2201</v>
      </c>
      <c r="E18" s="3518" t="s">
        <v>2202</v>
      </c>
      <c r="F18" s="3519"/>
      <c r="G18" s="3519"/>
      <c r="H18" s="3519"/>
      <c r="I18" s="3520"/>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0"/>
      <c r="I19" s="2660"/>
      <c r="J19" s="2436"/>
      <c r="K19" s="2613"/>
      <c r="L19" s="2610"/>
      <c r="M19" s="2610"/>
      <c r="N19" s="2506"/>
      <c r="O19" s="2448"/>
      <c r="P19" s="2506"/>
      <c r="Q19" s="2436"/>
      <c r="R19" s="2436"/>
      <c r="S19" s="2436"/>
      <c r="T19" s="2436"/>
      <c r="U19" s="2436"/>
      <c r="V19" s="2436"/>
    </row>
    <row r="20" spans="1:28">
      <c r="A20" s="2629" t="s">
        <v>2205</v>
      </c>
      <c r="B20" s="3505" t="s">
        <v>2206</v>
      </c>
      <c r="C20" s="3506"/>
      <c r="D20" s="3507" t="s">
        <v>2207</v>
      </c>
      <c r="E20" s="3508"/>
      <c r="F20" s="2644" t="s">
        <v>1056</v>
      </c>
      <c r="G20" s="2660"/>
      <c r="H20" s="2660"/>
      <c r="I20" s="2660"/>
      <c r="J20" s="2436"/>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2209</v>
      </c>
      <c r="C21" s="2631" t="s">
        <v>1057</v>
      </c>
      <c r="D21" s="1567" t="s">
        <v>2210</v>
      </c>
      <c r="E21" s="2632" t="s">
        <v>1057</v>
      </c>
      <c r="F21" s="2645"/>
      <c r="G21" s="2660"/>
      <c r="H21" s="2660"/>
      <c r="I21" s="2660"/>
      <c r="J21" s="2436"/>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2211</v>
      </c>
      <c r="C22" s="2631" t="s">
        <v>1058</v>
      </c>
      <c r="D22" s="2659"/>
      <c r="E22" s="2659"/>
      <c r="F22" s="2659"/>
      <c r="G22" s="2660"/>
      <c r="H22" s="2660"/>
      <c r="I22" s="2660"/>
      <c r="J22" s="2436"/>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2212</v>
      </c>
      <c r="B23" s="2499" t="s">
        <v>2213</v>
      </c>
      <c r="C23" s="2635"/>
      <c r="D23" s="2636" t="s">
        <v>2213</v>
      </c>
      <c r="E23" s="2637"/>
      <c r="F23" s="2659"/>
      <c r="G23" s="2660"/>
      <c r="H23" s="2660"/>
      <c r="I23" s="2660"/>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59"/>
      <c r="G24" s="2660"/>
      <c r="H24" s="2660"/>
      <c r="I24" s="2660"/>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59"/>
      <c r="G25" s="2660"/>
      <c r="H25" s="2660"/>
      <c r="I25" s="2660"/>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1"/>
      <c r="G26" s="2661"/>
      <c r="H26" s="2661"/>
      <c r="I26" s="2661"/>
      <c r="J26" s="2436"/>
      <c r="K26" s="2613"/>
      <c r="L26" s="2610"/>
      <c r="M26" s="2610"/>
      <c r="N26" s="2506"/>
      <c r="O26" s="2448"/>
      <c r="P26" s="2506"/>
      <c r="Q26" s="2436"/>
      <c r="R26" s="2436"/>
      <c r="S26" s="2436"/>
      <c r="T26" s="2436"/>
      <c r="U26" s="2436"/>
      <c r="V26" s="2436"/>
    </row>
    <row r="27" spans="1:28" ht="13.5" thickTop="1">
      <c r="A27" s="3522" t="s">
        <v>2214</v>
      </c>
      <c r="B27" s="320" t="s">
        <v>2215</v>
      </c>
      <c r="C27" s="2413"/>
      <c r="D27" s="2414"/>
      <c r="E27" s="2660"/>
      <c r="F27" s="2660"/>
      <c r="G27" s="2660"/>
      <c r="H27" s="2660"/>
      <c r="I27" s="2660"/>
      <c r="J27" s="2436"/>
      <c r="K27" s="2614"/>
      <c r="L27" s="2448"/>
      <c r="M27" s="2448"/>
      <c r="N27" s="2506"/>
      <c r="O27" s="2448"/>
      <c r="P27" s="2506"/>
      <c r="Q27" s="2436"/>
      <c r="R27" s="2436"/>
      <c r="S27" s="2436"/>
      <c r="T27" s="2436"/>
      <c r="U27" s="2436"/>
      <c r="V27" s="2436"/>
    </row>
    <row r="28" spans="1:28">
      <c r="A28" s="3522"/>
      <c r="B28" s="302" t="s">
        <v>2216</v>
      </c>
      <c r="C28" s="2415"/>
      <c r="D28" s="2416"/>
      <c r="E28" s="2660"/>
      <c r="F28" s="2660"/>
      <c r="G28" s="2660"/>
      <c r="H28" s="2660"/>
      <c r="I28" s="2660"/>
      <c r="J28" s="2436"/>
      <c r="K28" s="2613"/>
      <c r="L28" s="2610"/>
      <c r="M28" s="2610"/>
      <c r="N28" s="2436"/>
      <c r="O28" s="2447"/>
      <c r="P28" s="2436"/>
      <c r="Q28" s="2436"/>
      <c r="R28" s="2436"/>
      <c r="S28" s="2436"/>
      <c r="T28" s="2436"/>
      <c r="U28" s="2436"/>
      <c r="V28" s="2436"/>
    </row>
    <row r="29" spans="1:28">
      <c r="A29" s="3522"/>
      <c r="B29" s="302" t="s">
        <v>2217</v>
      </c>
      <c r="C29" s="2417"/>
      <c r="D29" s="2418"/>
      <c r="E29" s="2660"/>
      <c r="F29" s="2660"/>
      <c r="G29" s="2660"/>
      <c r="H29" s="2660"/>
      <c r="I29" s="2660"/>
      <c r="J29" s="2436"/>
      <c r="K29" s="2613"/>
      <c r="L29" s="2610"/>
      <c r="M29" s="2610"/>
      <c r="N29" s="2436"/>
      <c r="O29" s="2447"/>
      <c r="P29" s="2436"/>
      <c r="Q29" s="2436"/>
      <c r="R29" s="2436"/>
      <c r="S29" s="2436"/>
      <c r="T29" s="2436"/>
      <c r="U29" s="2436"/>
      <c r="V29" s="2436"/>
    </row>
    <row r="30" spans="1:28">
      <c r="A30" s="3523"/>
      <c r="B30" s="302" t="s">
        <v>2218</v>
      </c>
      <c r="C30" s="3524"/>
      <c r="D30" s="3525"/>
      <c r="E30" s="2660"/>
      <c r="F30" s="2660"/>
      <c r="G30" s="2660"/>
      <c r="H30" s="2660"/>
      <c r="I30" s="2660"/>
      <c r="J30" s="2436"/>
      <c r="K30" s="2613"/>
      <c r="L30" s="2610"/>
      <c r="M30" s="2610"/>
      <c r="N30" s="2436"/>
      <c r="O30" s="2447"/>
      <c r="P30" s="2436"/>
      <c r="Q30" s="2436"/>
      <c r="R30" s="2436"/>
      <c r="S30" s="2436"/>
      <c r="T30" s="2436"/>
      <c r="U30" s="2436"/>
      <c r="V30" s="2436"/>
    </row>
    <row r="31" spans="1:28">
      <c r="A31" s="3526" t="s">
        <v>2219</v>
      </c>
      <c r="B31" s="2419"/>
      <c r="C31" s="2320" t="str">
        <f>IF(B31="现房","成新及维护状况正常否",IF(B31="在建","工程状态是否正常",IF(B31="土地","是否闲置","-")))</f>
        <v>-</v>
      </c>
      <c r="D31" s="1372"/>
      <c r="E31" s="2420"/>
      <c r="F31" s="2660"/>
      <c r="G31" s="2660"/>
      <c r="H31" s="2660"/>
      <c r="I31" s="2660"/>
      <c r="J31" s="2436"/>
      <c r="K31" s="2612"/>
      <c r="L31" s="2610"/>
      <c r="M31" s="2610"/>
      <c r="N31" s="2436"/>
      <c r="O31" s="2447"/>
      <c r="P31" s="2436"/>
      <c r="Q31" s="2436"/>
      <c r="R31" s="2436"/>
      <c r="S31" s="2436"/>
      <c r="T31" s="2436"/>
      <c r="U31" s="2436"/>
      <c r="V31" s="2436"/>
    </row>
    <row r="32" spans="1:28">
      <c r="A32" s="3527"/>
      <c r="B32" s="2419"/>
      <c r="C32" s="2320" t="str">
        <f>IF(B32="现房","成新及维护状况是否正常",IF(B32="在建","工程状态是否正常",IF(B32="土地","是否闲置","-")))</f>
        <v>-</v>
      </c>
      <c r="D32" s="1372"/>
      <c r="E32" s="2420"/>
      <c r="F32" s="2660"/>
      <c r="G32" s="2660"/>
      <c r="H32" s="2660"/>
      <c r="I32" s="2660"/>
      <c r="J32" s="2436"/>
      <c r="K32" s="2613"/>
      <c r="L32" s="2610"/>
      <c r="M32" s="2610"/>
      <c r="N32" s="2436"/>
      <c r="O32" s="2447"/>
      <c r="P32" s="2436"/>
      <c r="Q32" s="2436"/>
      <c r="R32" s="2436"/>
      <c r="S32" s="2436"/>
      <c r="T32" s="2436"/>
      <c r="U32" s="2436"/>
      <c r="V32" s="2436"/>
    </row>
    <row r="33" spans="1:30">
      <c r="A33" s="3527"/>
      <c r="B33" s="2422"/>
      <c r="C33" s="1589" t="str">
        <f>IF(B33="现房","成新及维护状况是否正常",IF(B33="在建","工程状态是否正常",IF(B33="土地","是否闲置","-")))</f>
        <v>-</v>
      </c>
      <c r="D33" s="1364"/>
      <c r="E33" s="2423"/>
      <c r="F33" s="2660"/>
      <c r="G33" s="2660"/>
      <c r="H33" s="2660"/>
      <c r="I33" s="2660"/>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0"/>
      <c r="J34" s="2436"/>
      <c r="K34" s="2424">
        <f>COUNTIF(B34:H34,"——")</f>
        <v>0</v>
      </c>
      <c r="L34" s="323" t="s">
        <v>2221</v>
      </c>
      <c r="M34" s="323" t="s">
        <v>2222</v>
      </c>
      <c r="N34" s="323" t="s">
        <v>2223</v>
      </c>
      <c r="O34" s="323" t="s">
        <v>2224</v>
      </c>
      <c r="P34" s="323" t="s">
        <v>2225</v>
      </c>
      <c r="Q34" s="323" t="s">
        <v>2226</v>
      </c>
      <c r="R34" s="323" t="s">
        <v>2227</v>
      </c>
      <c r="S34" s="3521" t="s">
        <v>2228</v>
      </c>
      <c r="T34" s="2425" t="str">
        <f>NUMBERSTRING(7-K34,1)&amp;"通"</f>
        <v>七通</v>
      </c>
      <c r="U34" s="2436"/>
      <c r="V34" s="2436"/>
    </row>
    <row r="35" spans="1:30">
      <c r="A35" s="2426"/>
      <c r="B35" s="3528" t="s">
        <v>2229</v>
      </c>
      <c r="C35" s="3528"/>
      <c r="D35" s="3528"/>
      <c r="E35" s="3528"/>
      <c r="F35" s="664">
        <f>C10</f>
        <v>0</v>
      </c>
      <c r="G35" s="2660"/>
      <c r="H35" s="2660"/>
      <c r="I35" s="2660"/>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0" t="s">
        <v>2581</v>
      </c>
      <c r="G36" s="2660"/>
      <c r="H36" s="2660"/>
      <c r="I36" s="2660"/>
      <c r="J36" s="2436"/>
      <c r="K36" s="2613"/>
      <c r="L36" s="2610"/>
      <c r="M36" s="2610"/>
      <c r="N36" s="2436"/>
      <c r="O36" s="2447"/>
      <c r="P36" s="2436"/>
      <c r="Q36" s="2436"/>
      <c r="R36" s="2436"/>
      <c r="S36" s="2436"/>
      <c r="T36" s="2436"/>
      <c r="U36" s="2436"/>
      <c r="V36" s="2436"/>
    </row>
    <row r="37" spans="1:30">
      <c r="A37" s="2627" t="s">
        <v>2230</v>
      </c>
      <c r="B37" s="2428"/>
      <c r="C37" s="2428"/>
      <c r="D37" s="2428"/>
      <c r="E37" s="2428" t="s">
        <v>29</v>
      </c>
      <c r="F37" s="2428"/>
      <c r="G37" s="2660"/>
      <c r="H37" s="2660"/>
      <c r="I37" s="2660"/>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t="s">
        <v>3414</v>
      </c>
      <c r="F38" s="2429"/>
      <c r="G38" s="2661"/>
      <c r="H38" s="2661"/>
      <c r="I38" s="2661"/>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4"/>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0"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0"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0"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0"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0"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0"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0"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0"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0" customFormat="1">
      <c r="A51" s="1569"/>
      <c r="B51" s="1569"/>
      <c r="C51" s="1050"/>
      <c r="D51" s="1050"/>
      <c r="E51" s="1050"/>
      <c r="F51" s="1050"/>
      <c r="G51" s="1050"/>
      <c r="H51" s="1050"/>
      <c r="I51" s="1050"/>
      <c r="J51" s="2434"/>
      <c r="K51" s="2435"/>
      <c r="L51" s="2435"/>
      <c r="M51" s="1050"/>
      <c r="N51" s="1050"/>
      <c r="O51" s="1050"/>
      <c r="P51" s="1050"/>
      <c r="Q51" s="1050"/>
      <c r="R51" s="1050"/>
    </row>
    <row r="52" spans="1:22" s="1740" customFormat="1">
      <c r="A52" s="1569"/>
      <c r="B52" s="1569"/>
      <c r="C52" s="1569"/>
      <c r="D52" s="1569"/>
      <c r="E52" s="1569"/>
      <c r="F52" s="1050"/>
      <c r="G52" s="1569"/>
      <c r="H52" s="1569"/>
      <c r="I52" s="1569"/>
      <c r="J52" s="2437"/>
      <c r="K52" s="2435"/>
      <c r="L52" s="2435"/>
      <c r="M52" s="2435"/>
      <c r="N52" s="1569"/>
      <c r="O52" s="1569"/>
      <c r="P52" s="1569"/>
      <c r="Q52" s="1569"/>
      <c r="R52" s="1569"/>
    </row>
    <row r="53" spans="1:22" s="1740" customFormat="1">
      <c r="A53" s="1569"/>
      <c r="B53" s="1569"/>
      <c r="C53" s="1569"/>
      <c r="D53" s="1569"/>
      <c r="E53" s="1569"/>
      <c r="F53" s="1050"/>
      <c r="G53" s="1569"/>
      <c r="H53" s="1569"/>
      <c r="I53" s="1569"/>
      <c r="J53" s="2437"/>
      <c r="K53" s="2435"/>
      <c r="L53" s="2435"/>
      <c r="M53" s="2435"/>
      <c r="N53" s="1569"/>
      <c r="O53" s="1569"/>
      <c r="P53" s="1569"/>
      <c r="Q53" s="1569"/>
      <c r="R53" s="1569"/>
    </row>
    <row r="54" spans="1:22" s="1740" customFormat="1">
      <c r="A54" s="1569"/>
      <c r="B54" s="1569"/>
      <c r="C54" s="1569"/>
      <c r="D54" s="1569"/>
      <c r="E54" s="1569"/>
      <c r="F54" s="1050"/>
      <c r="G54" s="1569"/>
      <c r="H54" s="1569"/>
      <c r="I54" s="1569"/>
      <c r="J54" s="2437"/>
      <c r="K54" s="2435"/>
      <c r="L54" s="2435"/>
      <c r="M54" s="2435"/>
      <c r="N54" s="1569"/>
      <c r="O54" s="1569"/>
      <c r="P54" s="1569"/>
      <c r="Q54" s="1569"/>
      <c r="R54" s="1569"/>
    </row>
    <row r="55" spans="1:22" s="1740" customFormat="1">
      <c r="A55" s="1569"/>
      <c r="B55" s="1569"/>
      <c r="C55" s="1569"/>
      <c r="D55" s="1569"/>
      <c r="E55" s="1569"/>
      <c r="F55" s="1050"/>
      <c r="G55" s="1569"/>
      <c r="H55" s="1569"/>
      <c r="I55" s="1569"/>
      <c r="J55" s="2437"/>
      <c r="K55" s="2435"/>
      <c r="L55" s="2435"/>
      <c r="M55" s="2435"/>
      <c r="N55" s="1569"/>
      <c r="O55" s="1569"/>
      <c r="P55" s="1569"/>
      <c r="Q55" s="1569"/>
      <c r="R55" s="1569"/>
    </row>
    <row r="56" spans="1:22" s="1740"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2"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15462.6</v>
      </c>
      <c r="B3" s="11">
        <f>IF(C3="否",G5-AT5,G5)</f>
        <v>8640.14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3455">
        <f>A3</f>
        <v>15462.6</v>
      </c>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8640.14</v>
      </c>
      <c r="H5" s="13">
        <f t="shared" ref="H5:AT5" si="0">SUM(H13:H656)</f>
        <v>8640.14</v>
      </c>
      <c r="I5" s="13">
        <f t="shared" si="0"/>
        <v>8640.14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8640.14</v>
      </c>
      <c r="BA5" s="15">
        <f t="shared" si="1"/>
        <v>8640.14</v>
      </c>
      <c r="BB5" s="15">
        <f t="shared" si="1"/>
        <v>8640.14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15462.6</v>
      </c>
      <c r="F6" s="13" t="s">
        <v>0</v>
      </c>
      <c r="G6" s="13" t="s">
        <v>1</v>
      </c>
      <c r="H6" s="17">
        <f>SUMIF(I$12:AB$12,"总值",I6:AB6)</f>
        <v>15462.6</v>
      </c>
      <c r="I6" s="13">
        <f t="shared" ref="I6:AB6" si="2">ROUND($A$3*I5/$B$3,2)</f>
        <v>15462.6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15462.6</v>
      </c>
      <c r="AZ6" s="13" t="s">
        <v>2</v>
      </c>
      <c r="BA6" s="13">
        <f>ROUND($AY$6*BA5/$AZ$5,2)</f>
        <v>15462.6</v>
      </c>
      <c r="BB6" s="13">
        <f>ROUND($AY$6*BB5/$AZ$5,2)</f>
        <v>15462.6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3389</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v>2002</v>
      </c>
      <c r="C13" s="1050">
        <v>1</v>
      </c>
      <c r="D13" s="3456" t="s">
        <v>3388</v>
      </c>
      <c r="E13" s="13">
        <f>IF($C$3="是",ROUND($A$3*G13/$B$3,2),ROUND($A$3*(G13-AT13)/$B$3,2))</f>
        <v>9744.81</v>
      </c>
      <c r="F13" s="29"/>
      <c r="G13" s="30">
        <f>H13+AC13+AT13</f>
        <v>5445.17</v>
      </c>
      <c r="H13" s="17">
        <f>SUMIF(I$12:AB$12,"总值",I13:AB13)</f>
        <v>5445.17</v>
      </c>
      <c r="I13" s="1624">
        <v>5445.17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2002</v>
      </c>
      <c r="AX13" s="8">
        <f t="shared" si="6"/>
        <v>1</v>
      </c>
      <c r="AY13" s="1348">
        <f>ROUND($AY$6*AZ13/$AZ$5,2)</f>
        <v>9744.81</v>
      </c>
      <c r="AZ13" s="13">
        <f>BA13+BL13</f>
        <v>5445.17</v>
      </c>
      <c r="BA13" s="13">
        <f>SUM(BB13:BK13)</f>
        <v>5445.17</v>
      </c>
      <c r="BB13" s="13">
        <f>IF($D13="是",I13-J13,0)</f>
        <v>5445.17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v>2004</v>
      </c>
      <c r="C14" s="1050">
        <v>2</v>
      </c>
      <c r="D14" s="3456" t="s">
        <v>3388</v>
      </c>
      <c r="E14" s="13">
        <f>IF($C$3="是",ROUND($A$3*G14/$B$3,2),ROUND($A$3*(G14-AT14)/$B$3,2))</f>
        <v>1546.47</v>
      </c>
      <c r="F14" s="29"/>
      <c r="G14" s="30">
        <f>H14+AC14+AT14</f>
        <v>864.13</v>
      </c>
      <c r="H14" s="17">
        <f>SUMIF(I$12:AB$12,"总值",I14:AB14)</f>
        <v>864.13</v>
      </c>
      <c r="I14" s="1624">
        <v>864.13</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2004</v>
      </c>
      <c r="AX14" s="8">
        <f t="shared" si="6"/>
        <v>2</v>
      </c>
      <c r="AY14" s="1348">
        <f>ROUND($AY$6*AZ14/$AZ$5,2)</f>
        <v>1546.47</v>
      </c>
      <c r="AZ14" s="13">
        <f>BA14+BL14</f>
        <v>864.13</v>
      </c>
      <c r="BA14" s="13">
        <f>SUM(BB14:BK14)</f>
        <v>864.13</v>
      </c>
      <c r="BB14" s="13">
        <f>IF($D14="是",I14-J14,0)</f>
        <v>864.13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v>2004</v>
      </c>
      <c r="C15" s="1050">
        <v>3</v>
      </c>
      <c r="D15" s="3456" t="s">
        <v>3388</v>
      </c>
      <c r="E15" s="13">
        <f>IF($C$3="是",ROUND($A$3*G15/$B$3,2),ROUND($A$3*(G15-AT15)/$B$3,2))</f>
        <v>4171.33</v>
      </c>
      <c r="F15" s="29"/>
      <c r="G15" s="30">
        <f>H15+AC15+AT15</f>
        <v>2330.84</v>
      </c>
      <c r="H15" s="17">
        <f>SUMIF(I$12:AB$12,"总值",I15:AB15)</f>
        <v>2330.84</v>
      </c>
      <c r="I15" s="1624">
        <v>2330.84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2004</v>
      </c>
      <c r="AX15" s="8">
        <f t="shared" si="6"/>
        <v>3</v>
      </c>
      <c r="AY15" s="1348">
        <f>ROUND($AY$6*AZ15/$AZ$5,2)</f>
        <v>4171.33</v>
      </c>
      <c r="AZ15" s="13">
        <f>BA15+BL15</f>
        <v>2330.84</v>
      </c>
      <c r="BA15" s="13">
        <f>SUM(BB15:BK15)</f>
        <v>2330.84</v>
      </c>
      <c r="BB15" s="13">
        <f>IF($D15="是",I15-J15,0)</f>
        <v>2330.84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3446"/>
      <c r="C16" s="3446"/>
      <c r="D16" s="3445"/>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3444"/>
      <c r="C17" s="3444"/>
      <c r="D17" s="3445"/>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44"/>
      <c r="C18" s="3444"/>
      <c r="D18" s="344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444"/>
      <c r="C19" s="3444"/>
      <c r="D19" s="344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444"/>
      <c r="C20" s="3444"/>
      <c r="D20" s="344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444"/>
      <c r="C21" s="3444"/>
      <c r="D21" s="344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444"/>
      <c r="C22" s="3444"/>
      <c r="D22" s="344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444"/>
      <c r="C23" s="3444"/>
      <c r="D23" s="344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444"/>
      <c r="C24" s="3444"/>
      <c r="D24" s="344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444"/>
      <c r="C25" s="3444"/>
      <c r="D25" s="344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444"/>
      <c r="C26" s="3444"/>
      <c r="D26" s="344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6"/>
      <c r="C27" s="3446"/>
      <c r="D27" s="344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446"/>
      <c r="C28" s="3446"/>
      <c r="D28" s="344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446"/>
      <c r="C29" s="3446"/>
      <c r="D29" s="344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446"/>
      <c r="C30" s="3446"/>
      <c r="D30" s="344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446"/>
      <c r="C31" s="3446"/>
      <c r="D31" s="344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446"/>
      <c r="C32" s="3446"/>
      <c r="D32" s="344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447"/>
      <c r="C33" s="3444"/>
      <c r="D33" s="344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447"/>
      <c r="C34" s="3444"/>
      <c r="D34" s="344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444"/>
      <c r="C35" s="3444"/>
      <c r="D35" s="344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444"/>
      <c r="C36" s="3444"/>
      <c r="D36" s="344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444"/>
      <c r="C37" s="3444"/>
      <c r="D37" s="344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446"/>
      <c r="C38" s="3446"/>
      <c r="D38" s="344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446"/>
      <c r="C39" s="3446"/>
      <c r="D39" s="344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446"/>
      <c r="C40" s="3446"/>
      <c r="D40" s="344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447"/>
      <c r="C41" s="3444"/>
      <c r="D41" s="344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447"/>
      <c r="C42" s="3444"/>
      <c r="D42" s="344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446"/>
      <c r="C43" s="3446"/>
      <c r="D43" s="344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446"/>
      <c r="C44" s="3446"/>
      <c r="D44" s="344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446"/>
      <c r="C45" s="3446"/>
      <c r="D45" s="344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446"/>
      <c r="C46" s="3446"/>
      <c r="D46" s="344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446"/>
      <c r="C47" s="3446"/>
      <c r="D47" s="344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446"/>
      <c r="C48" s="3446"/>
      <c r="D48" s="344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448"/>
      <c r="C49" s="3448"/>
      <c r="D49" s="344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446"/>
      <c r="C50" s="3446"/>
      <c r="D50" s="344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446"/>
      <c r="C51" s="3446"/>
      <c r="D51" s="344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449"/>
      <c r="C52" s="3444"/>
      <c r="D52" s="344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447"/>
      <c r="C53" s="3444"/>
      <c r="D53" s="344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446"/>
      <c r="C54" s="3446"/>
      <c r="D54" s="344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446"/>
      <c r="C55" s="3446"/>
      <c r="D55" s="344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446"/>
      <c r="C56" s="3446"/>
      <c r="D56" s="344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446"/>
      <c r="C57" s="3446"/>
      <c r="D57" s="344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446"/>
      <c r="C58" s="3446"/>
      <c r="D58" s="344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447"/>
      <c r="C59" s="3447"/>
      <c r="D59" s="345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8"/>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8"/>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38" t="s">
        <v>1131</v>
      </c>
      <c r="B2" s="3538"/>
      <c r="C2" s="3538"/>
      <c r="D2" s="796" t="s">
        <v>1107</v>
      </c>
      <c r="E2" s="1637" t="s">
        <v>1108</v>
      </c>
      <c r="F2" s="2655"/>
      <c r="G2" s="2647"/>
      <c r="H2" s="2648"/>
      <c r="I2" s="2322" t="s">
        <v>1132</v>
      </c>
      <c r="J2" s="2655"/>
      <c r="K2" s="2655"/>
      <c r="L2" s="2655"/>
      <c r="M2" s="2655"/>
      <c r="N2" s="2657"/>
      <c r="O2" s="2655"/>
      <c r="P2" s="2655"/>
    </row>
    <row r="3" spans="1:16" ht="15.75" thickBot="1">
      <c r="A3" s="3539" t="s">
        <v>1105</v>
      </c>
      <c r="B3" s="3539"/>
      <c r="C3" s="3539"/>
      <c r="D3" s="43">
        <f>'数据-基础表'!AY6</f>
        <v>15462.6</v>
      </c>
      <c r="E3" s="43">
        <f>'数据-基础表'!AZ5</f>
        <v>8640.14</v>
      </c>
      <c r="F3" s="2655"/>
      <c r="G3" s="1144"/>
      <c r="H3" s="1026" t="s">
        <v>1106</v>
      </c>
      <c r="I3" s="855">
        <f>ROUND('数据-基础表'!B3/'数据-基础表'!A3,2)</f>
        <v>0.56000000000000005</v>
      </c>
      <c r="J3" s="2655"/>
      <c r="K3" s="2655"/>
      <c r="L3" s="2655"/>
      <c r="M3" s="2655"/>
      <c r="N3" s="2657"/>
      <c r="O3" s="2655"/>
      <c r="P3" s="2655"/>
    </row>
    <row r="4" spans="1:16" ht="15">
      <c r="A4" s="3540"/>
      <c r="B4" s="3541"/>
      <c r="C4" s="3542"/>
      <c r="D4" s="1639" t="s">
        <v>1107</v>
      </c>
      <c r="E4" s="1640" t="s">
        <v>1108</v>
      </c>
      <c r="F4" s="2655"/>
      <c r="G4" s="2649" t="s">
        <v>1133</v>
      </c>
      <c r="H4" s="1026" t="s">
        <v>1113</v>
      </c>
      <c r="I4" s="855">
        <f>ROUND(SUMIF('数据-基础表'!I9:AS9,"地上",'数据-基础表'!I5:AS5)/'数据-基础表'!A3,2)</f>
        <v>0.56000000000000005</v>
      </c>
      <c r="J4" s="2655"/>
      <c r="K4" s="2655"/>
      <c r="L4" s="2655"/>
      <c r="M4" s="2655"/>
      <c r="N4" s="2657"/>
      <c r="O4" s="2655"/>
      <c r="P4" s="2655"/>
    </row>
    <row r="5" spans="1:16">
      <c r="A5" s="44" t="s">
        <v>1109</v>
      </c>
      <c r="B5" s="3543" t="s">
        <v>1110</v>
      </c>
      <c r="C5" s="3543"/>
      <c r="D5" s="45">
        <f>ROUND($D$3*E5/$E$3,2)</f>
        <v>0</v>
      </c>
      <c r="E5" s="46">
        <f>SUMIF('数据-基础表'!$11:$11,"住宅",'数据-基础表'!$5:$5)</f>
        <v>0</v>
      </c>
      <c r="F5" s="2655"/>
      <c r="G5" s="1144"/>
      <c r="H5" s="1026" t="s">
        <v>1106</v>
      </c>
      <c r="I5" s="855">
        <f>ROUND(E31/D31,2)</f>
        <v>0.56000000000000005</v>
      </c>
      <c r="J5" s="2655"/>
      <c r="K5" s="2655"/>
      <c r="L5" s="2655"/>
      <c r="M5" s="2655"/>
      <c r="N5" s="2655"/>
      <c r="O5" s="2655"/>
      <c r="P5" s="2655"/>
    </row>
    <row r="6" spans="1:16" ht="15" thickBot="1">
      <c r="A6" s="1642"/>
      <c r="B6" s="3543" t="s">
        <v>1111</v>
      </c>
      <c r="C6" s="3543"/>
      <c r="D6" s="45">
        <f>ROUND($D$3*E6/$E$3,2)</f>
        <v>15462.6</v>
      </c>
      <c r="E6" s="46">
        <f>E3-E5</f>
        <v>8640.14</v>
      </c>
      <c r="F6" s="2655"/>
      <c r="G6" s="2650" t="s">
        <v>1112</v>
      </c>
      <c r="H6" s="1145" t="s">
        <v>1113</v>
      </c>
      <c r="I6" s="2651">
        <f>ROUND(F31/D31,2)</f>
        <v>0.56000000000000005</v>
      </c>
      <c r="J6" s="2655"/>
      <c r="K6" s="2655"/>
      <c r="L6" s="2655"/>
      <c r="M6" s="2655"/>
      <c r="N6" s="2655"/>
      <c r="O6" s="2655"/>
      <c r="P6" s="2655"/>
    </row>
    <row r="7" spans="1:16" ht="15.75" thickBot="1">
      <c r="A7" s="3535"/>
      <c r="B7" s="3536"/>
      <c r="C7" s="3537"/>
      <c r="D7" s="1639" t="s">
        <v>1107</v>
      </c>
      <c r="E7" s="1643" t="s">
        <v>1114</v>
      </c>
      <c r="F7" s="2655"/>
      <c r="G7" s="2652" t="s">
        <v>1115</v>
      </c>
      <c r="H7" s="2653"/>
      <c r="I7" s="3452">
        <v>1</v>
      </c>
      <c r="J7" s="2655"/>
      <c r="K7" s="2655"/>
      <c r="L7" s="2655"/>
      <c r="M7" s="2655"/>
      <c r="N7" s="2655"/>
      <c r="O7" s="2655"/>
      <c r="P7" s="2655"/>
    </row>
    <row r="8" spans="1:16">
      <c r="A8" s="44" t="s">
        <v>1116</v>
      </c>
      <c r="B8" s="47" t="s">
        <v>1117</v>
      </c>
      <c r="C8" s="45" t="s">
        <v>1118</v>
      </c>
      <c r="D8" s="45">
        <f t="shared" ref="D8:D15" si="0">ROUND($D$3*E8/$E$3,2)</f>
        <v>15462.6</v>
      </c>
      <c r="E8" s="48">
        <f>SUMIF('数据-基础表'!BB10:BK10,"地上",'数据-基础表'!BB5:BK5)</f>
        <v>8640.14</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15462.6</v>
      </c>
      <c r="E16" s="50">
        <f>SUM(E8:E15)</f>
        <v>8640.14</v>
      </c>
      <c r="F16" s="2655"/>
      <c r="G16" s="2656"/>
      <c r="H16" s="1646" t="s">
        <v>1135</v>
      </c>
      <c r="I16" s="1647"/>
      <c r="J16" s="1138"/>
      <c r="K16" s="3532" t="s">
        <v>1135</v>
      </c>
      <c r="L16" s="3533"/>
      <c r="M16" s="3533"/>
      <c r="N16" s="3533"/>
      <c r="O16" s="3533"/>
      <c r="P16" s="3534"/>
    </row>
    <row r="17" spans="1:19" ht="15">
      <c r="A17" s="1648" t="s">
        <v>1136</v>
      </c>
      <c r="B17" s="1649" t="s">
        <v>1137</v>
      </c>
      <c r="C17" s="1650" t="s">
        <v>1138</v>
      </c>
      <c r="D17" s="1651" t="s">
        <v>1126</v>
      </c>
      <c r="E17" s="1652" t="s">
        <v>1127</v>
      </c>
      <c r="F17" s="1653"/>
      <c r="G17" s="1654"/>
      <c r="H17" s="1655" t="s">
        <v>1139</v>
      </c>
      <c r="I17" s="1656" t="s">
        <v>1124</v>
      </c>
      <c r="J17" s="1138"/>
      <c r="K17" s="3529" t="s">
        <v>1140</v>
      </c>
      <c r="L17" s="3530"/>
      <c r="M17" s="3531"/>
      <c r="N17" s="3529" t="s">
        <v>1141</v>
      </c>
      <c r="O17" s="3530"/>
      <c r="P17" s="3531"/>
      <c r="R17" s="1638" t="s">
        <v>1142</v>
      </c>
      <c r="S17" s="56"/>
    </row>
    <row r="18" spans="1:19" ht="15">
      <c r="A18" s="1644"/>
      <c r="B18" s="1657"/>
      <c r="C18" s="1658"/>
      <c r="D18" s="1659"/>
      <c r="E18" s="1660" t="s">
        <v>1143</v>
      </c>
      <c r="F18" s="1661" t="s">
        <v>1144</v>
      </c>
      <c r="G18" s="1662" t="s">
        <v>1145</v>
      </c>
      <c r="H18" s="1041" t="s">
        <v>1146</v>
      </c>
      <c r="I18" s="1663" t="s">
        <v>1147</v>
      </c>
      <c r="J18" s="1138"/>
      <c r="K18" s="1041" t="s">
        <v>1148</v>
      </c>
      <c r="L18" s="1664" t="s">
        <v>1149</v>
      </c>
      <c r="M18" s="855" t="s">
        <v>1150</v>
      </c>
      <c r="N18" s="1041" t="s">
        <v>1148</v>
      </c>
      <c r="O18" s="1664" t="s">
        <v>1149</v>
      </c>
      <c r="P18" s="855" t="s">
        <v>1150</v>
      </c>
      <c r="R18" s="1026" t="s">
        <v>1151</v>
      </c>
      <c r="S18" s="1026" t="s">
        <v>1152</v>
      </c>
    </row>
    <row r="19" spans="1:19">
      <c r="A19" s="1665"/>
      <c r="B19" s="47" t="s">
        <v>1125</v>
      </c>
      <c r="C19" s="3451" t="s">
        <v>3390</v>
      </c>
      <c r="D19" s="45">
        <f>ROUND($D$3*E19/$E$3,2)</f>
        <v>15462.6</v>
      </c>
      <c r="E19" s="53">
        <f t="shared" ref="E19:E26" si="1">SUM(F19:G19)</f>
        <v>8640.14</v>
      </c>
      <c r="F19" s="2790">
        <f>'数据-基础表'!I5</f>
        <v>8640.14</v>
      </c>
      <c r="G19" s="2791"/>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6"/>
      <c r="O19" s="1667"/>
      <c r="P19" s="1149">
        <f>N19+O19</f>
        <v>0</v>
      </c>
      <c r="R19" s="1026">
        <f t="shared" ref="R19:S26" si="5">D19+H19</f>
        <v>15462.6</v>
      </c>
      <c r="S19" s="1027">
        <f t="shared" si="5"/>
        <v>8640.14</v>
      </c>
    </row>
    <row r="20" spans="1:19">
      <c r="A20" s="1668"/>
      <c r="B20" s="47" t="s">
        <v>1153</v>
      </c>
      <c r="C20" s="3412"/>
      <c r="D20" s="45">
        <f t="shared" ref="D20:D26" si="6">ROUND($D$3*E20/$E$3,2)</f>
        <v>0</v>
      </c>
      <c r="E20" s="53">
        <f t="shared" si="1"/>
        <v>0</v>
      </c>
      <c r="F20" s="2790"/>
      <c r="G20" s="2791"/>
      <c r="H20" s="670">
        <f t="shared" ref="H20:H26" si="7">ROUND($D$3*I20/$E$3,2)</f>
        <v>0</v>
      </c>
      <c r="I20" s="48">
        <f t="shared" si="2"/>
        <v>0</v>
      </c>
      <c r="J20" s="1138"/>
      <c r="K20" s="1137">
        <f t="shared" si="3"/>
        <v>0</v>
      </c>
      <c r="L20" s="1026">
        <f t="shared" si="4"/>
        <v>0</v>
      </c>
      <c r="M20" s="1149">
        <f t="shared" ref="M20:M26" si="8">K20+L20</f>
        <v>0</v>
      </c>
      <c r="N20" s="1666"/>
      <c r="O20" s="1667"/>
      <c r="P20" s="1149">
        <f t="shared" ref="P20:P26" si="9">N20+O20</f>
        <v>0</v>
      </c>
      <c r="R20" s="1026">
        <f t="shared" si="5"/>
        <v>0</v>
      </c>
      <c r="S20" s="1027">
        <f t="shared" si="5"/>
        <v>0</v>
      </c>
    </row>
    <row r="21" spans="1:19">
      <c r="A21" s="1668"/>
      <c r="B21" s="47" t="s">
        <v>1153</v>
      </c>
      <c r="C21" s="3412"/>
      <c r="D21" s="45">
        <f t="shared" si="6"/>
        <v>0</v>
      </c>
      <c r="E21" s="53">
        <f t="shared" si="1"/>
        <v>0</v>
      </c>
      <c r="F21" s="2790"/>
      <c r="G21" s="2791"/>
      <c r="H21" s="670">
        <f t="shared" si="7"/>
        <v>0</v>
      </c>
      <c r="I21" s="48">
        <f t="shared" si="2"/>
        <v>0</v>
      </c>
      <c r="J21" s="1138"/>
      <c r="K21" s="1137">
        <f t="shared" si="3"/>
        <v>0</v>
      </c>
      <c r="L21" s="1026">
        <f t="shared" si="4"/>
        <v>0</v>
      </c>
      <c r="M21" s="1149">
        <f t="shared" si="8"/>
        <v>0</v>
      </c>
      <c r="N21" s="1666"/>
      <c r="O21" s="1667"/>
      <c r="P21" s="1149">
        <f t="shared" si="9"/>
        <v>0</v>
      </c>
      <c r="R21" s="1026">
        <f t="shared" si="5"/>
        <v>0</v>
      </c>
      <c r="S21" s="1027">
        <f t="shared" si="5"/>
        <v>0</v>
      </c>
    </row>
    <row r="22" spans="1:19">
      <c r="A22" s="1668"/>
      <c r="B22" s="47" t="s">
        <v>1153</v>
      </c>
      <c r="C22" s="3413"/>
      <c r="D22" s="45">
        <f t="shared" si="6"/>
        <v>0</v>
      </c>
      <c r="E22" s="53">
        <f t="shared" si="1"/>
        <v>0</v>
      </c>
      <c r="F22" s="2792"/>
      <c r="G22" s="2793"/>
      <c r="H22" s="670">
        <f t="shared" si="7"/>
        <v>0</v>
      </c>
      <c r="I22" s="48">
        <f t="shared" si="2"/>
        <v>0</v>
      </c>
      <c r="J22" s="1138"/>
      <c r="K22" s="1137">
        <f t="shared" si="3"/>
        <v>0</v>
      </c>
      <c r="L22" s="1026">
        <f t="shared" si="4"/>
        <v>0</v>
      </c>
      <c r="M22" s="1149">
        <f t="shared" si="8"/>
        <v>0</v>
      </c>
      <c r="N22" s="1666"/>
      <c r="O22" s="1667"/>
      <c r="P22" s="1149">
        <f t="shared" si="9"/>
        <v>0</v>
      </c>
      <c r="R22" s="1026">
        <f t="shared" si="5"/>
        <v>0</v>
      </c>
      <c r="S22" s="1027">
        <f t="shared" si="5"/>
        <v>0</v>
      </c>
    </row>
    <row r="23" spans="1:19">
      <c r="A23" s="1668"/>
      <c r="B23" s="47" t="s">
        <v>1153</v>
      </c>
      <c r="C23" s="3413"/>
      <c r="D23" s="45">
        <f>ROUND($D$3*E23/$E$3,2)</f>
        <v>0</v>
      </c>
      <c r="E23" s="53">
        <f>SUM(F23:G23)</f>
        <v>0</v>
      </c>
      <c r="F23" s="2792"/>
      <c r="G23" s="2793"/>
      <c r="H23" s="670">
        <f>ROUND($D$3*I23/$E$3,2)</f>
        <v>0</v>
      </c>
      <c r="I23" s="48">
        <f t="shared" si="2"/>
        <v>0</v>
      </c>
      <c r="J23" s="1138"/>
      <c r="K23" s="1137">
        <f t="shared" si="3"/>
        <v>0</v>
      </c>
      <c r="L23" s="1026">
        <f t="shared" si="4"/>
        <v>0</v>
      </c>
      <c r="M23" s="1149">
        <f t="shared" si="8"/>
        <v>0</v>
      </c>
      <c r="N23" s="1666"/>
      <c r="O23" s="1667"/>
      <c r="P23" s="1149">
        <f t="shared" si="9"/>
        <v>0</v>
      </c>
      <c r="R23" s="1026">
        <f t="shared" si="5"/>
        <v>0</v>
      </c>
      <c r="S23" s="1027">
        <f t="shared" si="5"/>
        <v>0</v>
      </c>
    </row>
    <row r="24" spans="1:19">
      <c r="A24" s="1668"/>
      <c r="B24" s="47" t="s">
        <v>1153</v>
      </c>
      <c r="C24" s="3413"/>
      <c r="D24" s="45">
        <f>ROUND($D$3*E24/$E$3,2)</f>
        <v>0</v>
      </c>
      <c r="E24" s="53">
        <f>SUM(F24:G24)</f>
        <v>0</v>
      </c>
      <c r="F24" s="2792"/>
      <c r="G24" s="2793"/>
      <c r="H24" s="670">
        <f>ROUND($D$3*I24/$E$3,2)</f>
        <v>0</v>
      </c>
      <c r="I24" s="48">
        <f t="shared" si="2"/>
        <v>0</v>
      </c>
      <c r="J24" s="1138"/>
      <c r="K24" s="1137">
        <f t="shared" si="3"/>
        <v>0</v>
      </c>
      <c r="L24" s="1026">
        <f t="shared" si="4"/>
        <v>0</v>
      </c>
      <c r="M24" s="1149">
        <f t="shared" si="8"/>
        <v>0</v>
      </c>
      <c r="N24" s="1666"/>
      <c r="O24" s="1667"/>
      <c r="P24" s="1149">
        <f t="shared" si="9"/>
        <v>0</v>
      </c>
      <c r="R24" s="1026">
        <f t="shared" si="5"/>
        <v>0</v>
      </c>
      <c r="S24" s="1027">
        <f t="shared" si="5"/>
        <v>0</v>
      </c>
    </row>
    <row r="25" spans="1:19">
      <c r="A25" s="1668"/>
      <c r="B25" s="47" t="s">
        <v>1153</v>
      </c>
      <c r="C25" s="3413"/>
      <c r="D25" s="45">
        <f t="shared" si="6"/>
        <v>0</v>
      </c>
      <c r="E25" s="53">
        <f t="shared" si="1"/>
        <v>0</v>
      </c>
      <c r="F25" s="2792"/>
      <c r="G25" s="2793"/>
      <c r="H25" s="44">
        <f t="shared" si="7"/>
        <v>0</v>
      </c>
      <c r="I25" s="48">
        <f t="shared" si="2"/>
        <v>0</v>
      </c>
      <c r="J25" s="1138"/>
      <c r="K25" s="1137">
        <f t="shared" si="3"/>
        <v>0</v>
      </c>
      <c r="L25" s="1026">
        <f t="shared" si="4"/>
        <v>0</v>
      </c>
      <c r="M25" s="1149">
        <f t="shared" si="8"/>
        <v>0</v>
      </c>
      <c r="N25" s="1666"/>
      <c r="O25" s="1667"/>
      <c r="P25" s="1149">
        <f t="shared" si="9"/>
        <v>0</v>
      </c>
      <c r="R25" s="1026">
        <f t="shared" si="5"/>
        <v>0</v>
      </c>
      <c r="S25" s="1027">
        <f t="shared" si="5"/>
        <v>0</v>
      </c>
    </row>
    <row r="26" spans="1:19">
      <c r="A26" s="1668"/>
      <c r="B26" s="47" t="s">
        <v>1153</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69"/>
      <c r="O26" s="1670"/>
      <c r="P26" s="59">
        <f t="shared" si="9"/>
        <v>0</v>
      </c>
      <c r="R26" s="1026">
        <f t="shared" si="5"/>
        <v>0</v>
      </c>
      <c r="S26" s="1027">
        <f t="shared" si="5"/>
        <v>0</v>
      </c>
    </row>
    <row r="27" spans="1:19" ht="15.75" thickBot="1">
      <c r="A27" s="1668"/>
      <c r="B27" s="45"/>
      <c r="C27" s="1671" t="s">
        <v>1154</v>
      </c>
      <c r="D27" s="1139">
        <f>SUM(D19:D26)</f>
        <v>15462.6</v>
      </c>
      <c r="E27" s="1140">
        <f>IF(SUM(E19:E26)='数据-基础表'!BA5,SUM(E19:E26),IF(F27="地上面积有误","面积有误","地下面积有误"))</f>
        <v>8640.14</v>
      </c>
      <c r="F27" s="1139">
        <f>IF(SUM(F19:F26)=E8,SUM(F19:F26),"地上面积有误")</f>
        <v>8640.14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15462.6</v>
      </c>
      <c r="S27" s="1026">
        <f>IF(SUM(S19:S26)=$E$3,SUM(S19:S26),SUM(S19:S26)&amp;"误差"&amp;ROUND(SUM(S19:S26)-E3,2))</f>
        <v>8640.14</v>
      </c>
    </row>
    <row r="28" spans="1:19">
      <c r="A28" s="1668"/>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4"/>
      <c r="B31" s="1675"/>
      <c r="C31" s="835" t="s">
        <v>1158</v>
      </c>
      <c r="D31" s="676">
        <f>D27+D30</f>
        <v>15462.6</v>
      </c>
      <c r="E31" s="676">
        <f>E27+E30</f>
        <v>8640.14</v>
      </c>
      <c r="F31" s="677">
        <f>F27+F30</f>
        <v>8640.14</v>
      </c>
      <c r="G31" s="678">
        <f>G27+G30</f>
        <v>0</v>
      </c>
      <c r="H31" s="2655"/>
      <c r="I31" s="2655"/>
      <c r="J31" s="2655"/>
      <c r="K31" s="2655"/>
      <c r="L31" s="2655"/>
      <c r="M31" s="2655"/>
      <c r="N31" s="2655"/>
      <c r="O31" s="2655"/>
      <c r="P31" s="2655"/>
    </row>
    <row r="32" spans="1:19">
      <c r="A32" s="1641"/>
      <c r="B32" s="1641" t="s">
        <v>1159</v>
      </c>
      <c r="C32" s="1641"/>
      <c r="D32" s="1641"/>
      <c r="E32" s="1052">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G52" sqref="G52"/>
    </sheetView>
  </sheetViews>
  <sheetFormatPr defaultColWidth="13.75" defaultRowHeight="12.75"/>
  <cols>
    <col min="1" max="1" width="20.875" style="1742" customWidth="1"/>
    <col min="2" max="2" width="12" style="1680" customWidth="1"/>
    <col min="3" max="3" width="12.75" style="1680" customWidth="1"/>
    <col min="4" max="4" width="9.125" style="1743" customWidth="1"/>
    <col min="5" max="5" width="15" style="1680" bestFit="1" customWidth="1"/>
    <col min="6" max="10" width="8.875" style="1680" customWidth="1"/>
    <col min="11" max="12" width="12.375" style="1600"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1" t="s">
        <v>1161</v>
      </c>
      <c r="B2" s="1045">
        <f>项目基本情况!D3</f>
        <v>45516</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8" customFormat="1" ht="15" thickBot="1">
      <c r="A3" s="1556"/>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8"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9" customFormat="1" ht="42">
      <c r="A5" s="1693" t="s">
        <v>1168</v>
      </c>
      <c r="B5" s="1694" t="s">
        <v>1169</v>
      </c>
      <c r="C5" s="1695" t="s">
        <v>1170</v>
      </c>
      <c r="D5" s="1696" t="s">
        <v>1171</v>
      </c>
      <c r="E5" s="1047" t="s">
        <v>1172</v>
      </c>
      <c r="F5" s="1697" t="s">
        <v>1173</v>
      </c>
      <c r="G5" s="1047" t="s">
        <v>1174</v>
      </c>
      <c r="H5" s="1047" t="s">
        <v>1175</v>
      </c>
      <c r="I5" s="1047" t="s">
        <v>1176</v>
      </c>
      <c r="J5" s="1698" t="s">
        <v>1177</v>
      </c>
      <c r="K5" s="1699" t="s">
        <v>1178</v>
      </c>
      <c r="L5" s="1700" t="s">
        <v>1179</v>
      </c>
      <c r="M5" s="1701" t="s">
        <v>1180</v>
      </c>
      <c r="N5" s="1702" t="s">
        <v>3391</v>
      </c>
      <c r="O5" s="1700" t="s">
        <v>1181</v>
      </c>
      <c r="P5" s="1703" t="s">
        <v>1182</v>
      </c>
      <c r="Q5" s="61" t="s">
        <v>1183</v>
      </c>
      <c r="R5" s="1704" t="s">
        <v>1184</v>
      </c>
      <c r="S5" s="1705" t="s">
        <v>1185</v>
      </c>
      <c r="T5" s="1706" t="s">
        <v>1186</v>
      </c>
      <c r="U5" s="1046" t="s">
        <v>1187</v>
      </c>
      <c r="V5" s="1047" t="s">
        <v>1188</v>
      </c>
      <c r="W5" s="1047" t="s">
        <v>1189</v>
      </c>
      <c r="X5" s="63"/>
      <c r="Y5" s="62" t="s">
        <v>1190</v>
      </c>
      <c r="Z5" s="1707" t="s">
        <v>1187</v>
      </c>
      <c r="AA5" s="1047" t="s">
        <v>1188</v>
      </c>
      <c r="AB5" s="1047" t="s">
        <v>1189</v>
      </c>
      <c r="AC5" s="63"/>
      <c r="AD5" s="63" t="s">
        <v>1190</v>
      </c>
      <c r="AE5" s="1046" t="s">
        <v>1191</v>
      </c>
      <c r="AF5" s="1047" t="s">
        <v>1192</v>
      </c>
      <c r="AG5" s="62" t="s">
        <v>1193</v>
      </c>
      <c r="AH5" s="1046" t="s">
        <v>1194</v>
      </c>
      <c r="AI5" s="1707" t="s">
        <v>1195</v>
      </c>
      <c r="AJ5" s="1707" t="s">
        <v>1196</v>
      </c>
      <c r="AK5" s="1047" t="s">
        <v>1197</v>
      </c>
      <c r="AL5" s="1047" t="s">
        <v>1198</v>
      </c>
      <c r="AM5" s="62" t="s">
        <v>1199</v>
      </c>
      <c r="AN5" s="1708" t="s">
        <v>1200</v>
      </c>
      <c r="AO5" s="1561" t="s">
        <v>1201</v>
      </c>
      <c r="AP5" s="1028" t="s">
        <v>1202</v>
      </c>
      <c r="AQ5" s="1709" t="s">
        <v>1203</v>
      </c>
      <c r="AR5" s="1709"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0" t="str">
        <f>'数据-汇总表'!C19</f>
        <v>工业用房</v>
      </c>
      <c r="B6" s="1711" t="str">
        <f>IF(A6=0,"","经营性")</f>
        <v>经营性</v>
      </c>
      <c r="C6" s="1712" t="s">
        <v>3</v>
      </c>
      <c r="D6" s="858">
        <f>SUMIF(项目基本情况!C$12:I$12,C6,项目基本情况!C$14:I$14)</f>
        <v>50</v>
      </c>
      <c r="E6" s="857">
        <f>IF(B6="","",SUMIF(项目基本情况!C$12:I$12,C6,项目基本情况!C$13:I$13))</f>
        <v>58966</v>
      </c>
      <c r="F6" s="64">
        <f>SUMIF(项目基本情况!C$12:I$12,C6,项目基本情况!C$15:I$15)</f>
        <v>36.840000000000003</v>
      </c>
      <c r="G6" s="65">
        <f>IF(ISERROR(ROUND(POWER(1+H6,D6-F6)*(POWER(1+H6,F6)-1)/(POWER(1+H6,D6)-1),3)),0,ROUND(POWER(1+H6,D6-F6)*(POWER(1+H6,F6)-1)/(POWER(1+H6,D6)-1),3))</f>
        <v>0.91400000000000003</v>
      </c>
      <c r="H6" s="732">
        <v>0.05</v>
      </c>
      <c r="I6" s="732">
        <v>5.5E-2</v>
      </c>
      <c r="J6" s="66">
        <v>0.08</v>
      </c>
      <c r="K6" s="1030">
        <f>SUMIF('数据-汇总表'!C$19:C$33,A6,'数据-汇总表'!E$19:E$33)</f>
        <v>8640.14</v>
      </c>
      <c r="L6" s="733">
        <v>3500</v>
      </c>
      <c r="M6" s="67">
        <f t="shared" ref="M6:M14" si="0">ROUND(K6*L6/10000,0)</f>
        <v>3024</v>
      </c>
      <c r="N6" s="731">
        <v>0.745</v>
      </c>
      <c r="O6" s="67" t="str">
        <f>IF($N$5="成新度","——",ROUND(M6*N6,0))</f>
        <v>——</v>
      </c>
      <c r="P6" s="68" t="str">
        <f>IF($N$5="成新度","——",M6-O6)</f>
        <v>——</v>
      </c>
      <c r="Q6" s="734">
        <v>0.1</v>
      </c>
      <c r="R6" s="69">
        <f ca="1">SUMIF('数据-汇总表'!C$19:C$33,A6,'数据-汇总表'!R$19:R$27)</f>
        <v>15462.6</v>
      </c>
      <c r="S6" s="51">
        <f>IF('数据-汇总表'!$I$17="按面积比例",SUMIF('数据-汇总表'!C$19:C$33,A6,'数据-汇总表'!K$19:K$33),SUMIF('数据-汇总表'!C$19:C$33,A6,'数据-汇总表'!N$19:N$33))</f>
        <v>0</v>
      </c>
      <c r="T6" s="1171">
        <f>ROUND($L$14*S6/10000,0)</f>
        <v>0</v>
      </c>
      <c r="U6" s="3423">
        <v>2.6</v>
      </c>
      <c r="V6" s="70">
        <v>2.5000000000000001E-2</v>
      </c>
      <c r="W6" s="70">
        <v>0.1</v>
      </c>
      <c r="X6" s="1040"/>
      <c r="Y6" s="71">
        <f>N6</f>
        <v>0.745</v>
      </c>
      <c r="Z6" s="72"/>
      <c r="AA6" s="66"/>
      <c r="AB6" s="66"/>
      <c r="AC6" s="1040"/>
      <c r="AD6" s="73"/>
      <c r="AE6" s="1041">
        <f ca="1">IF(AN6="",0,SUMIF(INDIRECT("'"&amp;AN6&amp;"'"&amp;"!E:E"),$AE$5,INDIRECT("'"&amp;AN6&amp;"'"&amp;"!F:F")))</f>
        <v>36.840000000000003</v>
      </c>
      <c r="AF6" s="1347"/>
      <c r="AG6" s="138">
        <f>IF(AF6="",0,AE6-AF6)</f>
        <v>0</v>
      </c>
      <c r="AH6" s="74"/>
      <c r="AI6" s="76">
        <v>365</v>
      </c>
      <c r="AJ6" s="77"/>
      <c r="AK6" s="78">
        <v>5.0000000000000001E-3</v>
      </c>
      <c r="AL6" s="79">
        <v>1E-3</v>
      </c>
      <c r="AM6" s="80">
        <v>5.0000000000000001E-3</v>
      </c>
      <c r="AN6" s="1713" t="s">
        <v>3405</v>
      </c>
      <c r="AO6" s="52">
        <f ca="1">SUMIF(INDIRECT("'"&amp;AN6&amp;"'"&amp;"!A:A"),"总价",INDIRECT("'"&amp;AN6&amp;"'"&amp;"!B:B"))</f>
        <v>12854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8"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8"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8"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8"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8"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8"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8"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8" customFormat="1" ht="14.25">
      <c r="A14" s="1715" t="s">
        <v>1205</v>
      </c>
      <c r="B14" s="1711" t="s">
        <v>1206</v>
      </c>
      <c r="C14" s="1716"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8" customFormat="1" ht="27">
      <c r="A15" s="1715" t="s">
        <v>1207</v>
      </c>
      <c r="B15" s="1711" t="s">
        <v>1206</v>
      </c>
      <c r="C15" s="1716"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8" customFormat="1" ht="15.75" thickBot="1">
      <c r="A16" s="1717" t="s">
        <v>1209</v>
      </c>
      <c r="B16" s="88"/>
      <c r="C16" s="833"/>
      <c r="D16" s="1718"/>
      <c r="E16" s="88"/>
      <c r="F16" s="88"/>
      <c r="G16" s="89">
        <f>ROUND(SUMPRODUCT(G6:G13,K6:K13)/SUMPRODUCT((G6:G13&gt;0)*(K6:K13)),3)</f>
        <v>0.91400000000000003</v>
      </c>
      <c r="H16" s="90">
        <f>ROUND(SUMPRODUCT(H6:H13,K6:K13)/SUMPRODUCT((H6:H13&gt;0)*(K6:K13)),3)</f>
        <v>0.05</v>
      </c>
      <c r="I16" s="91"/>
      <c r="J16" s="91"/>
      <c r="K16" s="92">
        <f>SUM(K6:K15)</f>
        <v>8640.14</v>
      </c>
      <c r="L16" s="93">
        <f>ROUND(M16*10000/SUM(K6:K14),0)</f>
        <v>3500</v>
      </c>
      <c r="M16" s="93">
        <f>SUM(M6:M14)</f>
        <v>3024</v>
      </c>
      <c r="N16" s="94">
        <f>ROUND(SUMPRODUCT(M6:M14,N6:N14)/M16,3)</f>
        <v>0.745</v>
      </c>
      <c r="O16" s="93">
        <f>SUM(O6:O14)</f>
        <v>0</v>
      </c>
      <c r="P16" s="93">
        <f>SUM(P6:P14)</f>
        <v>0</v>
      </c>
      <c r="Q16" s="95">
        <f>ROUND(SUMPRODUCT(Q6:Q13,K6:K13)/SUMPRODUCT((Q6:Q13&gt;0)*(K6:K13)),2)</f>
        <v>0.1</v>
      </c>
      <c r="R16" s="1034">
        <f ca="1">SUM(R6:R13)</f>
        <v>15462.6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4" t="s">
        <v>2303</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1.5</v>
      </c>
      <c r="C20" s="2795" t="s">
        <v>2301</v>
      </c>
      <c r="D20" s="2671"/>
      <c r="E20" s="2668"/>
      <c r="F20" s="2668"/>
      <c r="G20" s="2668"/>
      <c r="H20" s="2668"/>
      <c r="I20" s="2668"/>
      <c r="J20" s="2668"/>
      <c r="K20" s="2667"/>
      <c r="L20" s="2667">
        <v>2002</v>
      </c>
      <c r="M20" s="2666">
        <v>5445.17</v>
      </c>
      <c r="N20" s="2666">
        <f>ROUND(1-(1-0%)*(2024-L20)/60,2)</f>
        <v>0.63</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1.5</v>
      </c>
      <c r="C21" s="2668"/>
      <c r="D21" s="2671"/>
      <c r="E21" s="2668"/>
      <c r="F21" s="2668"/>
      <c r="G21" s="2668"/>
      <c r="H21" s="2668"/>
      <c r="I21" s="2668"/>
      <c r="J21" s="2668"/>
      <c r="K21" s="2667"/>
      <c r="L21" s="2667">
        <v>2004</v>
      </c>
      <c r="M21" s="2666">
        <v>864.13</v>
      </c>
      <c r="N21" s="2666">
        <f t="shared" ref="N21:N22" si="12">ROUND(1-(1-0%)*(2024-L21)/60,2)</f>
        <v>0.67</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1.5</v>
      </c>
      <c r="C22" s="2668"/>
      <c r="D22" s="2671"/>
      <c r="E22" s="2668"/>
      <c r="F22" s="2668"/>
      <c r="G22" s="2668"/>
      <c r="H22" s="2668"/>
      <c r="I22" s="2668"/>
      <c r="J22" s="2668"/>
      <c r="K22" s="2667"/>
      <c r="L22" s="2667">
        <v>2004</v>
      </c>
      <c r="M22" s="2666">
        <v>2330.84</v>
      </c>
      <c r="N22" s="2666">
        <f t="shared" si="12"/>
        <v>0.67</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1.5</v>
      </c>
      <c r="C23" s="2668"/>
      <c r="D23" s="2671"/>
      <c r="E23" s="2668"/>
      <c r="F23" s="2668"/>
      <c r="G23" s="2668"/>
      <c r="H23" s="2668"/>
      <c r="I23" s="2668"/>
      <c r="J23" s="2668"/>
      <c r="K23" s="2667"/>
      <c r="L23" s="2667"/>
      <c r="M23" s="2666">
        <v>8640.14</v>
      </c>
      <c r="N23" s="2666">
        <f>ROUND((M20*N20+M21*N21+M22*N22)/M23,2)</f>
        <v>0.64</v>
      </c>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2667"/>
      <c r="M24" s="2666"/>
      <c r="N24" s="2666">
        <f>85%</f>
        <v>0.85</v>
      </c>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107">
        <v>0</v>
      </c>
      <c r="C27" s="2796" t="s">
        <v>2305</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3453">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ROUND(B28*K16/10000,0)</f>
        <v>173</v>
      </c>
      <c r="C29" s="2797" t="s">
        <v>2294</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798" t="s">
        <v>3383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798" t="s">
        <v>2295</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798"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0.02</v>
      </c>
      <c r="C36" s="2798" t="s">
        <v>3384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5">
        <v>0.01</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3">
        <v>0.01</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2312</v>
      </c>
      <c r="B40" s="1077">
        <f ca="1">IF(A40="利息：取LPR",存贷款利率!G1,存贷款利率!G1+C40)</f>
        <v>3.3500000000000002E-2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9">
        <v>0.05</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20">
        <v>0</v>
      </c>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4">
        <f>SUMIF(A54:A63,B53,B54:B63)</f>
        <v>3</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3454" t="s">
        <v>303</v>
      </c>
      <c r="C53" s="2657"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9" customFormat="1">
      <c r="A134" s="1740"/>
      <c r="D134" s="1741"/>
      <c r="K134" s="24"/>
      <c r="L134" s="24"/>
    </row>
    <row r="135" spans="1:12" s="1679" customFormat="1">
      <c r="A135" s="1740"/>
      <c r="D135" s="1741"/>
      <c r="K135" s="24"/>
      <c r="L135" s="24"/>
    </row>
    <row r="136" spans="1:12" s="1679" customFormat="1">
      <c r="A136" s="1740"/>
      <c r="D136" s="1741"/>
      <c r="K136" s="24"/>
      <c r="L136" s="24"/>
    </row>
    <row r="137" spans="1:12" s="1679" customFormat="1">
      <c r="A137" s="1740"/>
      <c r="D137" s="1741"/>
      <c r="K137" s="24"/>
      <c r="L137" s="24"/>
    </row>
    <row r="138" spans="1:12" s="1679" customFormat="1">
      <c r="A138" s="1740"/>
      <c r="D138" s="1741"/>
      <c r="K138" s="24"/>
      <c r="L138" s="24"/>
    </row>
    <row r="139" spans="1:12" s="1679" customFormat="1">
      <c r="A139" s="1740"/>
      <c r="D139" s="1741"/>
      <c r="K139" s="24"/>
      <c r="L139" s="24"/>
    </row>
    <row r="140" spans="1:12" s="1679" customFormat="1">
      <c r="A140" s="1740"/>
      <c r="D140" s="1741"/>
      <c r="K140" s="24"/>
      <c r="L140" s="24"/>
    </row>
    <row r="141" spans="1:12" s="1679" customFormat="1">
      <c r="A141" s="1740"/>
      <c r="D141" s="1741"/>
      <c r="K141" s="24"/>
      <c r="L141" s="24"/>
    </row>
    <row r="142" spans="1:12" s="1679" customFormat="1">
      <c r="A142" s="1740"/>
      <c r="D142" s="1741"/>
      <c r="K142" s="24"/>
      <c r="L142" s="24"/>
    </row>
    <row r="143" spans="1:12" s="1679" customFormat="1">
      <c r="A143" s="1740"/>
      <c r="D143" s="1741"/>
      <c r="K143" s="24"/>
      <c r="L143" s="24"/>
    </row>
    <row r="144" spans="1:12" s="1679" customFormat="1">
      <c r="A144" s="1740"/>
      <c r="D144" s="1741"/>
      <c r="K144" s="24"/>
      <c r="L144" s="24"/>
    </row>
    <row r="145" spans="1:12" s="1679" customFormat="1">
      <c r="A145" s="1740"/>
      <c r="D145" s="1741"/>
      <c r="K145" s="24"/>
      <c r="L145" s="24"/>
    </row>
    <row r="146" spans="1:12" s="1679" customFormat="1">
      <c r="A146" s="1740"/>
      <c r="D146" s="1741"/>
      <c r="K146" s="24"/>
      <c r="L146" s="24"/>
    </row>
    <row r="147" spans="1:12" s="1679" customFormat="1">
      <c r="A147" s="1740"/>
      <c r="D147" s="1741"/>
      <c r="K147" s="24"/>
      <c r="L147" s="24"/>
    </row>
    <row r="148" spans="1:12" s="1679" customFormat="1">
      <c r="A148" s="1740"/>
      <c r="D148" s="1741"/>
      <c r="K148" s="24"/>
      <c r="L148" s="24"/>
    </row>
    <row r="149" spans="1:12" s="1679" customFormat="1">
      <c r="A149" s="1740"/>
      <c r="D149" s="1741"/>
      <c r="K149" s="24"/>
      <c r="L149" s="24"/>
    </row>
    <row r="150" spans="1:12" s="1679" customFormat="1">
      <c r="A150" s="1740"/>
      <c r="D150" s="1741"/>
      <c r="K150" s="24"/>
      <c r="L150" s="24"/>
    </row>
    <row r="151" spans="1:12" s="1679" customFormat="1">
      <c r="A151" s="1740"/>
      <c r="D151" s="1741"/>
      <c r="K151" s="24"/>
      <c r="L151" s="24"/>
    </row>
    <row r="152" spans="1:12" s="1679" customFormat="1">
      <c r="A152" s="1740"/>
      <c r="D152" s="1741"/>
      <c r="K152" s="24"/>
      <c r="L152" s="24"/>
    </row>
    <row r="153" spans="1:12" s="1679" customFormat="1">
      <c r="A153" s="1740"/>
      <c r="D153" s="1741"/>
      <c r="K153" s="24"/>
      <c r="L153" s="24"/>
    </row>
    <row r="154" spans="1:12" s="1679" customFormat="1">
      <c r="A154" s="1740"/>
      <c r="D154" s="1741"/>
      <c r="K154" s="24"/>
      <c r="L154" s="24"/>
    </row>
    <row r="155" spans="1:12" s="1679" customFormat="1">
      <c r="A155" s="1740"/>
      <c r="D155" s="1741"/>
      <c r="K155" s="24"/>
      <c r="L155" s="24"/>
    </row>
    <row r="156" spans="1:12" s="1679" customFormat="1">
      <c r="A156" s="1740"/>
      <c r="D156" s="1741"/>
      <c r="K156" s="24"/>
      <c r="L156" s="24"/>
    </row>
    <row r="157" spans="1:12" s="1679" customFormat="1">
      <c r="A157" s="1740"/>
      <c r="D157" s="1741"/>
      <c r="K157" s="24"/>
      <c r="L157" s="24"/>
    </row>
    <row r="158" spans="1:12" s="1679" customFormat="1">
      <c r="A158" s="1740"/>
      <c r="D158" s="1741"/>
      <c r="K158" s="24"/>
      <c r="L158" s="24"/>
    </row>
    <row r="159" spans="1:12" s="1679" customFormat="1">
      <c r="A159" s="1740"/>
      <c r="D159" s="1741"/>
      <c r="K159" s="24"/>
      <c r="L159" s="24"/>
    </row>
    <row r="160" spans="1:12" s="1679" customFormat="1">
      <c r="A160" s="1740"/>
      <c r="D160" s="1741"/>
      <c r="K160" s="24"/>
      <c r="L160" s="24"/>
    </row>
    <row r="161" spans="1:12" s="1679" customFormat="1">
      <c r="A161" s="1740"/>
      <c r="D161" s="1741"/>
      <c r="K161" s="24"/>
      <c r="L161" s="24"/>
    </row>
    <row r="162" spans="1:12" s="1679" customFormat="1">
      <c r="A162" s="1740"/>
      <c r="D162" s="1741"/>
      <c r="K162" s="24"/>
      <c r="L162" s="24"/>
    </row>
    <row r="163" spans="1:12" s="1679" customFormat="1">
      <c r="A163" s="1740"/>
      <c r="D163" s="1741"/>
      <c r="K163" s="24"/>
      <c r="L163" s="24"/>
    </row>
    <row r="164" spans="1:12" s="1679" customFormat="1">
      <c r="A164" s="1740"/>
      <c r="D164" s="1741"/>
      <c r="K164" s="24"/>
      <c r="L164" s="24"/>
    </row>
    <row r="165" spans="1:12" s="1679" customFormat="1">
      <c r="A165" s="1740"/>
      <c r="D165" s="1741"/>
      <c r="K165" s="24"/>
      <c r="L165" s="24"/>
    </row>
    <row r="166" spans="1:12" s="1679" customFormat="1">
      <c r="A166" s="1740"/>
      <c r="D166" s="1741"/>
      <c r="K166" s="24"/>
      <c r="L166" s="24"/>
    </row>
    <row r="167" spans="1:12" s="1679" customFormat="1">
      <c r="A167" s="1740"/>
      <c r="D167" s="1741"/>
      <c r="K167" s="24"/>
      <c r="L167" s="24"/>
    </row>
    <row r="168" spans="1:12" s="1679" customFormat="1">
      <c r="A168" s="1740"/>
      <c r="D168" s="1741"/>
      <c r="K168" s="24"/>
      <c r="L168" s="24"/>
    </row>
    <row r="169" spans="1:12" s="1679" customFormat="1">
      <c r="A169" s="1740"/>
      <c r="D169" s="1741"/>
      <c r="K169" s="24"/>
      <c r="L169" s="24"/>
    </row>
    <row r="170" spans="1:12" s="1679" customFormat="1">
      <c r="A170" s="1740"/>
      <c r="D170" s="1741"/>
      <c r="K170" s="24"/>
      <c r="L170" s="24"/>
    </row>
    <row r="171" spans="1:12" s="1679" customFormat="1">
      <c r="A171" s="1740"/>
      <c r="D171" s="1741"/>
      <c r="K171" s="24"/>
      <c r="L171" s="24"/>
    </row>
    <row r="172" spans="1:12" s="1679" customFormat="1">
      <c r="A172" s="1740"/>
      <c r="D172" s="1741"/>
      <c r="K172" s="24"/>
      <c r="L172" s="24"/>
    </row>
    <row r="173" spans="1:12" s="1679" customFormat="1">
      <c r="A173" s="1740"/>
      <c r="D173" s="1741"/>
      <c r="K173" s="24"/>
      <c r="L173" s="24"/>
    </row>
    <row r="174" spans="1:12" s="1679"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4"/>
  </cols>
  <sheetData>
    <row r="1" spans="1:29" s="2454" customFormat="1" ht="18.75" thickBot="1">
      <c r="A1" s="3544" t="s">
        <v>2286</v>
      </c>
      <c r="B1" s="3545"/>
      <c r="C1" s="3545"/>
      <c r="D1" s="3545"/>
      <c r="E1" s="3545"/>
      <c r="F1" s="3545"/>
      <c r="G1" s="354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38"/>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38"/>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8640.14</v>
      </c>
      <c r="C1" s="2681"/>
      <c r="D1" s="2681"/>
      <c r="E1" s="2681"/>
      <c r="F1" s="2681"/>
      <c r="G1" s="2682"/>
      <c r="H1" s="2683"/>
      <c r="I1" s="2683"/>
      <c r="J1" s="2683"/>
      <c r="K1" s="2683"/>
    </row>
    <row r="2" spans="1:11" ht="16.5">
      <c r="A2" s="2509" t="s">
        <v>653</v>
      </c>
      <c r="B2" s="2509">
        <f>SUM(C14:C23)</f>
        <v>15462.6</v>
      </c>
      <c r="C2" s="2681"/>
      <c r="D2" s="2681"/>
      <c r="E2" s="2681"/>
      <c r="F2" s="2681"/>
      <c r="G2" s="2682"/>
      <c r="H2" s="2683"/>
      <c r="I2" s="2683"/>
      <c r="J2" s="2683"/>
      <c r="K2" s="2683"/>
    </row>
    <row r="3" spans="1:11" ht="16.5">
      <c r="A3" s="2509" t="s">
        <v>662</v>
      </c>
      <c r="B3" s="2511">
        <f>项目基本情况!D3</f>
        <v>45516</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11426</v>
      </c>
      <c r="C5" s="2509">
        <f ca="1">IF(B5=D14,结果表!H102,ROUND(B5*10000/$B$1,0))</f>
        <v>13224</v>
      </c>
      <c r="D5" s="2509">
        <f ca="1">ROUND(B5*10000/$B$2,0)</f>
        <v>7389</v>
      </c>
      <c r="E5" s="2681"/>
      <c r="F5" s="2682"/>
      <c r="G5" s="2682"/>
      <c r="H5" s="2683"/>
      <c r="I5" s="2683"/>
      <c r="J5" s="2683"/>
      <c r="K5" s="2683"/>
    </row>
    <row r="6" spans="1:11" ht="16.5">
      <c r="A6" s="2509" t="s">
        <v>656</v>
      </c>
      <c r="B6" s="2509">
        <f ca="1">SUM(G14:G23)</f>
        <v>11426</v>
      </c>
      <c r="C6" s="2509">
        <f ca="1">IF(B6=G14,结果表!H108,ROUND(B6*10000/$B$1,0))</f>
        <v>13224</v>
      </c>
      <c r="D6" s="2509">
        <f ca="1">ROUND(B6*10000/$B$2,0)</f>
        <v>7389</v>
      </c>
      <c r="E6" s="2681"/>
      <c r="F6" s="2682"/>
      <c r="G6" s="2682"/>
      <c r="H6" s="2683"/>
      <c r="I6" s="2683"/>
      <c r="J6" s="2683"/>
      <c r="K6" s="2683"/>
    </row>
    <row r="7" spans="1:11" ht="16.5">
      <c r="A7" s="2509" t="s">
        <v>664</v>
      </c>
      <c r="B7" s="2509">
        <f>SUM(H14:H23)</f>
        <v>0</v>
      </c>
      <c r="C7" s="2509" t="str">
        <f>IF(B7=H14,结果表!H110,ROUND(B7*10000/$B$1,0))</f>
        <v>——</v>
      </c>
      <c r="D7" s="2509">
        <f>ROUND(B7*10000/$B$2,0)</f>
        <v>0</v>
      </c>
      <c r="E7" s="2681"/>
      <c r="F7" s="2682"/>
      <c r="G7" s="2682"/>
      <c r="H7" s="2683"/>
      <c r="I7" s="2683"/>
      <c r="J7" s="2683"/>
      <c r="K7" s="2683"/>
    </row>
    <row r="8" spans="1:11" ht="16.5">
      <c r="A8" s="2509" t="s">
        <v>587</v>
      </c>
      <c r="B8" s="2509">
        <f>SUM(I14:I23)</f>
        <v>0</v>
      </c>
      <c r="C8" s="2509" t="str">
        <f>IF(B8=I14,结果表!H112,ROUND(B8*10000/$B$1,0))</f>
        <v>——</v>
      </c>
      <c r="D8" s="2509">
        <f>ROUND(B8*10000/$B$2,0)</f>
        <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3358</v>
      </c>
      <c r="D10" s="2509" t="s">
        <v>3359</v>
      </c>
      <c r="E10" s="3436"/>
      <c r="F10" s="3440" t="s">
        <v>3360</v>
      </c>
      <c r="G10" s="3437"/>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结果表!B118</f>
        <v>8640.14</v>
      </c>
      <c r="C14" s="2515">
        <f>结果表!C118</f>
        <v>15462.6</v>
      </c>
      <c r="D14" s="2515">
        <f ca="1">结果表!H118</f>
        <v>11426</v>
      </c>
      <c r="E14" s="2515">
        <f ca="1">ROUND(D14*10000/B14,0)</f>
        <v>13224</v>
      </c>
      <c r="F14" s="2515">
        <f ca="1">ROUND(D14*10000/C14,0)</f>
        <v>7389</v>
      </c>
      <c r="G14" s="2515">
        <f ca="1">D14</f>
        <v>11426</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30"/>
      <c r="H15" s="1330"/>
      <c r="I15" s="2516"/>
      <c r="J15" s="2682"/>
      <c r="K15" s="2683"/>
    </row>
    <row r="16" spans="1:11" ht="16.5">
      <c r="A16" s="2514" t="s">
        <v>648</v>
      </c>
      <c r="B16" s="2516"/>
      <c r="C16" s="2516"/>
      <c r="D16" s="2516"/>
      <c r="E16" s="2515" t="e">
        <f t="shared" si="0"/>
        <v>#DIV/0!</v>
      </c>
      <c r="F16" s="2515" t="e">
        <f t="shared" si="1"/>
        <v>#DIV/0!</v>
      </c>
      <c r="G16" s="1330"/>
      <c r="H16" s="1330"/>
      <c r="I16" s="2516"/>
      <c r="J16" s="2683"/>
      <c r="K16" s="2683"/>
    </row>
    <row r="17" spans="1:11" ht="16.5">
      <c r="A17" s="2514" t="s">
        <v>647</v>
      </c>
      <c r="B17" s="2516"/>
      <c r="C17" s="2516"/>
      <c r="D17" s="2516"/>
      <c r="E17" s="2515" t="e">
        <f t="shared" si="0"/>
        <v>#DIV/0!</v>
      </c>
      <c r="F17" s="2515" t="e">
        <f t="shared" si="1"/>
        <v>#DIV/0!</v>
      </c>
      <c r="G17" s="1330"/>
      <c r="H17" s="1330"/>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130" zoomScaleNormal="100" zoomScaleSheetLayoutView="130" zoomScalePageLayoutView="80" workbookViewId="0">
      <selection activeCell="G36" sqref="G36"/>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5" t="s">
        <v>1262</v>
      </c>
      <c r="B1" s="1744"/>
      <c r="C1" s="1745" t="s">
        <v>3401</v>
      </c>
      <c r="D1" s="1744"/>
      <c r="E1" s="1744"/>
      <c r="F1" s="1746" t="s">
        <v>1263</v>
      </c>
      <c r="G1" s="1560" t="s">
        <v>3409</v>
      </c>
      <c r="H1" s="1747" t="str">
        <f>IF(G1="现房","——","估价对象范围")</f>
        <v>——</v>
      </c>
      <c r="I1" s="1748"/>
    </row>
    <row r="2" spans="1:12" ht="21.75" customHeight="1" thickBot="1">
      <c r="A2" s="3613" t="str">
        <f>项目基本情况!S2</f>
        <v>北京市东环北路1号房地产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1" t="s">
        <v>1265</v>
      </c>
      <c r="B4" s="1752" t="s">
        <v>1266</v>
      </c>
      <c r="C4" s="1753" t="s">
        <v>3410</v>
      </c>
      <c r="D4" s="1753" t="s">
        <v>3405</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4"/>
      <c r="G5" s="1754"/>
      <c r="H5" s="1754"/>
      <c r="I5" s="1372"/>
    </row>
    <row r="6" spans="1:12" ht="12.75">
      <c r="A6" s="3561"/>
      <c r="B6" s="3616"/>
      <c r="C6" s="3621"/>
      <c r="D6" s="3607"/>
      <c r="E6" s="131" t="s">
        <v>1270</v>
      </c>
      <c r="F6" s="1754"/>
      <c r="G6" s="1754"/>
      <c r="H6" s="1754"/>
      <c r="I6" s="1372"/>
    </row>
    <row r="7" spans="1:12" ht="12.75">
      <c r="A7" s="3561"/>
      <c r="B7" s="3616"/>
      <c r="C7" s="3620"/>
      <c r="D7" s="3607"/>
      <c r="E7" s="131" t="s">
        <v>1271</v>
      </c>
      <c r="F7" s="1754"/>
      <c r="G7" s="1754"/>
      <c r="H7" s="1754"/>
      <c r="I7" s="1372"/>
    </row>
    <row r="8" spans="1:12" ht="12.75">
      <c r="A8" s="3561" t="s">
        <v>1272</v>
      </c>
      <c r="B8" s="3616">
        <v>15</v>
      </c>
      <c r="C8" s="3619"/>
      <c r="D8" s="3607"/>
      <c r="E8" s="131" t="s">
        <v>1273</v>
      </c>
      <c r="F8" s="1754"/>
      <c r="G8" s="1754"/>
      <c r="H8" s="1754"/>
      <c r="I8" s="1372"/>
    </row>
    <row r="9" spans="1:12" ht="12.75">
      <c r="A9" s="3561"/>
      <c r="B9" s="3616"/>
      <c r="C9" s="3620"/>
      <c r="D9" s="3607"/>
      <c r="E9" s="131" t="s">
        <v>1274</v>
      </c>
      <c r="F9" s="1754"/>
      <c r="G9" s="1754"/>
      <c r="H9" s="1754"/>
      <c r="I9" s="1372"/>
    </row>
    <row r="10" spans="1:12" ht="12.75">
      <c r="A10" s="3561" t="s">
        <v>1275</v>
      </c>
      <c r="B10" s="3616">
        <v>15</v>
      </c>
      <c r="C10" s="3619"/>
      <c r="D10" s="3607"/>
      <c r="E10" s="131" t="s">
        <v>1276</v>
      </c>
      <c r="F10" s="1754"/>
      <c r="G10" s="1754"/>
      <c r="H10" s="1754"/>
      <c r="I10" s="1372"/>
    </row>
    <row r="11" spans="1:12" ht="12.75">
      <c r="A11" s="3561"/>
      <c r="B11" s="3616"/>
      <c r="C11" s="3620"/>
      <c r="D11" s="3607"/>
      <c r="E11" s="131" t="s">
        <v>1277</v>
      </c>
      <c r="F11" s="1754"/>
      <c r="G11" s="1754"/>
      <c r="H11" s="1754"/>
      <c r="I11" s="1372"/>
    </row>
    <row r="12" spans="1:12" ht="12.75">
      <c r="A12" s="3561" t="s">
        <v>1278</v>
      </c>
      <c r="B12" s="3616">
        <v>15</v>
      </c>
      <c r="C12" s="3619"/>
      <c r="D12" s="3607"/>
      <c r="E12" s="131" t="s">
        <v>1279</v>
      </c>
      <c r="F12" s="1754"/>
      <c r="G12" s="1754"/>
      <c r="H12" s="1754"/>
      <c r="I12" s="1372"/>
    </row>
    <row r="13" spans="1:12" ht="12.75">
      <c r="A13" s="3561"/>
      <c r="B13" s="3616"/>
      <c r="C13" s="3620"/>
      <c r="D13" s="3607"/>
      <c r="E13" s="131" t="s">
        <v>1280</v>
      </c>
      <c r="F13" s="1754"/>
      <c r="G13" s="1754"/>
      <c r="H13" s="1754"/>
      <c r="I13" s="1372"/>
    </row>
    <row r="14" spans="1:12" ht="12.75">
      <c r="A14" s="3561" t="s">
        <v>1281</v>
      </c>
      <c r="B14" s="3616">
        <v>30</v>
      </c>
      <c r="C14" s="3619">
        <v>3</v>
      </c>
      <c r="D14" s="3607">
        <v>7</v>
      </c>
      <c r="E14" s="131" t="s">
        <v>1282</v>
      </c>
      <c r="F14" s="1754"/>
      <c r="G14" s="1754"/>
      <c r="H14" s="1754"/>
      <c r="I14" s="1372"/>
    </row>
    <row r="15" spans="1:12" ht="12.75">
      <c r="A15" s="3561"/>
      <c r="B15" s="3616"/>
      <c r="C15" s="3621"/>
      <c r="D15" s="3607"/>
      <c r="E15" s="131" t="s">
        <v>1283</v>
      </c>
      <c r="F15" s="1754"/>
      <c r="G15" s="1754"/>
      <c r="H15" s="1754"/>
      <c r="I15" s="1372"/>
    </row>
    <row r="16" spans="1:12" ht="12.75">
      <c r="A16" s="3561"/>
      <c r="B16" s="3616"/>
      <c r="C16" s="3620"/>
      <c r="D16" s="3607"/>
      <c r="E16" s="131" t="s">
        <v>1284</v>
      </c>
      <c r="F16" s="1754"/>
      <c r="G16" s="1754"/>
      <c r="H16" s="1754"/>
      <c r="I16" s="1372"/>
    </row>
    <row r="17" spans="1:36" ht="15">
      <c r="A17" s="1755" t="s">
        <v>1285</v>
      </c>
      <c r="B17" s="56"/>
      <c r="C17" s="132">
        <f>SUM(C5:C16)</f>
        <v>3</v>
      </c>
      <c r="D17" s="132">
        <f>SUM(D5:D16)</f>
        <v>7</v>
      </c>
      <c r="E17" s="129"/>
      <c r="F17" s="129"/>
      <c r="G17" s="129"/>
      <c r="H17" s="129"/>
      <c r="I17" s="129"/>
      <c r="K17" s="302"/>
      <c r="L17" s="302" t="s">
        <v>1286</v>
      </c>
      <c r="M17" s="302" t="s">
        <v>1287</v>
      </c>
    </row>
    <row r="18" spans="1:36" ht="31.9" customHeight="1" thickBot="1">
      <c r="A18" s="1756" t="s">
        <v>1288</v>
      </c>
      <c r="B18" s="1757"/>
      <c r="C18" s="133">
        <f>ROUND(C17/SUM(C17:D17),2)</f>
        <v>0.3</v>
      </c>
      <c r="D18" s="133">
        <f>1-C18</f>
        <v>0.7</v>
      </c>
      <c r="E18" s="3638" t="s">
        <v>2131</v>
      </c>
      <c r="F18" s="3639"/>
      <c r="G18" s="3639"/>
      <c r="H18" s="3639"/>
      <c r="I18" s="3639"/>
      <c r="K18" s="302" t="s">
        <v>1289</v>
      </c>
      <c r="L18" s="302">
        <f>IF(C1="",'数据-汇总表'!E3,SUMIF(项目类型,C1,'数据-汇总表'!E17:E26)+SUMIF(项目类型,C1,'数据-汇总表'!I17:I26))</f>
        <v>8640.14</v>
      </c>
      <c r="M18" s="302">
        <f>IF(C1="",'数据-汇总表'!E3,SUMIF(项目类型,C1,'数据-汇总表'!E17:E26))</f>
        <v>8640.14</v>
      </c>
    </row>
    <row r="19" spans="1:36" ht="15">
      <c r="A19" s="1758" t="s">
        <v>1290</v>
      </c>
      <c r="B19" s="1759" t="s">
        <v>1291</v>
      </c>
      <c r="C19" s="134">
        <f ca="1">SUMIF(INDIRECT("'"&amp;C4&amp;"'"&amp;"!A:A"),结果表!B19,INDIRECT("'"&amp;C4&amp;"'"&amp;"!B:B"))</f>
        <v>8093</v>
      </c>
      <c r="D19" s="135">
        <f ca="1">SUMIF(INDIRECT("'"&amp;D4&amp;"'"&amp;"!A:A"),结果表!B19,INDIRECT("'"&amp;D4&amp;"'"&amp;"!B:B"))</f>
        <v>12854</v>
      </c>
      <c r="E19" s="1758" t="s">
        <v>1292</v>
      </c>
      <c r="F19" s="1759" t="s">
        <v>1291</v>
      </c>
      <c r="G19" s="136">
        <f ca="1">ROUND(C19*$C$18+D19*$D$18,0)</f>
        <v>11426</v>
      </c>
      <c r="H19" s="1760" t="s">
        <v>1293</v>
      </c>
      <c r="I19" s="129"/>
      <c r="K19" s="302" t="s">
        <v>1294</v>
      </c>
      <c r="L19" s="302">
        <f>IF(C1="",'数据-汇总表'!D3,SUMIF(项目类型,C1,'数据-汇总表'!D17:D26)+SUMIF(项目类型,C1,'数据-汇总表'!H17:H27))</f>
        <v>15462.6</v>
      </c>
      <c r="M19" s="302">
        <f>IF(C1="",'数据-汇总表'!D3,SUMIF(项目类型,C1,'数据-汇总表'!D17:D26))</f>
        <v>15462.6</v>
      </c>
    </row>
    <row r="20" spans="1:36" ht="15">
      <c r="A20" s="1761"/>
      <c r="B20" s="1026" t="s">
        <v>1295</v>
      </c>
      <c r="C20" s="137">
        <f ca="1">SUMIF(INDIRECT("'"&amp;C4&amp;"'"&amp;"!A:A"),结果表!B20,INDIRECT("'"&amp;C4&amp;"'"&amp;"!B:B"))</f>
        <v>9367</v>
      </c>
      <c r="D20" s="138">
        <f ca="1">SUMIF(INDIRECT("'"&amp;D4&amp;"'"&amp;"!A:A"),结果表!B20,INDIRECT("'"&amp;D4&amp;"'"&amp;"!B:B"))</f>
        <v>14877</v>
      </c>
      <c r="E20" s="1761"/>
      <c r="F20" s="1026" t="s">
        <v>1295</v>
      </c>
      <c r="G20" s="139">
        <f ca="1">ROUND(C20*$C$18+D20*$D$18,0)</f>
        <v>13224</v>
      </c>
      <c r="H20" s="808" t="s">
        <v>1296</v>
      </c>
      <c r="I20" s="129"/>
    </row>
    <row r="21" spans="1:36" ht="15" customHeight="1" thickBot="1">
      <c r="A21" s="828"/>
      <c r="B21" s="1762" t="s">
        <v>1297</v>
      </c>
      <c r="C21" s="719">
        <f ca="1">ROUND(C19*10000/L19,0)</f>
        <v>5234</v>
      </c>
      <c r="D21" s="720">
        <f ca="1">ROUND(D19*10000/L19,0)</f>
        <v>8313</v>
      </c>
      <c r="E21" s="828"/>
      <c r="F21" s="1762" t="s">
        <v>1297</v>
      </c>
      <c r="G21" s="140">
        <f ca="1">ROUND(G19*10000/L19,0)</f>
        <v>7389</v>
      </c>
      <c r="H21" s="1763" t="s">
        <v>1296</v>
      </c>
      <c r="I21" s="129"/>
    </row>
    <row r="22" spans="1:36" ht="15" thickBot="1">
      <c r="A22" s="1686" t="s">
        <v>1298</v>
      </c>
      <c r="B22" s="1764"/>
      <c r="C22" s="1765"/>
      <c r="D22" s="721">
        <f ca="1">IF(C19&lt;D19,D19/C19-1,C19/D19-1)</f>
        <v>0.58828617323612997</v>
      </c>
      <c r="E22" s="129"/>
      <c r="F22" s="129"/>
      <c r="G22" s="129"/>
      <c r="H22" s="129"/>
      <c r="I22" s="129"/>
    </row>
    <row r="23" spans="1:36" ht="13.5" thickBot="1">
      <c r="A23" s="1744"/>
      <c r="B23" s="1744"/>
      <c r="C23" s="1744"/>
      <c r="D23" s="1744"/>
      <c r="E23" s="129"/>
      <c r="F23" s="129"/>
      <c r="G23" s="129"/>
      <c r="H23" s="129"/>
      <c r="I23" s="129"/>
    </row>
    <row r="24" spans="1:36" ht="14.25">
      <c r="A24" s="3631" t="s">
        <v>1299</v>
      </c>
      <c r="B24" s="1759" t="s">
        <v>1291</v>
      </c>
      <c r="C24" s="136">
        <f>IF(B30=0,0,D30)</f>
        <v>0</v>
      </c>
      <c r="D24" s="1766"/>
      <c r="E24" s="129"/>
      <c r="F24" s="129"/>
      <c r="G24" s="129"/>
      <c r="H24" s="129"/>
      <c r="I24" s="129"/>
    </row>
    <row r="25" spans="1:36" ht="14.25">
      <c r="A25" s="3632"/>
      <c r="B25" s="1026"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11426</v>
      </c>
      <c r="D32" s="1772" t="s">
        <v>3416</v>
      </c>
      <c r="E32" s="129"/>
      <c r="F32" s="129"/>
      <c r="G32" s="129"/>
      <c r="H32" s="129"/>
      <c r="I32" s="129"/>
    </row>
    <row r="33" spans="1:15" ht="15">
      <c r="A33" s="786" t="s">
        <v>1306</v>
      </c>
      <c r="B33" s="1773"/>
      <c r="C33" s="1774" t="s">
        <v>3417</v>
      </c>
      <c r="D33" s="1775" t="s">
        <v>3410</v>
      </c>
      <c r="E33" s="1776" t="s">
        <v>1307</v>
      </c>
      <c r="F33" s="1777" t="str">
        <f>IF(D32="楼面单价","取值（单价）","取值（总价）")</f>
        <v>取值（总价）</v>
      </c>
      <c r="G33" s="129"/>
      <c r="H33" s="129"/>
      <c r="I33" s="129"/>
    </row>
    <row r="34" spans="1:15" ht="15">
      <c r="A34" s="1778"/>
      <c r="B34" s="1779" t="s">
        <v>1308</v>
      </c>
      <c r="C34" s="148">
        <f ca="1">IF(C33="自定义",F34,C32-C35)</f>
        <v>7153</v>
      </c>
      <c r="D34" s="861">
        <f ca="1">IF(C33="自定义",ROUND(C34/C32,3),IF(C33="收益比率",SUMIF(INDIRECT("'"&amp;D33&amp;"'"&amp;"!b:b"),"土地收益比率",INDIRECT("'"&amp;D33&amp;"'"&amp;"!c:c")),SUMIF(INDIRECT("'"&amp;D33&amp;"'"&amp;"!b:b"),"土地成本比率",INDIRECT("'"&amp;D33&amp;"'"&amp;"!c:c"))))</f>
        <v>0.626</v>
      </c>
      <c r="E34" s="1780" t="s">
        <v>1309</v>
      </c>
      <c r="F34" s="1329"/>
      <c r="G34" s="129"/>
      <c r="H34" s="129"/>
      <c r="I34" s="129"/>
    </row>
    <row r="35" spans="1:15" ht="15.75" thickBot="1">
      <c r="A35" s="1781"/>
      <c r="B35" s="1782" t="s">
        <v>1310</v>
      </c>
      <c r="C35" s="1169">
        <f ca="1">IF(C33="自定义",F35,ROUND(C32*D35,0))</f>
        <v>4273</v>
      </c>
      <c r="D35" s="1170">
        <f ca="1">IF(C33="自定义",ROUND(C35/C32,3),IF(C33="收益比率",SUMIF(INDIRECT("'"&amp;D33&amp;"'"&amp;"!b:b"),"建筑物收益比率",INDIRECT("'"&amp;D33&amp;"'"&amp;"!c:c")),SUMIF(INDIRECT("'"&amp;D33&amp;"'"&amp;"!b:b"),"建筑物成本比率",INDIRECT("'"&amp;D33&amp;"'"&amp;"!c:c"))))</f>
        <v>0.374</v>
      </c>
      <c r="E35" s="1783" t="s">
        <v>1311</v>
      </c>
      <c r="F35" s="154"/>
      <c r="G35" s="129"/>
      <c r="H35" s="129"/>
      <c r="I35" s="129"/>
    </row>
    <row r="36" spans="1:15" ht="15.75" thickBot="1">
      <c r="A36" s="3608" t="s">
        <v>1312</v>
      </c>
      <c r="B36" s="1784" t="s">
        <v>1313</v>
      </c>
      <c r="C36" s="145"/>
      <c r="D36" s="1785"/>
      <c r="E36" s="1786"/>
      <c r="F36" s="1787"/>
      <c r="G36" s="129"/>
      <c r="H36" s="129"/>
      <c r="I36" s="129"/>
    </row>
    <row r="37" spans="1:15" ht="15.75" thickBot="1">
      <c r="A37" s="3609"/>
      <c r="B37" s="1672" t="s">
        <v>1314</v>
      </c>
      <c r="C37" s="147"/>
      <c r="D37" s="1138"/>
      <c r="E37" s="1138"/>
      <c r="F37" s="1787"/>
      <c r="G37" s="129"/>
      <c r="H37" s="129"/>
      <c r="I37" s="129"/>
    </row>
    <row r="38" spans="1:15" ht="15.75" thickBot="1">
      <c r="A38" s="3610"/>
      <c r="B38" s="1788" t="s">
        <v>1315</v>
      </c>
      <c r="C38" s="674"/>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6"/>
      <c r="B43" s="1576"/>
      <c r="C43" s="1576"/>
      <c r="D43" s="1576"/>
      <c r="E43" s="1576"/>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8" t="s">
        <v>1326</v>
      </c>
      <c r="B45" s="3629"/>
      <c r="C45" s="3630"/>
      <c r="D45" s="155">
        <f ca="1">ROUND(H101*F45,0)</f>
        <v>11426</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3"/>
      <c r="I46" s="159"/>
      <c r="J46" s="2520">
        <v>1</v>
      </c>
      <c r="K46" s="3549" t="s">
        <v>1331</v>
      </c>
      <c r="L46" s="3549"/>
      <c r="M46" s="3550"/>
      <c r="N46" s="3550"/>
      <c r="O46" s="3550"/>
    </row>
    <row r="47" spans="1:15" ht="12" customHeight="1">
      <c r="A47" s="160" t="s">
        <v>1332</v>
      </c>
      <c r="B47" s="161"/>
      <c r="C47" s="162"/>
      <c r="D47" s="1086" t="s">
        <v>1333</v>
      </c>
      <c r="E47" s="302" t="s">
        <v>1334</v>
      </c>
      <c r="F47" s="163" t="s">
        <v>1335</v>
      </c>
      <c r="G47" s="2543" t="s">
        <v>1336</v>
      </c>
      <c r="H47" s="2544"/>
      <c r="I47" s="159"/>
      <c r="J47" s="2520">
        <v>2</v>
      </c>
      <c r="K47" s="3549" t="s">
        <v>1337</v>
      </c>
      <c r="L47" s="3549"/>
      <c r="M47" s="3551">
        <f>'数据-取费表'!B2</f>
        <v>45516</v>
      </c>
      <c r="N47" s="3551"/>
      <c r="O47" s="3551"/>
    </row>
    <row r="48" spans="1:15" ht="25.5">
      <c r="A48" s="3611" t="s">
        <v>1338</v>
      </c>
      <c r="B48" s="3612"/>
      <c r="C48" s="3612"/>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3"/>
      <c r="J48" s="2520">
        <v>3</v>
      </c>
      <c r="K48" s="3549" t="s">
        <v>1340</v>
      </c>
      <c r="L48" s="3549"/>
      <c r="M48" s="3552">
        <f ca="1">H101</f>
        <v>11426</v>
      </c>
      <c r="N48" s="3552"/>
      <c r="O48" s="3552"/>
    </row>
    <row r="49" spans="1:35" ht="25.5" customHeight="1">
      <c r="A49" s="2330" t="s">
        <v>1341</v>
      </c>
      <c r="B49" s="3597" t="s">
        <v>1342</v>
      </c>
      <c r="C49" s="3597"/>
      <c r="D49" s="1589">
        <v>0</v>
      </c>
      <c r="E49" s="324" t="s">
        <v>1343</v>
      </c>
      <c r="F49" s="2421" t="s">
        <v>28</v>
      </c>
      <c r="G49" s="3580"/>
      <c r="H49" s="2307" t="s">
        <v>2134</v>
      </c>
      <c r="I49" s="2308"/>
      <c r="J49" s="2520">
        <v>4</v>
      </c>
      <c r="K49" s="3549" t="str">
        <f>IF(项目基本情况!E8="房地产抵押价值","房地产抵押价值","抵押担保权已注销时的房地产抵押价值")</f>
        <v>抵押担保权已注销时的房地产抵押价值</v>
      </c>
      <c r="L49" s="3549"/>
      <c r="M49" s="3552" t="str">
        <f>IF(项目基本情况!E8="房地产抵押价值",H107,H109)</f>
        <v>——</v>
      </c>
      <c r="N49" s="3552"/>
      <c r="O49" s="3552"/>
    </row>
    <row r="50" spans="1:35" ht="25.5" customHeight="1">
      <c r="A50" s="2548"/>
      <c r="B50" s="3597" t="s">
        <v>1344</v>
      </c>
      <c r="C50" s="3597"/>
      <c r="D50" s="2549"/>
      <c r="E50" s="332"/>
      <c r="F50" s="2421"/>
      <c r="G50" s="3581"/>
      <c r="H50" s="2309" t="s">
        <v>2135</v>
      </c>
      <c r="I50" s="2308"/>
      <c r="J50" s="3548" t="s">
        <v>1345</v>
      </c>
      <c r="K50" s="3548"/>
      <c r="L50" s="3548"/>
      <c r="M50" s="3548"/>
      <c r="N50" s="3548"/>
      <c r="O50" s="3548"/>
    </row>
    <row r="51" spans="1:35" ht="20.45" customHeight="1">
      <c r="A51" s="2550"/>
      <c r="B51" s="3597" t="s">
        <v>1346</v>
      </c>
      <c r="C51" s="3597"/>
      <c r="D51" s="1086"/>
      <c r="E51" s="327"/>
      <c r="F51" s="2421"/>
      <c r="G51" s="3582"/>
      <c r="H51" s="2309" t="s">
        <v>2136</v>
      </c>
      <c r="I51" s="2308"/>
      <c r="J51" s="2521" t="s">
        <v>1347</v>
      </c>
      <c r="K51" s="3549" t="s">
        <v>1348</v>
      </c>
      <c r="L51" s="3549"/>
      <c r="M51" s="2521" t="s">
        <v>1349</v>
      </c>
      <c r="N51" s="2521" t="s">
        <v>1350</v>
      </c>
      <c r="O51" s="2521" t="s">
        <v>1351</v>
      </c>
    </row>
    <row r="52" spans="1:35" ht="24" customHeight="1">
      <c r="A52" s="2332" t="s">
        <v>1352</v>
      </c>
      <c r="B52" s="3597" t="s">
        <v>1353</v>
      </c>
      <c r="C52" s="3597"/>
      <c r="D52" s="1086">
        <f ca="1">ROUND(D45*'数据-取费表'!B41/(1+'数据-取费表'!C42),0)</f>
        <v>599</v>
      </c>
      <c r="E52" s="2331" t="s">
        <v>1354</v>
      </c>
      <c r="F52" s="2551">
        <f>'数据-取费表'!B41</f>
        <v>5.5000000000000007E-2</v>
      </c>
      <c r="G52" s="2552"/>
      <c r="H52" s="2541"/>
      <c r="I52" s="1804"/>
      <c r="J52" s="2520">
        <v>1</v>
      </c>
      <c r="K52" s="3574" t="s">
        <v>1355</v>
      </c>
      <c r="L52" s="3574"/>
      <c r="M52" s="2522" t="b">
        <f>D48</f>
        <v>0</v>
      </c>
      <c r="N52" s="2520" t="str">
        <f>E48</f>
        <v>销售额×税（费）率</v>
      </c>
      <c r="O52" s="2523">
        <f>F48</f>
        <v>5.5000000000000007E-2</v>
      </c>
    </row>
    <row r="53" spans="1:35" ht="12" customHeight="1">
      <c r="A53" s="2332" t="s">
        <v>1356</v>
      </c>
      <c r="B53" s="3598" t="s">
        <v>2291</v>
      </c>
      <c r="C53" s="3599"/>
      <c r="D53" s="1086">
        <f ca="1">ROUND(D45*'数据-取费表'!B41/(1+'数据-取费表'!C42),0)</f>
        <v>599</v>
      </c>
      <c r="E53" s="2331" t="s">
        <v>1354</v>
      </c>
      <c r="F53" s="2551">
        <f>'数据-取费表'!B41</f>
        <v>5.5000000000000007E-2</v>
      </c>
      <c r="G53" s="2552"/>
      <c r="H53" s="2541"/>
      <c r="I53" s="1804"/>
      <c r="J53" s="2520">
        <v>2</v>
      </c>
      <c r="K53" s="3574" t="s">
        <v>1357</v>
      </c>
      <c r="L53" s="3574"/>
      <c r="M53" s="2522">
        <f t="shared" ref="M53:O54" ca="1" si="0">D55</f>
        <v>6</v>
      </c>
      <c r="N53" s="2520" t="str">
        <f t="shared" si="0"/>
        <v>销售额×税（费）率</v>
      </c>
      <c r="O53" s="2523" t="str">
        <f t="shared" si="0"/>
        <v>免征</v>
      </c>
    </row>
    <row r="54" spans="1:35" ht="12" customHeight="1">
      <c r="A54" s="2332" t="s">
        <v>1358</v>
      </c>
      <c r="B54" s="3598" t="s">
        <v>2292</v>
      </c>
      <c r="C54" s="3599"/>
      <c r="D54" s="1086">
        <f ca="1">C68</f>
        <v>599</v>
      </c>
      <c r="E54" s="327" t="s">
        <v>1359</v>
      </c>
      <c r="F54" s="2551">
        <f>'数据-取费表'!B41</f>
        <v>5.5000000000000007E-2</v>
      </c>
      <c r="G54" s="2552"/>
      <c r="H54" s="2553"/>
      <c r="I54" s="1804"/>
      <c r="J54" s="2520">
        <v>3</v>
      </c>
      <c r="K54" s="3574" t="s">
        <v>1360</v>
      </c>
      <c r="L54" s="3574"/>
      <c r="M54" s="2522">
        <f t="shared" ca="1" si="0"/>
        <v>6478</v>
      </c>
      <c r="N54" s="2520" t="str">
        <f t="shared" si="0"/>
        <v>增值额×税（费）率</v>
      </c>
      <c r="O54" s="2524" t="str">
        <f t="shared" si="0"/>
        <v>免征</v>
      </c>
    </row>
    <row r="55" spans="1:35" ht="24" customHeight="1">
      <c r="A55" s="3634" t="s">
        <v>1361</v>
      </c>
      <c r="B55" s="3612"/>
      <c r="C55" s="3612"/>
      <c r="D55" s="2321">
        <f ca="1">IF(H55="个人住宅",0,ROUND(D45*I55,0))</f>
        <v>6</v>
      </c>
      <c r="E55" s="2331" t="s">
        <v>1362</v>
      </c>
      <c r="F55" s="2551" t="str">
        <f>IF(H55="正常",I55,"免征")</f>
        <v>免征</v>
      </c>
      <c r="G55" s="2552"/>
      <c r="H55" s="2547"/>
      <c r="I55" s="165">
        <f>'数据-取费表'!B49</f>
        <v>5.0000000000000001E-4</v>
      </c>
      <c r="J55" s="2520">
        <f>IF(H59="非个人房产","",4)</f>
        <v>4</v>
      </c>
      <c r="K55" s="3574" t="str">
        <f>IF(H59="非个人房产","——","个人所得税")</f>
        <v>个人所得税</v>
      </c>
      <c r="L55" s="3574"/>
      <c r="M55" s="2525">
        <f ca="1">D59</f>
        <v>109</v>
      </c>
      <c r="N55" s="2037" t="str">
        <f>E59</f>
        <v>差额计税</v>
      </c>
      <c r="O55" s="2526">
        <f>F59</f>
        <v>0.01</v>
      </c>
    </row>
    <row r="56" spans="1:35" ht="24.75">
      <c r="A56" s="3634" t="s">
        <v>1363</v>
      </c>
      <c r="B56" s="3612"/>
      <c r="C56" s="3612"/>
      <c r="D56" s="2321">
        <f ca="1">IF(H56="个人住宅",D57,D58)</f>
        <v>6478</v>
      </c>
      <c r="E56" s="2331" t="s">
        <v>1364</v>
      </c>
      <c r="F56" s="2551" t="str">
        <f>IF(H56="正常",F58,"免征")</f>
        <v>免征</v>
      </c>
      <c r="G56" s="2554" t="s">
        <v>1365</v>
      </c>
      <c r="H56" s="2555"/>
      <c r="I56" s="1805"/>
      <c r="J56" s="2520" t="str">
        <f>IF(项目基本情况!K6="上海银行",IF(J55="",4,J55+1),"")</f>
        <v/>
      </c>
      <c r="K56" s="3555" t="str">
        <f>IF(项目基本情况!K6="上海银行","其他处置费用","")</f>
        <v/>
      </c>
      <c r="L56" s="3556"/>
      <c r="M56" s="2522" t="str">
        <f>IF(项目基本情况!K6="上海银行",M69,"")</f>
        <v/>
      </c>
      <c r="N56" s="3555" t="str">
        <f>IF(项目基本情况!K6="上海银行","包含处置中涉及的律师、诉讼、拍卖、评估等费用","")</f>
        <v/>
      </c>
      <c r="O56" s="3558"/>
    </row>
    <row r="57" spans="1:35" ht="12.75">
      <c r="A57" s="2332" t="s">
        <v>1341</v>
      </c>
      <c r="B57" s="3598" t="s">
        <v>1366</v>
      </c>
      <c r="C57" s="3599"/>
      <c r="D57" s="1589">
        <v>0</v>
      </c>
      <c r="E57" s="324" t="s">
        <v>1343</v>
      </c>
      <c r="F57" s="302"/>
      <c r="G57" s="2552"/>
      <c r="H57" s="2556"/>
      <c r="I57" s="1805"/>
      <c r="J57" s="3574">
        <f>IF(AND(J55="",J56=""),4,IF(项目基本情况!K6="上海银行",结果表!J56+1,结果表!J55+1))</f>
        <v>5</v>
      </c>
      <c r="K57" s="3574" t="s">
        <v>1367</v>
      </c>
      <c r="L57" s="2527" t="s">
        <v>1368</v>
      </c>
      <c r="M57" s="2528"/>
      <c r="N57" s="2529">
        <f ca="1">SUMIF(M52:M56,"&lt;9e307")</f>
        <v>6593</v>
      </c>
      <c r="O57" s="2530"/>
      <c r="P57" s="2685" t="e">
        <f ca="1">N57/M49</f>
        <v>#VALUE!</v>
      </c>
    </row>
    <row r="58" spans="1:35" ht="24.75">
      <c r="A58" s="2332" t="s">
        <v>1352</v>
      </c>
      <c r="B58" s="3598" t="s">
        <v>1369</v>
      </c>
      <c r="C58" s="3597"/>
      <c r="D58" s="2321">
        <f ca="1">IF(H58="转让取得",C81,C97)</f>
        <v>6478</v>
      </c>
      <c r="E58" s="2331" t="s">
        <v>1364</v>
      </c>
      <c r="F58" s="302" t="s">
        <v>28</v>
      </c>
      <c r="G58" s="2552"/>
      <c r="H58" s="2555"/>
      <c r="I58" s="1805"/>
      <c r="J58" s="3574"/>
      <c r="K58" s="3574"/>
      <c r="L58" s="2527" t="s">
        <v>1370</v>
      </c>
      <c r="M58" s="2531"/>
      <c r="N58" s="2532" t="str">
        <f ca="1">NUMBERSTRING(INT(N57*10000),2)&amp;"元整"</f>
        <v>陆仟伍佰玖拾叁万元整</v>
      </c>
      <c r="O58" s="2533"/>
    </row>
    <row r="59" spans="1:35" ht="24.75" thickBot="1">
      <c r="A59" s="3578" t="s">
        <v>1371</v>
      </c>
      <c r="B59" s="3579"/>
      <c r="C59" s="3579"/>
      <c r="D59" s="2557">
        <f ca="1">IF(H59="非个人房产","——",IF(H59="个人住宅（满五唯一有凭证）",0,IF(H59="个人其他（无凭证）",ROUND(D45*F59,0),ROUND(C67*F59,0))))</f>
        <v>109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576">
        <f>J57+1</f>
        <v>6</v>
      </c>
      <c r="K59" s="3574" t="s">
        <v>1372</v>
      </c>
      <c r="L59" s="2520" t="s">
        <v>1368</v>
      </c>
      <c r="M59" s="2534"/>
      <c r="N59" s="2535" t="e">
        <f ca="1">M49-N57</f>
        <v>#VALUE!</v>
      </c>
      <c r="O59" s="2536"/>
    </row>
    <row r="60" spans="1:35" ht="12" customHeight="1">
      <c r="A60" s="1806"/>
      <c r="B60" s="1744"/>
      <c r="C60" s="1744"/>
      <c r="D60" s="1744"/>
      <c r="E60" s="1577"/>
      <c r="F60" s="1805"/>
      <c r="G60" s="1805"/>
      <c r="H60" s="1807"/>
      <c r="I60" s="129"/>
      <c r="J60" s="3577"/>
      <c r="K60" s="3574"/>
      <c r="L60" s="2527" t="s">
        <v>1370</v>
      </c>
      <c r="M60" s="2531"/>
      <c r="N60" s="2532" t="e">
        <f ca="1">NUMBERSTRING(INT(N59*10000),2)&amp;"元整"</f>
        <v>#VALUE!</v>
      </c>
      <c r="O60" s="2533"/>
    </row>
    <row r="61" spans="1:35" ht="13.5" thickBot="1">
      <c r="A61" s="3633" t="s">
        <v>1373</v>
      </c>
      <c r="B61" s="3633"/>
      <c r="C61" s="3633"/>
      <c r="D61" s="3633"/>
      <c r="E61" s="3633"/>
      <c r="F61" s="1805"/>
      <c r="G61" s="1805"/>
      <c r="H61" s="1807"/>
      <c r="I61" s="129"/>
      <c r="J61" s="2520">
        <f>J59+1</f>
        <v>7</v>
      </c>
      <c r="K61" s="3574" t="s">
        <v>1374</v>
      </c>
      <c r="L61" s="3574"/>
      <c r="M61" s="2537"/>
      <c r="N61" s="2538" t="e">
        <f ca="1">ROUND(N59*10000/'数据-汇总表'!E3,0)</f>
        <v>#VALUE!</v>
      </c>
      <c r="O61" s="2539"/>
    </row>
    <row r="62" spans="1:35" ht="12.75">
      <c r="A62" s="3593" t="s">
        <v>1375</v>
      </c>
      <c r="B62" s="3594"/>
      <c r="C62" s="2018"/>
      <c r="D62" s="2018" t="s">
        <v>1376</v>
      </c>
      <c r="E62" s="166" t="s">
        <v>1377</v>
      </c>
      <c r="F62" s="1805"/>
      <c r="G62" s="1805"/>
      <c r="H62" s="1807"/>
      <c r="I62" s="129"/>
    </row>
    <row r="63" spans="1:35" ht="12.75">
      <c r="A63" s="173" t="s">
        <v>330</v>
      </c>
      <c r="B63" s="167" t="s">
        <v>1378</v>
      </c>
      <c r="C63" s="2561">
        <f ca="1">ROUND((C64+C65)/(1+'数据-取费表'!C42),0)</f>
        <v>10882</v>
      </c>
      <c r="D63" s="167"/>
      <c r="E63" s="168"/>
      <c r="F63" s="1805"/>
      <c r="G63" s="1805"/>
      <c r="H63" s="1807"/>
      <c r="I63" s="129"/>
      <c r="J63" s="3557" t="s">
        <v>1379</v>
      </c>
      <c r="K63" s="1331" t="s">
        <v>1380</v>
      </c>
      <c r="L63" s="1331" t="e">
        <f>IF(M49&gt;10000,M49*0.5%,IF(AND(M49&gt;1000,M49&lt;=10000),M49*1%,IF(AND(M49&gt;100,M49&lt;=1000),M49*3%,IF(AND(M49&gt;10,M49&lt;=100),M49*5%,M49*8%))))</f>
        <v>#VALUE!</v>
      </c>
      <c r="M63" s="302" t="e">
        <f>ROUND(L63,1)</f>
        <v>#VALUE!</v>
      </c>
      <c r="N63" s="2540"/>
      <c r="Z63" s="1749"/>
      <c r="AI63" s="1750"/>
    </row>
    <row r="64" spans="1:35" ht="14.25" customHeight="1">
      <c r="A64" s="169" t="s">
        <v>325</v>
      </c>
      <c r="B64" s="170" t="s">
        <v>1381</v>
      </c>
      <c r="C64" s="2562">
        <f ca="1">D45</f>
        <v>11426</v>
      </c>
      <c r="D64" s="170" t="s">
        <v>26</v>
      </c>
      <c r="E64" s="172"/>
      <c r="F64" s="1805"/>
      <c r="G64" s="1805"/>
      <c r="H64" s="1807"/>
      <c r="I64" s="129"/>
      <c r="J64" s="3557"/>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49"/>
      <c r="AI64" s="1750"/>
    </row>
    <row r="65" spans="1:35" ht="14.25" customHeight="1">
      <c r="A65" s="169" t="s">
        <v>326</v>
      </c>
      <c r="B65" s="170" t="s">
        <v>1384</v>
      </c>
      <c r="C65" s="2563"/>
      <c r="D65" s="170"/>
      <c r="E65" s="172"/>
      <c r="F65" s="1805"/>
      <c r="G65" s="1805"/>
      <c r="H65" s="1807"/>
      <c r="I65" s="129"/>
      <c r="J65" s="3557"/>
      <c r="K65" s="1331" t="s">
        <v>1385</v>
      </c>
      <c r="L65" s="1331" t="e">
        <f>IF(M49&gt;1000,M49*0.1%,IF(AND(M49&gt;500,M49&lt;=1000),M49*0.5%,IF(AND(M49&gt;50,M49&lt;=500),M49*1%,IF(AND(M49&gt;1,M49&lt;=50),M49*1.5%))))</f>
        <v>#VALUE!</v>
      </c>
      <c r="M65" s="302" t="e">
        <f t="shared" si="1"/>
        <v>#VALUE!</v>
      </c>
      <c r="N65" s="2541" t="s">
        <v>1383</v>
      </c>
      <c r="Z65" s="1749"/>
      <c r="AI65" s="1750"/>
    </row>
    <row r="66" spans="1:35" ht="14.25" customHeight="1">
      <c r="A66" s="173" t="s">
        <v>327</v>
      </c>
      <c r="B66" s="174" t="s">
        <v>1386</v>
      </c>
      <c r="C66" s="2564"/>
      <c r="D66" s="174" t="s">
        <v>26</v>
      </c>
      <c r="E66" s="1337" t="s">
        <v>671</v>
      </c>
      <c r="F66" s="1805"/>
      <c r="G66" s="1805"/>
      <c r="H66" s="1807"/>
      <c r="I66" s="129"/>
      <c r="J66" s="3557"/>
      <c r="K66" s="1331" t="s">
        <v>1387</v>
      </c>
      <c r="L66" s="1331" t="e">
        <f>M49*0.5%</f>
        <v>#VALUE!</v>
      </c>
      <c r="M66" s="302" t="e">
        <f>IF(L66&gt;0.5,0.5,ROUND(L66,0))</f>
        <v>#VALUE!</v>
      </c>
      <c r="N66" s="2541" t="s">
        <v>1388</v>
      </c>
      <c r="Z66" s="1749"/>
      <c r="AI66" s="1750"/>
    </row>
    <row r="67" spans="1:35" ht="14.25" customHeight="1">
      <c r="A67" s="173" t="s">
        <v>328</v>
      </c>
      <c r="B67" s="174" t="s">
        <v>1389</v>
      </c>
      <c r="C67" s="2565">
        <f ca="1">C63-C66</f>
        <v>10882</v>
      </c>
      <c r="D67" s="170" t="s">
        <v>26</v>
      </c>
      <c r="E67" s="172"/>
      <c r="F67" s="1805"/>
      <c r="G67" s="1805"/>
      <c r="H67" s="1807"/>
      <c r="I67" s="129"/>
      <c r="J67" s="3557"/>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49"/>
      <c r="AI67" s="1750"/>
    </row>
    <row r="68" spans="1:35" ht="14.25" customHeight="1" thickBot="1">
      <c r="A68" s="176" t="s">
        <v>329</v>
      </c>
      <c r="B68" s="177" t="s">
        <v>1391</v>
      </c>
      <c r="C68" s="2566">
        <f ca="1">IF(C67&lt;=0,0,ROUND(C67*D68,0))</f>
        <v>599</v>
      </c>
      <c r="D68" s="2567">
        <f>'数据-取费表'!B41</f>
        <v>5.5000000000000007E-2</v>
      </c>
      <c r="E68" s="178"/>
      <c r="F68" s="1805"/>
      <c r="G68" s="1805"/>
      <c r="H68" s="1807"/>
      <c r="I68" s="129"/>
      <c r="J68" s="3557"/>
      <c r="K68" s="1331" t="s">
        <v>1392</v>
      </c>
      <c r="L68" s="1331" t="e">
        <f>IF(M49&gt;10000,M49*0.5%,IF(AND(M49&gt;5000,M49&lt;=10000),M49*1%,IF(AND(M49&gt;1000,M49&lt;=5000),M49*2%,IF(AND(M49&gt;200,M49&lt;=1000),M49*3%,M49*5%))))</f>
        <v>#VALUE!</v>
      </c>
      <c r="M68" s="302" t="e">
        <f>ROUND(L68,1)</f>
        <v>#VALUE!</v>
      </c>
      <c r="N68" s="2540"/>
      <c r="Z68" s="1749"/>
      <c r="AI68" s="1750"/>
    </row>
    <row r="69" spans="1:35" s="1769" customFormat="1" ht="16.5" customHeight="1">
      <c r="A69" s="1808"/>
      <c r="B69" s="1809"/>
      <c r="C69" s="1810"/>
      <c r="D69" s="1811"/>
      <c r="E69" s="1812"/>
      <c r="F69" s="1577"/>
      <c r="G69" s="1577"/>
      <c r="H69" s="1576"/>
      <c r="I69" s="1744"/>
      <c r="J69" s="3557"/>
      <c r="K69" s="1331" t="s">
        <v>1393</v>
      </c>
      <c r="L69" s="1331"/>
      <c r="M69" s="302" t="e">
        <f>ROUND(SUM(M63:M68),0)</f>
        <v>#VALUE!</v>
      </c>
      <c r="N69" s="2542" t="e">
        <f>M69/M49</f>
        <v>#VALUE!</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01" t="s">
        <v>1394</v>
      </c>
      <c r="B70" s="3602"/>
      <c r="C70" s="3602"/>
      <c r="D70" s="3602"/>
      <c r="E70" s="3602"/>
      <c r="F70" s="3602"/>
      <c r="G70" s="3602"/>
      <c r="H70" s="3602"/>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3" t="s">
        <v>1375</v>
      </c>
      <c r="B71" s="3594"/>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10882</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54</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98" t="s">
        <v>1402</v>
      </c>
      <c r="F76" s="3597"/>
      <c r="G76" s="3597"/>
      <c r="H76" s="360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54</v>
      </c>
      <c r="D78" s="2574">
        <f>'数据-取费表'!B43</f>
        <v>5.000000000000001E-3</v>
      </c>
      <c r="E78" s="3590" t="s">
        <v>1406</v>
      </c>
      <c r="F78" s="3591"/>
      <c r="G78" s="3591"/>
      <c r="H78" s="359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10828</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200.5185185185185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6478</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1" t="s">
        <v>1410</v>
      </c>
      <c r="B83" s="3602"/>
      <c r="C83" s="3602"/>
      <c r="D83" s="3602"/>
      <c r="E83" s="3602"/>
      <c r="F83" s="3602"/>
      <c r="G83" s="3602"/>
      <c r="H83" s="360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3" t="s">
        <v>1375</v>
      </c>
      <c r="B84" s="3594"/>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10882</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54</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559" t="s">
        <v>2129</v>
      </c>
      <c r="H90" s="3560"/>
      <c r="I90" s="1818"/>
      <c r="J90" s="2518"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90" t="s">
        <v>1419</v>
      </c>
      <c r="F91" s="3591"/>
      <c r="G91" s="359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90" t="s">
        <v>1422</v>
      </c>
      <c r="F92" s="3591"/>
      <c r="G92" s="3591"/>
      <c r="H92" s="3592"/>
      <c r="I92" s="1818"/>
      <c r="J92" s="2519"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54</v>
      </c>
      <c r="D93" s="2574">
        <f>'数据-取费表'!B43</f>
        <v>5.000000000000001E-3</v>
      </c>
      <c r="E93" s="3590" t="s">
        <v>1406</v>
      </c>
      <c r="F93" s="3591"/>
      <c r="G93" s="3591"/>
      <c r="H93" s="359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35" t="s">
        <v>1426</v>
      </c>
      <c r="F94" s="3636"/>
      <c r="G94" s="3636"/>
      <c r="H94" s="363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10828</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200.5185185185185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6478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7"/>
      <c r="F98" s="1577"/>
      <c r="G98" s="1577"/>
      <c r="H98" s="1576"/>
      <c r="I98" s="129"/>
    </row>
    <row r="99" spans="1:35" ht="21.75" customHeight="1" thickBot="1">
      <c r="A99" s="1797" t="s">
        <v>1427</v>
      </c>
      <c r="B99" s="1744"/>
      <c r="C99" s="1744"/>
      <c r="D99" s="1744"/>
      <c r="E99" s="1577"/>
      <c r="F99" s="1577"/>
      <c r="G99" s="1577"/>
      <c r="H99" s="1576"/>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2" t="str">
        <f>C4</f>
        <v>成本法</v>
      </c>
      <c r="D101" s="2583" t="str">
        <f>D4</f>
        <v>收益法</v>
      </c>
      <c r="E101" s="3553" t="s">
        <v>1431</v>
      </c>
      <c r="F101" s="3554"/>
      <c r="G101" s="1824" t="s">
        <v>1432</v>
      </c>
      <c r="H101" s="2592">
        <f ca="1">H118</f>
        <v>11426</v>
      </c>
      <c r="I101" s="129"/>
    </row>
    <row r="102" spans="1:35" ht="18.75" customHeight="1">
      <c r="A102" s="3585" t="s">
        <v>1433</v>
      </c>
      <c r="B102" s="2581" t="s">
        <v>1432</v>
      </c>
      <c r="C102" s="2582">
        <f ca="1">IF(D32="楼面单价",ROUND(C19,0),C19)</f>
        <v>8093</v>
      </c>
      <c r="D102" s="2583">
        <f ca="1">IF(D32="楼面单价",ROUND(D19,0),D19)</f>
        <v>12854</v>
      </c>
      <c r="E102" s="3553"/>
      <c r="F102" s="3554"/>
      <c r="G102" s="1824" t="s">
        <v>1434</v>
      </c>
      <c r="H102" s="2552">
        <f ca="1">I118</f>
        <v>13224</v>
      </c>
      <c r="I102" s="129"/>
    </row>
    <row r="103" spans="1:35" ht="42.75" customHeight="1">
      <c r="A103" s="3585"/>
      <c r="B103" s="2581" t="s">
        <v>1434</v>
      </c>
      <c r="C103" s="2584">
        <f ca="1">C20</f>
        <v>9367</v>
      </c>
      <c r="D103" s="2585">
        <f ca="1">D20</f>
        <v>14877</v>
      </c>
      <c r="E103" s="3546" t="s">
        <v>1435</v>
      </c>
      <c r="F103" s="3547"/>
      <c r="G103" s="1825" t="s">
        <v>1436</v>
      </c>
      <c r="H103" s="2592">
        <f>IF(D36="正常操作",H104+H105+H106,H105+H106)</f>
        <v>0</v>
      </c>
      <c r="I103" s="129"/>
    </row>
    <row r="104" spans="1:35" ht="18.75" customHeight="1">
      <c r="A104" s="3585" t="s">
        <v>1437</v>
      </c>
      <c r="B104" s="2586" t="s">
        <v>1432</v>
      </c>
      <c r="C104" s="2587">
        <f ca="1">H118</f>
        <v>11426</v>
      </c>
      <c r="D104" s="2588"/>
      <c r="E104" s="1672" t="s">
        <v>1438</v>
      </c>
      <c r="F104" s="1664"/>
      <c r="G104" s="1825" t="s">
        <v>1436</v>
      </c>
      <c r="H104" s="2593">
        <f>IF(D36="同一抵押权人同一抵押物续贷",C36&amp;"（续贷，未扣减，详见特别提示）",C36)</f>
        <v>0</v>
      </c>
      <c r="I104" s="129"/>
    </row>
    <row r="105" spans="1:35" ht="18.75" customHeight="1" thickBot="1">
      <c r="A105" s="3595"/>
      <c r="B105" s="2589" t="s">
        <v>1434</v>
      </c>
      <c r="C105" s="2590">
        <f ca="1">I118</f>
        <v>13224</v>
      </c>
      <c r="D105" s="2591"/>
      <c r="E105" s="1672" t="s">
        <v>1439</v>
      </c>
      <c r="F105" s="1664"/>
      <c r="G105" s="1825" t="s">
        <v>1436</v>
      </c>
      <c r="H105" s="2594">
        <f>C37</f>
        <v>0</v>
      </c>
      <c r="I105" s="129"/>
    </row>
    <row r="106" spans="1:35" ht="18.75" customHeight="1">
      <c r="A106" s="1744" t="s">
        <v>1440</v>
      </c>
      <c r="B106" s="1744"/>
      <c r="C106" s="1744"/>
      <c r="D106" s="1744"/>
      <c r="E106" s="1826" t="s">
        <v>1441</v>
      </c>
      <c r="F106" s="1664"/>
      <c r="G106" s="1825" t="s">
        <v>1436</v>
      </c>
      <c r="H106" s="2594">
        <f>C38</f>
        <v>0</v>
      </c>
      <c r="I106" s="129"/>
    </row>
    <row r="107" spans="1:35" ht="18.75" customHeight="1">
      <c r="A107" s="129"/>
      <c r="B107" s="129"/>
      <c r="C107" s="129"/>
      <c r="D107" s="129"/>
      <c r="E107" s="3586" t="str">
        <f>IF(项目基本情况!E8="已注销","——","3.房地产抵押价值")</f>
        <v>3.房地产抵押价值</v>
      </c>
      <c r="F107" s="3554"/>
      <c r="G107" s="1824" t="s">
        <v>1432</v>
      </c>
      <c r="H107" s="2592">
        <f ca="1">IF(E107="——","——",H101-H103)</f>
        <v>11426</v>
      </c>
      <c r="I107" s="129"/>
    </row>
    <row r="108" spans="1:35" ht="18.75" customHeight="1">
      <c r="A108" s="129"/>
      <c r="B108" s="129"/>
      <c r="C108" s="129"/>
      <c r="D108" s="129"/>
      <c r="E108" s="3586"/>
      <c r="F108" s="3554"/>
      <c r="G108" s="1824" t="s">
        <v>1434</v>
      </c>
      <c r="H108" s="2552">
        <f ca="1">IF(H107=H101,H102,ROUND(H107*10000/'数据-汇总表'!E3,0))</f>
        <v>13224</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4" t="s">
        <v>1432</v>
      </c>
      <c r="H109" s="2595" t="str">
        <f>IF(E109="——","——",H101-H105-H106)</f>
        <v>——</v>
      </c>
      <c r="I109" s="129"/>
    </row>
    <row r="110" spans="1:35" ht="18.75" customHeight="1">
      <c r="A110" s="129"/>
      <c r="B110" s="129"/>
      <c r="C110" s="129"/>
      <c r="D110" s="129"/>
      <c r="E110" s="3586"/>
      <c r="F110" s="3554"/>
      <c r="G110" s="1824" t="s">
        <v>1434</v>
      </c>
      <c r="H110" s="2552"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4" t="s">
        <v>1432</v>
      </c>
      <c r="H111" s="2592" t="str">
        <f>IF(E111="——","——",N59)</f>
        <v>——</v>
      </c>
      <c r="I111" s="129"/>
    </row>
    <row r="112" spans="1:35" ht="18.75" customHeight="1" thickBot="1">
      <c r="A112" s="129"/>
      <c r="B112" s="129"/>
      <c r="C112" s="129"/>
      <c r="D112" s="129"/>
      <c r="E112" s="3588"/>
      <c r="F112" s="3589"/>
      <c r="G112" s="1827" t="s">
        <v>1434</v>
      </c>
      <c r="H112" s="2596" t="str">
        <f>IF(E111="——","——",N61)</f>
        <v>——</v>
      </c>
      <c r="I112" s="129"/>
    </row>
    <row r="113" spans="1:27" ht="18.75" customHeight="1">
      <c r="A113" s="129"/>
      <c r="B113" s="129"/>
      <c r="C113" s="129"/>
      <c r="D113" s="129"/>
      <c r="E113" s="3596" t="s">
        <v>1440</v>
      </c>
      <c r="F113" s="3596"/>
      <c r="G113" s="3596"/>
      <c r="H113" s="3596"/>
      <c r="I113" s="129"/>
    </row>
    <row r="114" spans="1:27" ht="3.75" customHeight="1">
      <c r="A114" s="1744"/>
      <c r="B114" s="1744"/>
      <c r="C114" s="1744"/>
      <c r="D114" s="1744"/>
      <c r="E114" s="1806"/>
      <c r="F114" s="1806"/>
      <c r="G114" s="1806"/>
      <c r="H114" s="1806"/>
      <c r="I114" s="1744"/>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6" t="s">
        <v>1449</v>
      </c>
      <c r="E117" s="2326" t="s">
        <v>1450</v>
      </c>
      <c r="F117" s="2326" t="s">
        <v>1449</v>
      </c>
      <c r="G117" s="2326" t="s">
        <v>1451</v>
      </c>
      <c r="H117" s="2326" t="s">
        <v>1449</v>
      </c>
      <c r="I117" s="2326" t="s">
        <v>1451</v>
      </c>
    </row>
    <row r="118" spans="1:27" ht="24.75" customHeight="1">
      <c r="A118" s="2597" t="str">
        <f>项目基本情况!S2</f>
        <v>北京市东环北路1号房地产</v>
      </c>
      <c r="B118" s="2326">
        <f>M18</f>
        <v>8640.14</v>
      </c>
      <c r="C118" s="2326">
        <f>M19</f>
        <v>15462.6</v>
      </c>
      <c r="D118" s="2326">
        <f ca="1">ROUND(IF(D32="总价",C34,E118*B118/10000),0)</f>
        <v>7153</v>
      </c>
      <c r="E118" s="2326">
        <f ca="1">ROUND(IF(C33="自定义",IF(D32="楼面单价",C34,D118*10000/B118),I118-G118),0)</f>
        <v>8278</v>
      </c>
      <c r="F118" s="2326">
        <f ca="1">ROUND(IF(D32="总价",C35,G118*B118/10000),0)</f>
        <v>4273</v>
      </c>
      <c r="G118" s="2326">
        <f ca="1">ROUND(IF(D32="楼面单价",C35,F118*10000/B118),0)</f>
        <v>4946</v>
      </c>
      <c r="H118" s="2326">
        <f ca="1">ROUND(IF(D32="总价",C32,I118*B118/10000),0)</f>
        <v>11426</v>
      </c>
      <c r="I118" s="2326">
        <f ca="1">ROUND(IF(D32="楼面单价",C32,H118*10000/B118),0)</f>
        <v>13224</v>
      </c>
    </row>
    <row r="119" spans="1:27" ht="18.75" customHeight="1">
      <c r="A119" s="3561" t="s">
        <v>1452</v>
      </c>
      <c r="B119" s="3561"/>
      <c r="C119" s="3561"/>
      <c r="D119" s="3567" t="str">
        <f ca="1">NUMBERSTRING(INT(D118*10000),2)&amp;"元整"</f>
        <v>柒仟壹佰伍拾叁万元整</v>
      </c>
      <c r="E119" s="3568"/>
      <c r="F119" s="3567" t="str">
        <f ca="1">NUMBERSTRING(INT(F118*10000),2)&amp;"元整"</f>
        <v>肆仟贰佰柒拾叁万元整</v>
      </c>
      <c r="G119" s="3568"/>
      <c r="H119" s="3567" t="str">
        <f ca="1">NUMBERSTRING(INT(H118*10000),2)&amp;"元整"</f>
        <v>壹亿壹仟肆佰贰拾陆万元整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11426</v>
      </c>
      <c r="E122" s="3563"/>
      <c r="F122" s="3563"/>
      <c r="G122" s="3563"/>
      <c r="H122" s="3563"/>
      <c r="I122" s="3564"/>
      <c r="AA122" s="725"/>
    </row>
    <row r="123" spans="1:27" ht="18.75" customHeight="1">
      <c r="A123" s="3561" t="s">
        <v>1452</v>
      </c>
      <c r="B123" s="3561"/>
      <c r="C123" s="3561"/>
      <c r="D123" s="3567" t="str">
        <f ca="1">NUMBERSTRING(INT(D122*10000),2)&amp;"元整"</f>
        <v>壹亿壹仟肆佰贰拾陆万元整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9" zoomScale="115" zoomScaleNormal="80" zoomScaleSheetLayoutView="115" workbookViewId="0">
      <selection activeCell="E89" sqref="E89"/>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1926</v>
      </c>
      <c r="B1" s="197"/>
      <c r="C1" s="201" t="s">
        <v>1927</v>
      </c>
      <c r="D1" s="342">
        <f>SUM(D33:D34,D37:D42)</f>
        <v>15462.6</v>
      </c>
      <c r="E1" s="1992"/>
      <c r="F1" s="1992"/>
      <c r="G1" s="1992"/>
      <c r="H1" s="1992"/>
      <c r="I1" s="1992"/>
      <c r="J1" s="1992"/>
      <c r="K1" s="1118"/>
      <c r="L1" s="1993" t="s">
        <v>1928</v>
      </c>
      <c r="M1" s="863">
        <f>SUMPRODUCT((区片价!B5:B9=I2)*(区片价!C3:G3=E2)*(区片价!C5:G9))</f>
        <v>0</v>
      </c>
      <c r="N1" s="866">
        <f>SUMPRODUCT((因素修正幅度!B5:B9=I2)*(因素修正幅度!C3:G3=E2)*(因素修正幅度!C5:G9))</f>
        <v>0</v>
      </c>
      <c r="O1" s="1994"/>
      <c r="P1" s="1994"/>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3793</v>
      </c>
      <c r="C2" s="1996" t="s">
        <v>1935</v>
      </c>
      <c r="D2" s="1997" t="s">
        <v>1936</v>
      </c>
      <c r="E2" s="3417" t="s">
        <v>3</v>
      </c>
      <c r="F2" s="1997" t="s">
        <v>1937</v>
      </c>
      <c r="G2" s="1998" t="str">
        <f>IF(E2="商业",项目基本情况!B37,IF(E2="办公",项目基本情况!C37,IF(E2="住宅",项目基本情况!D37,IF(E2="工业",项目基本情况!E37,项目基本情况!F37))))</f>
        <v>六级</v>
      </c>
      <c r="H2" s="1997" t="s">
        <v>1938</v>
      </c>
      <c r="I2" s="1998" t="str">
        <f>IF(E2="商业",项目基本情况!B38,IF(E2="办公",项目基本情况!C38,IF(E2="住宅",项目基本情况!D38,IF(E2="工业",项目基本情况!E38,项目基本情况!F38))))</f>
        <v>Ⅵ-BDA核心</v>
      </c>
      <c r="J2" s="1999"/>
      <c r="K2" s="1118"/>
      <c r="L2" s="2000" t="s">
        <v>1939</v>
      </c>
      <c r="M2" s="864">
        <f>SUMPRODUCT((区片价!B10:B29=I2)*(区片价!C3:G3=E2)*(区片价!C10:G29))</f>
        <v>0</v>
      </c>
      <c r="N2" s="866">
        <f>SUMPRODUCT((因素修正幅度!B10:B29=I2)*(因素修正幅度!C3:G3=E2)*(因素修正幅度!C10:G29))</f>
        <v>0</v>
      </c>
      <c r="O2" s="1118"/>
      <c r="P2" s="1118"/>
      <c r="Q2" s="1118"/>
      <c r="R2" s="1211">
        <v>1</v>
      </c>
      <c r="S2" s="3356">
        <f>ROUND(SUMPRODUCT((B106:B110=R2)*(C105:N105=G2)*(C106:N110)),4)</f>
        <v>1.5019</v>
      </c>
      <c r="T2" s="3356">
        <f t="shared" ref="T2:T16" si="0">ROUND($C$5*$C$22*$C$23*$C$24*S2*$C$28,0)</f>
        <v>3481</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2453</v>
      </c>
      <c r="C3" s="1996" t="s">
        <v>1941</v>
      </c>
      <c r="D3" s="1997" t="s">
        <v>1942</v>
      </c>
      <c r="E3" s="3415" t="s">
        <v>2481</v>
      </c>
      <c r="F3" s="2001" t="s">
        <v>3392</v>
      </c>
      <c r="G3" s="752">
        <f>IF(F3="宗地容积率",'数据-汇总表'!I4,IF(F3="估价对象容积率",'数据-汇总表'!I6,'数据-汇总表'!I7))</f>
        <v>1</v>
      </c>
      <c r="H3" s="170" t="s">
        <v>1943</v>
      </c>
      <c r="I3" s="775"/>
      <c r="J3" s="1999" t="s">
        <v>1944</v>
      </c>
      <c r="K3" s="1118"/>
      <c r="L3" s="2000" t="s">
        <v>1945</v>
      </c>
      <c r="M3" s="864">
        <f>SUMPRODUCT((区片价!B30:B54=I2)*(区片价!C3:G3=E2)*(区片价!C30:G54))</f>
        <v>0</v>
      </c>
      <c r="N3" s="866">
        <f>SUMPRODUCT((因素修正幅度!B30:B54=I2)*(因素修正幅度!C3:G3=E2)*(因素修正幅度!C30:G54))</f>
        <v>0</v>
      </c>
      <c r="O3" s="1118"/>
      <c r="P3" s="1118"/>
      <c r="Q3" s="1118"/>
      <c r="R3" s="1211">
        <v>2</v>
      </c>
      <c r="S3" s="3356">
        <f>ROUND(SUMPRODUCT((B106:B110=R3)*(C105:N105=G2)*(C106:N110)),4)</f>
        <v>1.1838</v>
      </c>
      <c r="T3" s="3356">
        <f t="shared" si="0"/>
        <v>2744</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647"/>
      <c r="B4" s="3648"/>
      <c r="C4" s="3648"/>
      <c r="D4" s="3649"/>
      <c r="E4" s="3649"/>
      <c r="F4" s="3649"/>
      <c r="G4" s="3649"/>
      <c r="H4" s="3649"/>
      <c r="I4" s="3649"/>
      <c r="J4" s="3650"/>
      <c r="K4" s="1118"/>
      <c r="L4" s="2000" t="s">
        <v>1946</v>
      </c>
      <c r="M4" s="864">
        <f>SUMPRODUCT((区片价!B55:B86=I2)*(区片价!C3:G3=E2)*(区片价!C55:G86))</f>
        <v>0</v>
      </c>
      <c r="N4" s="866">
        <f>SUMPRODUCT((因素修正幅度!B55:B86=I2)*(因素修正幅度!C3:G3=E2)*(因素修正幅度!C55:G86))</f>
        <v>0</v>
      </c>
      <c r="O4" s="1118"/>
      <c r="P4" s="1118"/>
      <c r="Q4" s="1118"/>
      <c r="R4" s="1211">
        <v>3</v>
      </c>
      <c r="S4" s="3356">
        <f>ROUND(SUMPRODUCT((B106:B110=R4)*(C105:N105=G2)*(C106:N110)),4)</f>
        <v>1.0004999999999999</v>
      </c>
      <c r="T4" s="3356">
        <f t="shared" si="0"/>
        <v>2319</v>
      </c>
      <c r="U4" s="1212"/>
      <c r="V4" s="3356">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f>ROUND(IF(E2="商业",C6*C7*C17+C20,(IF(E2="住宅",C6*C13*C17+C20,IF(E2="办公",C6*C12*C17+C20,C6+C20)))),0)</f>
        <v>2298</v>
      </c>
      <c r="D5" s="1338">
        <f>ROUND(C6*C17+C20,0)</f>
        <v>2298</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8"/>
      <c r="P5" s="1118"/>
      <c r="Q5" s="1118"/>
      <c r="R5" s="1211">
        <v>4</v>
      </c>
      <c r="S5" s="3356">
        <f>ROUND(SUMPRODUCT((B106:B110=R5)*(C105:N105=G2)*(C106:N110)),4)</f>
        <v>0.88239999999999996</v>
      </c>
      <c r="T5" s="3356">
        <f t="shared" si="0"/>
        <v>2045</v>
      </c>
      <c r="U5" s="1212"/>
      <c r="V5" s="3356">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2340</v>
      </c>
      <c r="D6" s="2014"/>
      <c r="E6" s="2015"/>
      <c r="F6" s="2015"/>
      <c r="G6" s="2016"/>
      <c r="H6" s="2016"/>
      <c r="I6" s="2016"/>
      <c r="J6" s="2017"/>
      <c r="K6" s="1383"/>
      <c r="L6" s="2000" t="s">
        <v>1951</v>
      </c>
      <c r="M6" s="864">
        <f>SUMPRODUCT((区片价!B127:B189=I2)*(区片价!C3:G3=E2)*(区片价!C127:G189))</f>
        <v>2340</v>
      </c>
      <c r="N6" s="866">
        <f>SUMPRODUCT((因素修正幅度!B127:B189=I2)*(因素修正幅度!C3:G3=E2)*(因素修正幅度!C127:G189))</f>
        <v>0.05</v>
      </c>
      <c r="O6" s="1118"/>
      <c r="P6" s="1118"/>
      <c r="Q6" s="1118"/>
      <c r="R6" s="1211">
        <v>5</v>
      </c>
      <c r="S6" s="3356">
        <f>ROUND(SUMPRODUCT((B106:B110=R6)*(C105:N105=G2)*(C106:N110)),4)</f>
        <v>0.84799999999999998</v>
      </c>
      <c r="T6" s="3356">
        <f t="shared" si="0"/>
        <v>1965</v>
      </c>
      <c r="U6" s="1212"/>
      <c r="V6" s="3356">
        <f t="shared" si="1"/>
        <v>0</v>
      </c>
      <c r="W6" s="1215"/>
      <c r="X6" s="1215"/>
      <c r="Y6" s="1215"/>
      <c r="Z6" s="1215"/>
      <c r="AA6" s="1215"/>
      <c r="AB6" s="1215"/>
      <c r="AC6" s="2008"/>
      <c r="AD6" s="2009"/>
      <c r="AE6" s="2009"/>
      <c r="AF6" s="2009"/>
      <c r="AG6" s="2009"/>
      <c r="AH6" s="2009"/>
      <c r="AI6" s="2009"/>
      <c r="AJ6" s="2010"/>
    </row>
    <row r="7" spans="1:36" ht="24.75" thickBot="1">
      <c r="A7" s="3299" t="s">
        <v>3239</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8"/>
      <c r="P7" s="1118"/>
      <c r="Q7" s="1118"/>
      <c r="R7" s="1211">
        <v>6</v>
      </c>
      <c r="S7" s="3414"/>
      <c r="T7" s="3356">
        <f t="shared" si="0"/>
        <v>0</v>
      </c>
      <c r="U7" s="1212"/>
      <c r="V7" s="3356">
        <f t="shared" si="1"/>
        <v>0</v>
      </c>
      <c r="W7" s="1357" t="s">
        <v>1955</v>
      </c>
      <c r="X7" s="1213" t="str">
        <f>G2</f>
        <v>六级</v>
      </c>
      <c r="Y7" s="1213" t="s">
        <v>1956</v>
      </c>
      <c r="Z7" s="1214">
        <f>G3</f>
        <v>1</v>
      </c>
      <c r="AA7" s="1215"/>
      <c r="AB7" s="1215"/>
      <c r="AC7" s="1216"/>
      <c r="AD7" s="1217"/>
      <c r="AE7" s="1217"/>
      <c r="AF7" s="1217"/>
      <c r="AG7" s="1217"/>
      <c r="AH7" s="1217"/>
      <c r="AI7" s="1217"/>
      <c r="AJ7" s="1218"/>
    </row>
    <row r="8" spans="1:36" ht="15">
      <c r="A8" s="3294"/>
      <c r="B8" s="170" t="s">
        <v>1957</v>
      </c>
      <c r="C8" s="2023"/>
      <c r="D8" s="756" t="s">
        <v>112</v>
      </c>
      <c r="E8" s="757" t="e">
        <f>ROUND(C11/E7,4)</f>
        <v>#DIV/0!</v>
      </c>
      <c r="F8" s="2024" t="s">
        <v>1958</v>
      </c>
      <c r="G8" s="2025"/>
      <c r="H8" s="2025"/>
      <c r="I8" s="2025"/>
      <c r="J8" s="2026"/>
      <c r="K8" s="1118"/>
      <c r="L8" s="2000" t="s">
        <v>1959</v>
      </c>
      <c r="M8" s="864">
        <f>SUMPRODUCT((区片价!B234:B276=I2)*(区片价!C3:G3=E2)*(区片价!C234:G276))</f>
        <v>0</v>
      </c>
      <c r="N8" s="866">
        <f>SUMPRODUCT((因素修正幅度!B234:B276=I2)*(因素修正幅度!C3:G3=E2)*(因素修正幅度!C234:G276))</f>
        <v>0</v>
      </c>
      <c r="O8" s="1118"/>
      <c r="P8" s="1118"/>
      <c r="Q8" s="1118"/>
      <c r="R8" s="1211">
        <v>7</v>
      </c>
      <c r="S8" s="1212"/>
      <c r="T8" s="3356">
        <f t="shared" si="0"/>
        <v>0</v>
      </c>
      <c r="U8" s="1212"/>
      <c r="V8" s="3356">
        <f t="shared" si="1"/>
        <v>0</v>
      </c>
      <c r="W8" s="3644" t="s">
        <v>1960</v>
      </c>
      <c r="X8" s="364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4" t="s">
        <v>1974</v>
      </c>
      <c r="G9" s="2025"/>
      <c r="H9" s="2025"/>
      <c r="I9" s="2025"/>
      <c r="J9" s="2026"/>
      <c r="K9" s="1118"/>
      <c r="L9" s="2000" t="s">
        <v>1975</v>
      </c>
      <c r="M9" s="864">
        <f>SUMPRODUCT((区片价!B277:B326=I2)*(区片价!C3:G3=E2)*(区片价!C277:G326))</f>
        <v>0</v>
      </c>
      <c r="N9" s="866">
        <f>SUMPRODUCT((因素修正幅度!B277:B326=I2)*(因素修正幅度!C3:G3=E2)*(因素修正幅度!C277:G326))</f>
        <v>0</v>
      </c>
      <c r="O9" s="1118"/>
      <c r="P9" s="1118"/>
      <c r="Q9" s="1118"/>
      <c r="R9" s="1211">
        <v>8</v>
      </c>
      <c r="S9" s="1212"/>
      <c r="T9" s="3356">
        <f t="shared" si="0"/>
        <v>0</v>
      </c>
      <c r="U9" s="1212"/>
      <c r="V9" s="3356">
        <f t="shared" si="1"/>
        <v>0</v>
      </c>
      <c r="W9" s="3646"/>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8"/>
      <c r="L10" s="2000"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6">
        <f t="shared" si="0"/>
        <v>0</v>
      </c>
      <c r="U10" s="1212"/>
      <c r="V10" s="3356">
        <f t="shared" si="1"/>
        <v>0</v>
      </c>
      <c r="W10" s="364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9">
        <f>C10/4</f>
        <v>0</v>
      </c>
      <c r="D11" s="759" t="s">
        <v>115</v>
      </c>
      <c r="E11" s="759" t="e">
        <f>ROUND(C11/E7,4)</f>
        <v>#DIV/0!</v>
      </c>
      <c r="F11" s="2028" t="s">
        <v>1980</v>
      </c>
      <c r="G11" s="2029"/>
      <c r="H11" s="2029"/>
      <c r="I11" s="2029"/>
      <c r="J11" s="2030"/>
      <c r="K11" s="1118"/>
      <c r="L11" s="2000"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8"/>
      <c r="L12" s="2036"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3244</v>
      </c>
      <c r="B13" s="2031" t="s">
        <v>1982</v>
      </c>
      <c r="C13" s="755">
        <f>ROUND(C16*D16*E16*F16*G16*H16*I16*J16,4)</f>
        <v>0</v>
      </c>
      <c r="D13" s="2032" t="s">
        <v>1983</v>
      </c>
      <c r="E13" s="2033"/>
      <c r="F13" s="2033"/>
      <c r="G13" s="2034"/>
      <c r="H13" s="2034"/>
      <c r="I13" s="2034"/>
      <c r="J13" s="2035"/>
      <c r="K13" s="1118"/>
      <c r="L13" s="3295"/>
      <c r="M13" s="3296"/>
      <c r="N13" s="3297"/>
      <c r="O13" s="1118"/>
      <c r="P13" s="1118"/>
      <c r="Q13" s="1118"/>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7" t="s">
        <v>1985</v>
      </c>
      <c r="C14" s="2038" t="s">
        <v>1986</v>
      </c>
      <c r="D14" s="1349" t="s">
        <v>1987</v>
      </c>
      <c r="E14" s="27" t="s">
        <v>1988</v>
      </c>
      <c r="F14" s="3307" t="s">
        <v>3245</v>
      </c>
      <c r="G14" s="3307" t="s">
        <v>3245</v>
      </c>
      <c r="H14" s="3307" t="s">
        <v>3245</v>
      </c>
      <c r="I14" s="3307" t="s">
        <v>3245</v>
      </c>
      <c r="J14" s="3307" t="s">
        <v>3245</v>
      </c>
      <c r="K14" s="1118"/>
      <c r="L14" s="1118"/>
      <c r="M14" s="1118"/>
      <c r="N14" s="1118"/>
      <c r="O14" s="1118"/>
      <c r="P14" s="1118"/>
      <c r="Q14" s="1118"/>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9"/>
      <c r="C15" s="2040"/>
      <c r="D15" s="2041"/>
      <c r="E15" s="2042"/>
      <c r="F15" s="3308" t="s">
        <v>3246</v>
      </c>
      <c r="G15" s="3309"/>
      <c r="H15" s="3310"/>
      <c r="I15" s="3311"/>
      <c r="J15" s="3312"/>
      <c r="K15" s="1118"/>
      <c r="L15" s="1118"/>
      <c r="M15" s="1118"/>
      <c r="N15" s="1118"/>
      <c r="O15" s="1118"/>
      <c r="P15" s="1118"/>
      <c r="Q15" s="1118"/>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8"/>
      <c r="L16" s="1994"/>
      <c r="M16" s="1994"/>
      <c r="N16" s="1994"/>
      <c r="O16" s="1994"/>
      <c r="P16" s="1994"/>
      <c r="Q16" s="1118"/>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8"/>
      <c r="B18" s="3005"/>
      <c r="C18" s="3323"/>
      <c r="D18" s="3318" t="s">
        <v>3250</v>
      </c>
      <c r="E18" s="3324"/>
      <c r="F18" s="3319" t="s">
        <v>3253</v>
      </c>
      <c r="G18" s="3323">
        <f>ROUND(1-(1/(POWER(1+G24,E18))),4)</f>
        <v>0</v>
      </c>
      <c r="H18" s="3319" t="s">
        <v>3255</v>
      </c>
      <c r="I18" s="3323">
        <f>ROUND(1-(1/(POWER(1+G24,J24))),4)</f>
        <v>0.91279999999999994</v>
      </c>
      <c r="J18" s="3329"/>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3"/>
    </row>
    <row r="19" spans="1:37" s="2011" customFormat="1" ht="15" thickBot="1">
      <c r="A19" s="3330"/>
      <c r="B19" s="3331"/>
      <c r="C19" s="3332"/>
      <c r="D19" s="3332" t="s">
        <v>3251</v>
      </c>
      <c r="E19" s="3333"/>
      <c r="F19" s="3334" t="s">
        <v>3254</v>
      </c>
      <c r="G19" s="3333"/>
      <c r="H19" s="3332"/>
      <c r="I19" s="3332"/>
      <c r="J19" s="3335"/>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6"/>
      <c r="AH19" s="2138"/>
      <c r="AI19" s="2787"/>
      <c r="AJ19" s="2787"/>
      <c r="AK19" s="2054"/>
    </row>
    <row r="20" spans="1:37" s="2011" customFormat="1" ht="14.25">
      <c r="A20" s="3651" t="s">
        <v>3256</v>
      </c>
      <c r="B20" s="167" t="s">
        <v>1994</v>
      </c>
      <c r="C20" s="3320">
        <f>ROUND(IF(F21="与级别开发程度一致",0,(G21-E21)/C21),0)</f>
        <v>-42</v>
      </c>
      <c r="D20" s="3336" t="s">
        <v>1998</v>
      </c>
      <c r="E20" s="3337"/>
      <c r="F20" s="3657" t="s">
        <v>1995</v>
      </c>
      <c r="G20" s="3658"/>
      <c r="H20" s="3321" t="s">
        <v>3394</v>
      </c>
      <c r="I20" s="3321" t="s">
        <v>3395</v>
      </c>
      <c r="J20" s="3322" t="s">
        <v>3396</v>
      </c>
      <c r="K20" s="2044" t="s">
        <v>3397</v>
      </c>
      <c r="L20" s="2044" t="s">
        <v>3398</v>
      </c>
      <c r="M20" s="2044" t="s">
        <v>3399</v>
      </c>
      <c r="N20" s="2044" t="s">
        <v>3400</v>
      </c>
      <c r="O20" s="2045"/>
      <c r="P20" s="1994"/>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1" customFormat="1" ht="26.25" thickBot="1">
      <c r="A21" s="3652"/>
      <c r="B21" s="2161" t="s">
        <v>1997</v>
      </c>
      <c r="C21" s="2162">
        <f>IF(E3="M4科研用地",SUMPRODUCT((修正!A2:A7=E3)*(修正!B1:M1=G2)*(修正!B2:M7)),SUMPRODUCT((修正!A2:A7=E2)*(修正!B1:M1=G2)*(修正!B2:M7)))</f>
        <v>1.2</v>
      </c>
      <c r="D21" s="187" t="str">
        <f>IF(OR(G2="八级",G2="九级",G2="十级",G2="十一级",G2="十二级"),"五通一平","七通一平")</f>
        <v>七通一平</v>
      </c>
      <c r="E21" s="2152">
        <f>SUMPRODUCT((修正!B1:M1=G2)*(修正!B17:M17))</f>
        <v>315</v>
      </c>
      <c r="F21" s="2153" t="s">
        <v>3393</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0</v>
      </c>
      <c r="P21" s="1994"/>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1" customFormat="1" ht="15.75" thickBot="1">
      <c r="A22" s="2155" t="s">
        <v>363</v>
      </c>
      <c r="B22" s="2156" t="s">
        <v>2000</v>
      </c>
      <c r="C22" s="2157">
        <f>SUMIF(修正!C20:C51,E3,修正!E20:E51)</f>
        <v>1</v>
      </c>
      <c r="D22" s="2158"/>
      <c r="E22" s="2159"/>
      <c r="F22" s="2159"/>
      <c r="G22" s="2159"/>
      <c r="H22" s="2159"/>
      <c r="I22" s="2159"/>
      <c r="J22" s="2160"/>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7" t="s">
        <v>364</v>
      </c>
      <c r="B23" s="2048"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51" t="s">
        <v>2002</v>
      </c>
      <c r="E23" s="761">
        <v>44197</v>
      </c>
      <c r="F23" s="2051" t="s">
        <v>2003</v>
      </c>
      <c r="G23" s="762">
        <f>'数据-取费表'!B2</f>
        <v>45516</v>
      </c>
      <c r="H23" s="3338" t="s">
        <v>3258</v>
      </c>
      <c r="I23" s="3339" t="str">
        <f>IF(H23="季度增幅（自定义）",SUMIF(N25:N28,E2,O25:O28),"")</f>
        <v/>
      </c>
      <c r="J23" s="3441" t="s">
        <v>3257</v>
      </c>
      <c r="K23" s="1124"/>
      <c r="L23" s="2052" t="s">
        <v>2004</v>
      </c>
      <c r="M23" s="1327">
        <f>ROUND(SUMIF(地价!B2:G2,E2,地价!B16:G16),0)</f>
        <v>318</v>
      </c>
      <c r="N23" s="2053" t="s">
        <v>2005</v>
      </c>
      <c r="O23" s="763">
        <f>ROUNDDOWN(DATEDIF(E23,G23,"M")/3,0)</f>
        <v>14</v>
      </c>
      <c r="P23" s="1121"/>
      <c r="Q23" s="2783"/>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2006</v>
      </c>
      <c r="C24" s="764">
        <f>ROUND(POWER(1+G24,J24-I24)*(POWER(1+G24,I24)-1)/(POWER(1+G24,J24)-1),4)</f>
        <v>0.91400000000000003</v>
      </c>
      <c r="D24" s="2057" t="s">
        <v>2007</v>
      </c>
      <c r="E24" s="1334">
        <f>存贷款利率!E26/100</f>
        <v>4.3499999999999997E-2</v>
      </c>
      <c r="F24" s="2057" t="s">
        <v>1999</v>
      </c>
      <c r="G24" s="768">
        <f>SUMIF(M30:Q30,E2,M33:Q33)</f>
        <v>0.05</v>
      </c>
      <c r="H24" s="2057" t="s">
        <v>2008</v>
      </c>
      <c r="I24" s="769">
        <f>SUMIF('数据-取费表'!C6:C15,E2,'数据-取费表'!F6:F15)/COUNTIF('数据-取费表'!C6:C15,E2)</f>
        <v>36.840000000000003</v>
      </c>
      <c r="J24" s="770">
        <f>IF(E2="住宅",70,IF(E2="商业",40,50))</f>
        <v>50</v>
      </c>
      <c r="K24" s="1124"/>
      <c r="L24" s="2058" t="s">
        <v>2009</v>
      </c>
      <c r="M24" s="1328">
        <f>ROUND(SUMPRODUCT((地价!A4:A16=YEAR(G23)&amp;"-"&amp;ROUNDUP(MONTH(G23)/3,0))*(地价!B2:G2=E2)*(地价!B4:G16)),0)</f>
        <v>0</v>
      </c>
      <c r="N24" s="2059" t="s">
        <v>2010</v>
      </c>
      <c r="O24" s="2060" t="s">
        <v>2011</v>
      </c>
      <c r="P24" s="2061" t="s">
        <v>2012</v>
      </c>
      <c r="Q24" s="1994"/>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2" t="s">
        <v>366</v>
      </c>
      <c r="B25" s="2063" t="s">
        <v>3337</v>
      </c>
      <c r="C25" s="771">
        <f>IF(B25="容积率修正",IF(G3&lt;10,D26,J26),C27)</f>
        <v>1.0583</v>
      </c>
      <c r="D25" s="2064"/>
      <c r="E25" s="2064"/>
      <c r="F25" s="2064"/>
      <c r="G25" s="2064"/>
      <c r="H25" s="2064"/>
      <c r="I25" s="2064"/>
      <c r="J25" s="2065"/>
      <c r="K25" s="1124"/>
      <c r="L25" s="2783"/>
      <c r="M25" s="2783"/>
      <c r="N25" s="2066" t="s">
        <v>2013</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2014</v>
      </c>
      <c r="B26" s="2067" t="s">
        <v>2015</v>
      </c>
      <c r="C26" s="3340" t="s">
        <v>3259</v>
      </c>
      <c r="D26" s="1351">
        <f>IF(E26=G26,F26,IF(G3&lt;10,ROUND(F26+(H26-F26)*(G3-E26)/(G26-E26),4),"——"))</f>
        <v>1.0583</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0" t="s">
        <v>3260</v>
      </c>
      <c r="J26" s="772" t="str">
        <f>IF(G3&gt;=10,D115,"——")</f>
        <v>——</v>
      </c>
      <c r="K26" s="1124"/>
      <c r="L26" s="2783"/>
      <c r="M26" s="2783"/>
      <c r="N26" s="2066" t="s">
        <v>2016</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8"/>
      <c r="L27" s="1994"/>
      <c r="M27" s="1994"/>
      <c r="N27" s="2066" t="s">
        <v>2019</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2020</v>
      </c>
      <c r="C28" s="760">
        <f>SUMIF(A47:A101,E2,B47:B101)</f>
        <v>1.0179</v>
      </c>
      <c r="D28" s="2049"/>
      <c r="E28" s="2074"/>
      <c r="F28" s="2074"/>
      <c r="G28" s="2074"/>
      <c r="H28" s="2074"/>
      <c r="I28" s="2074"/>
      <c r="J28" s="2075"/>
      <c r="K28" s="1124"/>
      <c r="L28" s="2783"/>
      <c r="M28" s="2783"/>
      <c r="N28" s="2076"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2022</v>
      </c>
      <c r="C29" s="765"/>
      <c r="D29" s="2021"/>
      <c r="E29" s="2021"/>
      <c r="F29" s="2078"/>
      <c r="G29" s="2021"/>
      <c r="H29" s="2021"/>
      <c r="I29" s="2021"/>
      <c r="J29" s="2022"/>
      <c r="K29" s="1118"/>
      <c r="L29" s="1994"/>
      <c r="M29" s="1994"/>
      <c r="N29" s="2780" t="s">
        <v>2023</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2024</v>
      </c>
      <c r="C30" s="2318">
        <f>IF(B25="容积率修正",E33+SUM(E37:E42),SUM(V2:V16)+SUM(E37:E42))</f>
        <v>3793</v>
      </c>
      <c r="D30" s="2080"/>
      <c r="E30" s="2043"/>
      <c r="F30" s="2081"/>
      <c r="G30" s="2043"/>
      <c r="H30" s="2043"/>
      <c r="I30" s="2043"/>
      <c r="J30" s="2082"/>
      <c r="K30" s="1118"/>
      <c r="L30" s="3346" t="s">
        <v>1936</v>
      </c>
      <c r="M30" s="3347" t="s">
        <v>1990</v>
      </c>
      <c r="N30" s="3347" t="s">
        <v>1991</v>
      </c>
      <c r="O30" s="3347" t="s">
        <v>1992</v>
      </c>
      <c r="P30" s="3347" t="s">
        <v>1993</v>
      </c>
      <c r="Q30" s="3350" t="s">
        <v>3264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2025</v>
      </c>
      <c r="C31" s="766">
        <f>E34+SUM(I37:I42)</f>
        <v>0</v>
      </c>
      <c r="D31" s="2084"/>
      <c r="E31" s="2085"/>
      <c r="F31" s="2086"/>
      <c r="G31" s="2085"/>
      <c r="H31" s="2085"/>
      <c r="I31" s="2085"/>
      <c r="J31" s="2087"/>
      <c r="K31" s="1118"/>
      <c r="L31" s="3348" t="s">
        <v>1996</v>
      </c>
      <c r="M31" s="1997">
        <v>0.25</v>
      </c>
      <c r="N31" s="1997">
        <v>0.2</v>
      </c>
      <c r="O31" s="1997">
        <v>0.15</v>
      </c>
      <c r="P31" s="1997">
        <v>0.1</v>
      </c>
      <c r="Q31" s="3343">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8"/>
      <c r="L32" s="3349" t="s">
        <v>1999</v>
      </c>
      <c r="M32" s="2567">
        <f>ROUND($E$24*(1+M31),3)</f>
        <v>5.3999999999999999E-2</v>
      </c>
      <c r="N32" s="2567">
        <f>ROUND($E$24*(1+N31),3)</f>
        <v>5.1999999999999998E-2</v>
      </c>
      <c r="O32" s="2567">
        <f>ROUND($E$24*(1+O31),3)</f>
        <v>0.05</v>
      </c>
      <c r="P32" s="2567">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2030</v>
      </c>
      <c r="C33" s="175">
        <f>ROUND(C5*C22*C23*C24*C25*C28,0)</f>
        <v>2453</v>
      </c>
      <c r="D33" s="2095">
        <f>'数据-汇总表'!D3</f>
        <v>15462.6</v>
      </c>
      <c r="E33" s="773">
        <f>ROUND(C33*D33/10000,0)</f>
        <v>3793</v>
      </c>
      <c r="F33" s="3341" t="s">
        <v>3262</v>
      </c>
      <c r="G33" s="2096"/>
      <c r="H33" s="2096"/>
      <c r="I33" s="2096"/>
      <c r="J33" s="2097"/>
      <c r="K33" s="1118"/>
      <c r="L33" s="3344" t="s">
        <v>3265</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2031</v>
      </c>
      <c r="C34" s="187">
        <f>ROUND(IF(E2="工业",C33*M42,IF(B25="楼层修正",SUM(V2:V16)*M41*10000/D34,C33*M41)),0)</f>
        <v>368</v>
      </c>
      <c r="D34" s="2100"/>
      <c r="E34" s="773">
        <f>ROUND(IF(B25="楼层修正",SUM(V2:V16)*M40,C34*D34/10000),0)</f>
        <v>0</v>
      </c>
      <c r="F34" s="2101" t="s">
        <v>2032</v>
      </c>
      <c r="G34" s="2102"/>
      <c r="H34" s="2102"/>
      <c r="I34" s="2102"/>
      <c r="J34" s="2103"/>
      <c r="K34" s="1118"/>
      <c r="L34" s="3344" t="s">
        <v>3266</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2033</v>
      </c>
      <c r="C35" s="3342" t="s">
        <v>3263</v>
      </c>
      <c r="D35" s="2034"/>
      <c r="E35" s="2106"/>
      <c r="F35" s="2106"/>
      <c r="G35" s="2032" t="s">
        <v>2034</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3267</v>
      </c>
      <c r="L36" s="3442">
        <f ca="1">'数据-取费表'!B40</f>
        <v>3.3500000000000002E-2</v>
      </c>
      <c r="M36" s="3353">
        <f ca="1">ROUND($L$36*(1+M31),3)</f>
        <v>4.2000000000000003E-2</v>
      </c>
      <c r="N36" s="3353">
        <f ca="1">ROUND($L$36*(1+N31),3)</f>
        <v>0.04</v>
      </c>
      <c r="O36" s="3353">
        <f ca="1">ROUND($L$36*(1+O31),3)</f>
        <v>3.9E-2</v>
      </c>
      <c r="P36" s="3353">
        <f ca="1">ROUND($L$36*(1+P31),3)</f>
        <v>3.6999999999999998E-2</v>
      </c>
      <c r="Q36" s="3353">
        <f ca="1">ROUND($L$36*(1+Q31),3)</f>
        <v>3.9E-2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655"/>
      <c r="B37" s="2110" t="s">
        <v>2036</v>
      </c>
      <c r="C37" s="175">
        <f>ROUND(D5*C22*C23*C24*C28*F37,0)</f>
        <v>1391</v>
      </c>
      <c r="D37" s="2095"/>
      <c r="E37" s="171">
        <f>ROUND(C37*D37/10000,0)</f>
        <v>0</v>
      </c>
      <c r="F37" s="171">
        <f>SUMIF(修正!A57:A68,G2,修正!B57:B68)</f>
        <v>0.6</v>
      </c>
      <c r="G37" s="171">
        <f>ROUND(IF(E2="工业",C37*$M$42,C37*$M$41),0)</f>
        <v>209</v>
      </c>
      <c r="H37" s="171">
        <f>D37</f>
        <v>0</v>
      </c>
      <c r="I37" s="171">
        <f>ROUND(G37*H37/10000,0)</f>
        <v>0</v>
      </c>
      <c r="J37" s="3007"/>
      <c r="K37" s="3354" t="s">
        <v>3268</v>
      </c>
      <c r="L37" s="3352">
        <f ca="1">L36+K38</f>
        <v>3.85E-2</v>
      </c>
      <c r="M37" s="3353">
        <f ca="1">ROUND($L$37*(1+M31),3)</f>
        <v>4.8000000000000001E-2</v>
      </c>
      <c r="N37" s="3353">
        <f t="shared" ref="N37:Q37" ca="1" si="3">ROUND($L$37*(1+N31),3)</f>
        <v>4.5999999999999999E-2</v>
      </c>
      <c r="O37" s="3353">
        <f t="shared" ca="1" si="3"/>
        <v>4.3999999999999997E-2</v>
      </c>
      <c r="P37" s="3353">
        <f t="shared" ca="1" si="3"/>
        <v>4.2000000000000003E-2</v>
      </c>
      <c r="Q37" s="3353">
        <f t="shared" ca="1" si="3"/>
        <v>4.3999999999999997E-2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656"/>
      <c r="B38" s="2038" t="s">
        <v>2037</v>
      </c>
      <c r="C38" s="175">
        <f>ROUND(D5*C22*C23*C24*C28*F38,0)</f>
        <v>695</v>
      </c>
      <c r="D38" s="2095"/>
      <c r="E38" s="171">
        <f t="shared" ref="E38:E42" si="4">ROUND(C38*D38/10000,0)</f>
        <v>0</v>
      </c>
      <c r="F38" s="171">
        <f>SUMIF(修正!A57:A68,G2,修正!C57:C68)</f>
        <v>0.3</v>
      </c>
      <c r="G38" s="171">
        <f>ROUND(IF(E2="工业",C38*$M$42,C38*$M$41),0)</f>
        <v>104</v>
      </c>
      <c r="H38" s="171">
        <f t="shared" ref="H38:H42" si="5">D38</f>
        <v>0</v>
      </c>
      <c r="I38" s="171">
        <f t="shared" ref="I38:I42" si="6">ROUND(G38*H38/10000,0)</f>
        <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656"/>
      <c r="B39" s="2038" t="s">
        <v>3261</v>
      </c>
      <c r="C39" s="175">
        <f>ROUND(D5*C22*C23*C24*C28*F39,0)</f>
        <v>579</v>
      </c>
      <c r="D39" s="2095"/>
      <c r="E39" s="171">
        <f t="shared" si="4"/>
        <v>0</v>
      </c>
      <c r="F39" s="171">
        <f>SUMIF(修正!A57:A68,G2,修正!D57:D68)</f>
        <v>0.25</v>
      </c>
      <c r="G39" s="171">
        <f>ROUND(IF(E2="工业",C39*$M$42,C39*$M$41),0)</f>
        <v>87</v>
      </c>
      <c r="H39" s="171">
        <f t="shared" si="5"/>
        <v>0</v>
      </c>
      <c r="I39" s="171">
        <f t="shared" si="6"/>
        <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2038</v>
      </c>
      <c r="C40" s="171">
        <f>ROUND(D5*C22*C23*C24*C28*F40,0)</f>
        <v>579</v>
      </c>
      <c r="D40" s="2095"/>
      <c r="E40" s="171">
        <f t="shared" si="4"/>
        <v>0</v>
      </c>
      <c r="F40" s="175">
        <f>SUMIF(修正!A57:A68,G2,修正!E57:E68)</f>
        <v>0.25</v>
      </c>
      <c r="G40" s="171">
        <f>ROUND(IF(E2="工业",C40*$M$42,C40*$M$41),0)</f>
        <v>87</v>
      </c>
      <c r="H40" s="171">
        <f t="shared" si="5"/>
        <v>0</v>
      </c>
      <c r="I40" s="171">
        <f t="shared" si="6"/>
        <v>0</v>
      </c>
      <c r="J40" s="2111"/>
      <c r="L40" s="2113" t="s">
        <v>2039</v>
      </c>
      <c r="M40" s="2114"/>
      <c r="Z40" s="1119"/>
      <c r="AA40" s="1119"/>
      <c r="AB40" s="1119"/>
      <c r="AC40" s="1119"/>
      <c r="AD40" s="1119"/>
      <c r="AE40" s="1119"/>
      <c r="AF40" s="1119"/>
      <c r="AG40" s="1119"/>
      <c r="AH40" s="1119"/>
      <c r="AI40" s="1119"/>
      <c r="AJ40" s="1119"/>
    </row>
    <row r="41" spans="1:37" s="1118"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5" t="s">
        <v>3269</v>
      </c>
      <c r="M41" s="2115">
        <v>0.25</v>
      </c>
      <c r="Z41" s="1119"/>
      <c r="AA41" s="1119"/>
      <c r="AB41" s="1119"/>
      <c r="AC41" s="1119"/>
      <c r="AD41" s="1119"/>
      <c r="AE41" s="1119"/>
      <c r="AF41" s="1119"/>
      <c r="AG41" s="1119"/>
      <c r="AH41" s="1119"/>
      <c r="AI41" s="1119"/>
      <c r="AJ41" s="1119"/>
    </row>
    <row r="42" spans="1:37" s="1118"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2122</v>
      </c>
      <c r="C44" s="342">
        <f>ROUND(POWER(1+E44,H44-G44)*(POWER(1+E44,G44)-1)/(POWER(1+E44,H44)-1),4)</f>
        <v>0</v>
      </c>
      <c r="D44" s="171" t="s">
        <v>1999</v>
      </c>
      <c r="E44" s="2150">
        <f>G24</f>
        <v>0.05</v>
      </c>
      <c r="F44" s="171" t="s">
        <v>2008</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2042</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3" t="s">
        <v>2043</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2052</v>
      </c>
      <c r="B50" s="2130" t="str">
        <f>估价对象房地状况!C4</f>
        <v>估价对象位于XX商圈，周边商业氛围成熟，人流量大，商业繁华度好</v>
      </c>
      <c r="C50" s="2041"/>
      <c r="D50" s="1064">
        <f t="shared" ref="D50:D58" si="7">SUMIF($J$49:$N$49,C50,J50:N50)</f>
        <v>0</v>
      </c>
      <c r="E50" s="744">
        <f>ROUND(SUM(D50:D58),4)</f>
        <v>0</v>
      </c>
      <c r="F50" s="1811" t="str">
        <f>IF(E2="商业",SUMIF(L1:L12,G2,N1:N12),"——")</f>
        <v>——</v>
      </c>
      <c r="G50" s="1062"/>
      <c r="H50" s="1065" t="str">
        <f t="shared" ref="H50:H58" si="8">IFERROR(ROUNDDOWN($F$50*I50/2,4),"——")</f>
        <v>——</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7" t="s">
        <v>2053</v>
      </c>
      <c r="B51" s="2131" t="str">
        <f>估价对象房地状况!C18</f>
        <v>估价对象周边道路状况、公共交通通达情况、停车便捷程度，综合评价交通便捷度较好</v>
      </c>
      <c r="C51" s="2041"/>
      <c r="D51" s="1064">
        <f t="shared" si="7"/>
        <v>0</v>
      </c>
      <c r="E51" s="745"/>
      <c r="F51" s="1811"/>
      <c r="G51" s="1062"/>
      <c r="H51" s="1065" t="str">
        <f t="shared" si="8"/>
        <v>——</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4" t="s">
        <v>3271</v>
      </c>
      <c r="B52" s="2131">
        <f>估价对象房地状况!C19</f>
        <v>0</v>
      </c>
      <c r="C52" s="2041"/>
      <c r="D52" s="1064">
        <f t="shared" si="7"/>
        <v>0</v>
      </c>
      <c r="E52" s="745"/>
      <c r="F52" s="1811"/>
      <c r="G52" s="1062"/>
      <c r="H52" s="1065" t="str">
        <f t="shared" si="8"/>
        <v>——</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7" t="s">
        <v>2054</v>
      </c>
      <c r="B53" s="2132" t="s">
        <v>2055</v>
      </c>
      <c r="C53" s="2041"/>
      <c r="D53" s="1064">
        <f t="shared" si="7"/>
        <v>0</v>
      </c>
      <c r="E53" s="745"/>
      <c r="F53" s="1811"/>
      <c r="G53" s="1062"/>
      <c r="H53" s="1065" t="str">
        <f t="shared" si="8"/>
        <v>——</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7" t="s">
        <v>2056</v>
      </c>
      <c r="B54" s="2131">
        <f>估价对象房地状况!C24</f>
        <v>0</v>
      </c>
      <c r="C54" s="2041"/>
      <c r="D54" s="1064">
        <f t="shared" si="7"/>
        <v>0</v>
      </c>
      <c r="E54" s="745"/>
      <c r="F54" s="1811"/>
      <c r="G54" s="1062"/>
      <c r="H54" s="1065" t="str">
        <f t="shared" si="8"/>
        <v>——</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7" t="s">
        <v>2057</v>
      </c>
      <c r="B55" s="2133" t="s">
        <v>2058</v>
      </c>
      <c r="C55" s="2041"/>
      <c r="D55" s="1064">
        <f t="shared" si="7"/>
        <v>0</v>
      </c>
      <c r="E55" s="745"/>
      <c r="F55" s="1811"/>
      <c r="G55" s="1062"/>
      <c r="H55" s="1065" t="str">
        <f t="shared" si="8"/>
        <v>——</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4" t="s">
        <v>2059</v>
      </c>
      <c r="B56" s="1325" t="str">
        <f>估价对象房地状况!C21</f>
        <v>估价对象所在区域公共配套设施齐备情况</v>
      </c>
      <c r="C56" s="2041"/>
      <c r="D56" s="1064">
        <f t="shared" si="7"/>
        <v>0</v>
      </c>
      <c r="E56" s="745"/>
      <c r="F56" s="1811"/>
      <c r="G56" s="1062"/>
      <c r="H56" s="1065" t="str">
        <f t="shared" si="8"/>
        <v>——</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4" t="s">
        <v>2060</v>
      </c>
      <c r="B57" s="2131" t="str">
        <f>估价对象房地状况!C22</f>
        <v>估价对象所在区域基础设施水平</v>
      </c>
      <c r="C57" s="2041"/>
      <c r="D57" s="1064">
        <f t="shared" si="7"/>
        <v>0</v>
      </c>
      <c r="E57" s="745"/>
      <c r="F57" s="1811"/>
      <c r="G57" s="1062"/>
      <c r="H57" s="1065" t="str">
        <f t="shared" si="8"/>
        <v>——</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5" t="s">
        <v>2061</v>
      </c>
      <c r="B58" s="2136" t="str">
        <f>估价对象房地状况!C20</f>
        <v>区域自然环境：；人文环境；综合评价环境状况一般</v>
      </c>
      <c r="C58" s="2041"/>
      <c r="D58" s="1064">
        <f t="shared" si="7"/>
        <v>0</v>
      </c>
      <c r="E58" s="746"/>
      <c r="F58" s="1811"/>
      <c r="G58" s="1062"/>
      <c r="H58" s="1065" t="str">
        <f t="shared" si="8"/>
        <v>——</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3" t="s">
        <v>2062</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2064</v>
      </c>
      <c r="B61" s="2130" t="str">
        <f>估价对象房地状况!C17</f>
        <v>估价对象位于XX商圈，周边办公楼项目较多，入驻率高，办公集聚程度较好</v>
      </c>
      <c r="C61" s="2041"/>
      <c r="D61" s="1064">
        <f t="shared" ref="D61:D69" si="12">SUMIF($J$60:$N$60,C61,J61:N61)</f>
        <v>0</v>
      </c>
      <c r="E61" s="744">
        <f>ROUND(SUM(D61:D69),4)</f>
        <v>0</v>
      </c>
      <c r="F61" s="1811"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7" t="s">
        <v>2053</v>
      </c>
      <c r="B62" s="2131" t="str">
        <f>估价对象房地状况!C18</f>
        <v>估价对象周边道路状况、公共交通通达情况、停车便捷程度，综合评价交通便捷度较好</v>
      </c>
      <c r="C62" s="2041"/>
      <c r="D62" s="1064">
        <f t="shared" si="12"/>
        <v>0</v>
      </c>
      <c r="E62" s="745"/>
      <c r="F62" s="1811"/>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4" t="s">
        <v>3271</v>
      </c>
      <c r="B63" s="2131">
        <f>估价对象房地状况!C19</f>
        <v>0</v>
      </c>
      <c r="C63" s="2041"/>
      <c r="D63" s="1064">
        <f t="shared" si="12"/>
        <v>0</v>
      </c>
      <c r="E63" s="745"/>
      <c r="F63" s="1811"/>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7" t="s">
        <v>2054</v>
      </c>
      <c r="B64" s="2132" t="s">
        <v>2055</v>
      </c>
      <c r="C64" s="2041"/>
      <c r="D64" s="1064">
        <f t="shared" si="12"/>
        <v>0</v>
      </c>
      <c r="E64" s="745"/>
      <c r="F64" s="1811"/>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7" t="s">
        <v>2056</v>
      </c>
      <c r="B65" s="2131">
        <f>估价对象房地状况!C24</f>
        <v>0</v>
      </c>
      <c r="C65" s="2041"/>
      <c r="D65" s="1064">
        <f t="shared" si="12"/>
        <v>0</v>
      </c>
      <c r="E65" s="745"/>
      <c r="F65" s="1811"/>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7" t="s">
        <v>2057</v>
      </c>
      <c r="B66" s="2133" t="s">
        <v>2058</v>
      </c>
      <c r="C66" s="2041"/>
      <c r="D66" s="1064">
        <f t="shared" si="12"/>
        <v>0</v>
      </c>
      <c r="E66" s="745"/>
      <c r="F66" s="1811"/>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7" t="s">
        <v>2059</v>
      </c>
      <c r="B67" s="1325" t="str">
        <f>估价对象房地状况!C21</f>
        <v>估价对象所在区域公共配套设施齐备情况</v>
      </c>
      <c r="C67" s="2041"/>
      <c r="D67" s="1064">
        <f t="shared" si="12"/>
        <v>0</v>
      </c>
      <c r="E67" s="745"/>
      <c r="F67" s="1811"/>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7" t="s">
        <v>2060</v>
      </c>
      <c r="B68" s="1325" t="str">
        <f>估价对象房地状况!C22</f>
        <v>估价对象所在区域基础设施水平</v>
      </c>
      <c r="C68" s="2041"/>
      <c r="D68" s="1064">
        <f t="shared" si="12"/>
        <v>0</v>
      </c>
      <c r="E68" s="745"/>
      <c r="F68" s="1811"/>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5" t="s">
        <v>2061</v>
      </c>
      <c r="B69" s="2137" t="str">
        <f>估价对象房地状况!C20</f>
        <v>区域自然环境：；人文环境；综合评价环境状况一般</v>
      </c>
      <c r="C69" s="2041"/>
      <c r="D69" s="1064">
        <f t="shared" si="12"/>
        <v>0</v>
      </c>
      <c r="E69" s="746"/>
      <c r="F69" s="1811"/>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3" t="s">
        <v>2065</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2066</v>
      </c>
      <c r="B72" s="2130" t="str">
        <f>估价对象房地状况!C15</f>
        <v>估价对象周边居住用地比例、居住小区规模和社区发展完善程度，综合评价居住社区成熟度一般</v>
      </c>
      <c r="C72" s="2041"/>
      <c r="D72" s="1064">
        <f t="shared" ref="D72:D80" si="17">SUMIF($J$71:$N$71,C72,J72:N72)</f>
        <v>0</v>
      </c>
      <c r="E72" s="744">
        <f>ROUND(SUM(D72:D80),4)</f>
        <v>0</v>
      </c>
      <c r="F72" s="1811"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7" t="s">
        <v>2053</v>
      </c>
      <c r="B73" s="2131" t="str">
        <f>估价对象房地状况!C18</f>
        <v>估价对象周边道路状况、公共交通通达情况、停车便捷程度，综合评价交通便捷度较好</v>
      </c>
      <c r="C73" s="2041"/>
      <c r="D73" s="1064">
        <f t="shared" si="17"/>
        <v>0</v>
      </c>
      <c r="E73" s="747"/>
      <c r="F73" s="1811"/>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4" customFormat="1" ht="36">
      <c r="A74" s="3364" t="s">
        <v>3271</v>
      </c>
      <c r="B74" s="2131">
        <f>估价对象房地状况!C19</f>
        <v>0</v>
      </c>
      <c r="C74" s="2041"/>
      <c r="D74" s="1064">
        <f t="shared" si="17"/>
        <v>0</v>
      </c>
      <c r="E74" s="747"/>
      <c r="F74" s="1811"/>
      <c r="G74" s="1062"/>
      <c r="H74" s="1065" t="str">
        <f t="shared" si="18"/>
        <v>——</v>
      </c>
      <c r="I74" s="3362">
        <v>0.1</v>
      </c>
      <c r="J74" s="1063">
        <f t="shared" si="19"/>
        <v>0</v>
      </c>
      <c r="K74" s="1063">
        <f t="shared" si="20"/>
        <v>0</v>
      </c>
      <c r="L74" s="1063">
        <v>0</v>
      </c>
      <c r="M74" s="1063">
        <f t="shared" si="21"/>
        <v>0</v>
      </c>
      <c r="N74" s="1063">
        <f t="shared" si="21"/>
        <v>0</v>
      </c>
      <c r="O74" s="1118"/>
      <c r="P74" s="1118"/>
      <c r="Q74" s="1118"/>
      <c r="AA74" s="2138"/>
      <c r="AB74" s="1119"/>
      <c r="AC74" s="1119"/>
      <c r="AD74" s="1119"/>
      <c r="AE74" s="1119"/>
      <c r="AF74" s="1119"/>
      <c r="AG74" s="1119"/>
      <c r="AH74" s="2138"/>
      <c r="AI74" s="2138"/>
      <c r="AJ74" s="2138"/>
      <c r="AK74" s="2138"/>
    </row>
    <row r="75" spans="1:37" ht="14.25">
      <c r="A75" s="2127" t="s">
        <v>2067</v>
      </c>
      <c r="B75" s="2131">
        <f>估价对象房地状况!C24</f>
        <v>0</v>
      </c>
      <c r="C75" s="2041"/>
      <c r="D75" s="1064">
        <f t="shared" si="17"/>
        <v>0</v>
      </c>
      <c r="E75" s="747"/>
      <c r="F75" s="1811"/>
      <c r="G75" s="1062"/>
      <c r="H75" s="1065" t="str">
        <f t="shared" si="18"/>
        <v>——</v>
      </c>
      <c r="I75" s="3362">
        <v>0.05</v>
      </c>
      <c r="J75" s="1063">
        <f t="shared" si="19"/>
        <v>0</v>
      </c>
      <c r="K75" s="1063">
        <f t="shared" si="20"/>
        <v>0</v>
      </c>
      <c r="L75" s="1063">
        <v>0</v>
      </c>
      <c r="M75" s="1063">
        <f t="shared" si="21"/>
        <v>0</v>
      </c>
      <c r="N75" s="1063">
        <f t="shared" si="21"/>
        <v>0</v>
      </c>
      <c r="O75" s="1118"/>
      <c r="P75" s="1118"/>
      <c r="Q75" s="1994"/>
      <c r="Z75" s="1995"/>
      <c r="AA75" s="2050"/>
      <c r="AG75" s="1120"/>
      <c r="AK75" s="2050"/>
    </row>
    <row r="76" spans="1:37" ht="25.5">
      <c r="A76" s="2127" t="s">
        <v>2059</v>
      </c>
      <c r="B76" s="1325" t="str">
        <f>估价对象房地状况!C21</f>
        <v>估价对象所在区域公共配套设施齐备情况</v>
      </c>
      <c r="C76" s="2041"/>
      <c r="D76" s="1064">
        <f t="shared" si="17"/>
        <v>0</v>
      </c>
      <c r="E76" s="747"/>
      <c r="F76" s="1811"/>
      <c r="G76" s="1062"/>
      <c r="H76" s="1065" t="str">
        <f t="shared" si="18"/>
        <v>——</v>
      </c>
      <c r="I76" s="3362">
        <v>0.08</v>
      </c>
      <c r="J76" s="1063">
        <f t="shared" si="19"/>
        <v>0</v>
      </c>
      <c r="K76" s="1063">
        <f t="shared" si="20"/>
        <v>0</v>
      </c>
      <c r="L76" s="1063">
        <v>0</v>
      </c>
      <c r="M76" s="1063">
        <f t="shared" si="21"/>
        <v>0</v>
      </c>
      <c r="N76" s="1063">
        <f t="shared" si="21"/>
        <v>0</v>
      </c>
      <c r="O76" s="1118"/>
      <c r="P76" s="1118"/>
      <c r="Z76" s="1995"/>
      <c r="AA76" s="2050"/>
      <c r="AG76" s="1120"/>
      <c r="AK76" s="2050"/>
    </row>
    <row r="77" spans="1:37" ht="25.5">
      <c r="A77" s="2127" t="s">
        <v>2060</v>
      </c>
      <c r="B77" s="1325" t="str">
        <f>估价对象房地状况!C22</f>
        <v>估价对象所在区域基础设施水平</v>
      </c>
      <c r="C77" s="2041"/>
      <c r="D77" s="1064">
        <f t="shared" si="17"/>
        <v>0</v>
      </c>
      <c r="E77" s="747"/>
      <c r="F77" s="1811"/>
      <c r="G77" s="1062"/>
      <c r="H77" s="1065" t="str">
        <f t="shared" si="18"/>
        <v>——</v>
      </c>
      <c r="I77" s="3362">
        <v>0.09</v>
      </c>
      <c r="J77" s="1063">
        <f t="shared" si="19"/>
        <v>0</v>
      </c>
      <c r="K77" s="1063">
        <f t="shared" si="20"/>
        <v>0</v>
      </c>
      <c r="L77" s="1063">
        <v>0</v>
      </c>
      <c r="M77" s="1063">
        <f t="shared" si="21"/>
        <v>0</v>
      </c>
      <c r="N77" s="1063">
        <f t="shared" si="21"/>
        <v>0</v>
      </c>
      <c r="O77" s="1118"/>
      <c r="P77" s="1118"/>
      <c r="Z77" s="1995"/>
      <c r="AA77" s="2050"/>
      <c r="AG77" s="1120"/>
      <c r="AK77" s="2050"/>
    </row>
    <row r="78" spans="1:37" ht="24">
      <c r="A78" s="2127" t="s">
        <v>2057</v>
      </c>
      <c r="B78" s="2133" t="s">
        <v>2058</v>
      </c>
      <c r="C78" s="2041"/>
      <c r="D78" s="1064">
        <f t="shared" si="17"/>
        <v>0</v>
      </c>
      <c r="E78" s="747"/>
      <c r="F78" s="1811"/>
      <c r="G78" s="1062"/>
      <c r="H78" s="1065" t="str">
        <f t="shared" si="18"/>
        <v>——</v>
      </c>
      <c r="I78" s="3362">
        <v>0.05</v>
      </c>
      <c r="J78" s="1063">
        <f t="shared" si="19"/>
        <v>0</v>
      </c>
      <c r="K78" s="1063">
        <f t="shared" si="20"/>
        <v>0</v>
      </c>
      <c r="L78" s="1063">
        <v>0</v>
      </c>
      <c r="M78" s="1063">
        <f t="shared" si="21"/>
        <v>0</v>
      </c>
      <c r="N78" s="1063">
        <f t="shared" si="21"/>
        <v>0</v>
      </c>
      <c r="O78" s="1994"/>
      <c r="P78" s="1994"/>
      <c r="Z78" s="1995"/>
      <c r="AA78" s="2050"/>
      <c r="AG78" s="1120"/>
      <c r="AK78" s="2050"/>
    </row>
    <row r="79" spans="1:37" ht="25.5">
      <c r="A79" s="2127" t="s">
        <v>2061</v>
      </c>
      <c r="B79" s="2130" t="str">
        <f>估价对象房地状况!C20</f>
        <v>区域自然环境：；人文环境；综合评价环境状况一般</v>
      </c>
      <c r="C79" s="2041"/>
      <c r="D79" s="1064">
        <f t="shared" si="17"/>
        <v>0</v>
      </c>
      <c r="E79" s="747"/>
      <c r="F79" s="1811"/>
      <c r="G79" s="1062"/>
      <c r="H79" s="1065" t="str">
        <f t="shared" si="18"/>
        <v>——</v>
      </c>
      <c r="I79" s="3362">
        <v>0.12</v>
      </c>
      <c r="J79" s="1063">
        <f t="shared" si="19"/>
        <v>0</v>
      </c>
      <c r="K79" s="1063">
        <f t="shared" si="20"/>
        <v>0</v>
      </c>
      <c r="L79" s="1063">
        <v>0</v>
      </c>
      <c r="M79" s="1063">
        <f t="shared" si="21"/>
        <v>0</v>
      </c>
      <c r="N79" s="1063">
        <f t="shared" si="21"/>
        <v>0</v>
      </c>
      <c r="Z79" s="1995"/>
      <c r="AA79" s="2050"/>
      <c r="AG79" s="1120"/>
      <c r="AK79" s="2050"/>
    </row>
    <row r="80" spans="1:37" ht="24.75" thickBot="1">
      <c r="A80" s="2135" t="s">
        <v>2068</v>
      </c>
      <c r="B80" s="2139"/>
      <c r="C80" s="2041"/>
      <c r="D80" s="1064">
        <f t="shared" si="17"/>
        <v>0</v>
      </c>
      <c r="E80" s="748"/>
      <c r="F80" s="1811"/>
      <c r="G80" s="1062"/>
      <c r="H80" s="1065" t="str">
        <f t="shared" si="18"/>
        <v>——</v>
      </c>
      <c r="I80" s="3363">
        <v>0.05</v>
      </c>
      <c r="J80" s="1063">
        <f t="shared" si="19"/>
        <v>0</v>
      </c>
      <c r="K80" s="1063">
        <f t="shared" si="20"/>
        <v>0</v>
      </c>
      <c r="L80" s="1063">
        <v>0</v>
      </c>
      <c r="M80" s="1063">
        <f t="shared" si="21"/>
        <v>0</v>
      </c>
      <c r="N80" s="1063">
        <f t="shared" si="21"/>
        <v>0</v>
      </c>
      <c r="Z80" s="1995"/>
      <c r="AA80" s="2050"/>
      <c r="AG80" s="1120"/>
      <c r="AK80" s="2050"/>
    </row>
    <row r="81" spans="1:37" ht="15">
      <c r="A81" s="2123" t="s">
        <v>2069</v>
      </c>
      <c r="B81" s="2124">
        <f>1+E83</f>
        <v>1.0179</v>
      </c>
      <c r="C81" s="741"/>
      <c r="D81" s="741"/>
      <c r="E81" s="742"/>
      <c r="F81" s="2126"/>
      <c r="G81" s="3"/>
      <c r="H81" s="3"/>
      <c r="I81" s="3"/>
      <c r="J81" s="4"/>
      <c r="K81" s="4"/>
      <c r="L81" s="4"/>
      <c r="M81" s="4"/>
      <c r="N81" s="4"/>
      <c r="Z81" s="1995"/>
      <c r="AA81" s="2050"/>
      <c r="AG81" s="1120"/>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0"/>
      <c r="AK82" s="2050"/>
    </row>
    <row r="83" spans="1:37" ht="38.25">
      <c r="A83" s="2127" t="s">
        <v>2070</v>
      </c>
      <c r="B83" s="2131" t="str">
        <f>估价对象房地状况!G15</f>
        <v>估价对象位于XX开发区，园区建设成熟度XX，产业集聚程度XX</v>
      </c>
      <c r="C83" s="2041" t="s">
        <v>3412</v>
      </c>
      <c r="D83" s="1064">
        <f t="shared" ref="D83:D90" si="22">SUMIF($J$82:$N$82,C83,J83:N83)</f>
        <v>6.4999999999999997E-3</v>
      </c>
      <c r="E83" s="744">
        <f>ROUND(SUM(D83:D90),4)</f>
        <v>1.7899999999999999E-2</v>
      </c>
      <c r="F83" s="1811">
        <f>IF(E2="工业",SUMIF(L1:L12,G2,N1:N12),"——")</f>
        <v>0.05</v>
      </c>
      <c r="G83" s="1062">
        <v>6.4999999999999997E-3</v>
      </c>
      <c r="H83" s="1065">
        <f t="shared" ref="H83:H90" si="23">IFERROR(ROUNDDOWN($F$83*I83/2,4),"——")</f>
        <v>6.4999999999999997E-3</v>
      </c>
      <c r="I83" s="3362">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5"/>
      <c r="AA83" s="2050"/>
      <c r="AG83" s="1120"/>
      <c r="AK83" s="2050"/>
    </row>
    <row r="84" spans="1:37" ht="38.25">
      <c r="A84" s="2127" t="s">
        <v>2053</v>
      </c>
      <c r="B84" s="2131" t="str">
        <f>估价对象房地状况!G16</f>
        <v>估价对象周边道路状况、公共交通通达情况、停车便捷程度，综合评价交通便捷度较好</v>
      </c>
      <c r="C84" s="2041" t="s">
        <v>3411</v>
      </c>
      <c r="D84" s="1064">
        <f t="shared" si="22"/>
        <v>0</v>
      </c>
      <c r="E84" s="747"/>
      <c r="F84" s="1811"/>
      <c r="G84" s="1062">
        <v>7.4999999999999997E-3</v>
      </c>
      <c r="H84" s="1065">
        <f t="shared" si="23"/>
        <v>7.4999999999999997E-3</v>
      </c>
      <c r="I84" s="3362">
        <v>0.3</v>
      </c>
      <c r="J84" s="1063">
        <f t="shared" si="24"/>
        <v>1.4999999999999999E-2</v>
      </c>
      <c r="K84" s="1063">
        <f t="shared" si="25"/>
        <v>7.4999999999999997E-3</v>
      </c>
      <c r="L84" s="1063">
        <v>0</v>
      </c>
      <c r="M84" s="1063">
        <f t="shared" si="26"/>
        <v>-7.4999999999999997E-3</v>
      </c>
      <c r="N84" s="1063">
        <f t="shared" si="26"/>
        <v>-1.4999999999999999E-2</v>
      </c>
      <c r="Z84" s="1995"/>
      <c r="AA84" s="2050"/>
      <c r="AG84" s="1120"/>
      <c r="AK84" s="2050"/>
    </row>
    <row r="85" spans="1:37" ht="36">
      <c r="A85" s="3364" t="s">
        <v>3272</v>
      </c>
      <c r="B85" s="2131">
        <f>估价对象房地状况!G17</f>
        <v>0</v>
      </c>
      <c r="C85" s="2041" t="s">
        <v>3411</v>
      </c>
      <c r="D85" s="1064">
        <f t="shared" si="22"/>
        <v>0</v>
      </c>
      <c r="E85" s="747"/>
      <c r="F85" s="1811"/>
      <c r="G85" s="1062">
        <v>2.5000000000000001E-3</v>
      </c>
      <c r="H85" s="1065">
        <f t="shared" si="23"/>
        <v>2.5000000000000001E-3</v>
      </c>
      <c r="I85" s="3362">
        <v>0.1</v>
      </c>
      <c r="J85" s="1063">
        <f t="shared" si="24"/>
        <v>5.0000000000000001E-3</v>
      </c>
      <c r="K85" s="1063">
        <f t="shared" si="25"/>
        <v>2.5000000000000001E-3</v>
      </c>
      <c r="L85" s="1063">
        <v>0</v>
      </c>
      <c r="M85" s="1063">
        <f t="shared" si="26"/>
        <v>-2.5000000000000001E-3</v>
      </c>
      <c r="N85" s="1063">
        <f t="shared" si="26"/>
        <v>-5.0000000000000001E-3</v>
      </c>
      <c r="Z85" s="1995"/>
      <c r="AA85" s="2050"/>
      <c r="AG85" s="1120"/>
      <c r="AK85" s="2050"/>
    </row>
    <row r="86" spans="1:37" ht="14.25">
      <c r="A86" s="2127" t="s">
        <v>2067</v>
      </c>
      <c r="B86" s="2131">
        <f>估价对象房地状况!G22</f>
        <v>0</v>
      </c>
      <c r="C86" s="2041" t="s">
        <v>3413</v>
      </c>
      <c r="D86" s="1064">
        <f t="shared" si="22"/>
        <v>2.3999999999999998E-3</v>
      </c>
      <c r="E86" s="747"/>
      <c r="F86" s="1811"/>
      <c r="G86" s="1062">
        <v>1.1999999999999999E-3</v>
      </c>
      <c r="H86" s="1065">
        <f t="shared" si="23"/>
        <v>1.1999999999999999E-3</v>
      </c>
      <c r="I86" s="3362">
        <v>0.05</v>
      </c>
      <c r="J86" s="1063">
        <f t="shared" si="24"/>
        <v>2.3999999999999998E-3</v>
      </c>
      <c r="K86" s="1063">
        <f t="shared" si="25"/>
        <v>1.1999999999999999E-3</v>
      </c>
      <c r="L86" s="1063">
        <v>0</v>
      </c>
      <c r="M86" s="1063">
        <f t="shared" si="26"/>
        <v>-1.1999999999999999E-3</v>
      </c>
      <c r="N86" s="1063">
        <f t="shared" si="26"/>
        <v>-2.3999999999999998E-3</v>
      </c>
      <c r="Z86" s="1995"/>
      <c r="AA86" s="2050"/>
      <c r="AG86" s="1120"/>
      <c r="AK86" s="2050"/>
    </row>
    <row r="87" spans="1:37" ht="25.5">
      <c r="A87" s="2127" t="s">
        <v>2059</v>
      </c>
      <c r="B87" s="1325" t="str">
        <f>估价对象房地状况!G19</f>
        <v>估价对象所在区域公共配套设施齐备情况</v>
      </c>
      <c r="C87" s="2041" t="s">
        <v>3412</v>
      </c>
      <c r="D87" s="1064">
        <f t="shared" si="22"/>
        <v>1.5E-3</v>
      </c>
      <c r="E87" s="747"/>
      <c r="F87" s="1811"/>
      <c r="G87" s="1062">
        <v>1.5E-3</v>
      </c>
      <c r="H87" s="1065">
        <f t="shared" si="23"/>
        <v>1.5E-3</v>
      </c>
      <c r="I87" s="3362">
        <v>0.06</v>
      </c>
      <c r="J87" s="1063">
        <f t="shared" si="24"/>
        <v>3.0000000000000001E-3</v>
      </c>
      <c r="K87" s="1063">
        <f t="shared" si="25"/>
        <v>1.5E-3</v>
      </c>
      <c r="L87" s="1063">
        <v>0</v>
      </c>
      <c r="M87" s="1063">
        <f t="shared" si="26"/>
        <v>-1.5E-3</v>
      </c>
      <c r="N87" s="1063">
        <f t="shared" si="26"/>
        <v>-3.0000000000000001E-3</v>
      </c>
    </row>
    <row r="88" spans="1:37" ht="25.5">
      <c r="A88" s="2127" t="s">
        <v>2060</v>
      </c>
      <c r="B88" s="1325" t="str">
        <f>估价对象房地状况!G20</f>
        <v>估价对象所在区域基础设施水平</v>
      </c>
      <c r="C88" s="2041" t="s">
        <v>3413</v>
      </c>
      <c r="D88" s="1064">
        <f t="shared" si="22"/>
        <v>6.0000000000000001E-3</v>
      </c>
      <c r="E88" s="747"/>
      <c r="F88" s="1811"/>
      <c r="G88" s="1062">
        <v>3.0000000000000001E-3</v>
      </c>
      <c r="H88" s="1065">
        <f t="shared" si="23"/>
        <v>3.0000000000000001E-3</v>
      </c>
      <c r="I88" s="3362">
        <v>0.12</v>
      </c>
      <c r="J88" s="1063">
        <f t="shared" si="24"/>
        <v>6.0000000000000001E-3</v>
      </c>
      <c r="K88" s="1063">
        <f t="shared" si="25"/>
        <v>3.0000000000000001E-3</v>
      </c>
      <c r="L88" s="1063">
        <v>0</v>
      </c>
      <c r="M88" s="1063">
        <f t="shared" si="26"/>
        <v>-3.0000000000000001E-3</v>
      </c>
      <c r="N88" s="1063">
        <f t="shared" si="26"/>
        <v>-6.0000000000000001E-3</v>
      </c>
    </row>
    <row r="89" spans="1:37" ht="24">
      <c r="A89" s="2127" t="s">
        <v>2057</v>
      </c>
      <c r="B89" s="2133" t="s">
        <v>2071</v>
      </c>
      <c r="C89" s="2041" t="s">
        <v>3412</v>
      </c>
      <c r="D89" s="1064">
        <f t="shared" si="22"/>
        <v>1.5E-3</v>
      </c>
      <c r="E89" s="747"/>
      <c r="F89" s="1811"/>
      <c r="G89" s="1062">
        <v>1.5E-3</v>
      </c>
      <c r="H89" s="1065">
        <f t="shared" si="23"/>
        <v>1.5E-3</v>
      </c>
      <c r="I89" s="3362">
        <v>0.06</v>
      </c>
      <c r="J89" s="1063">
        <f t="shared" si="24"/>
        <v>3.0000000000000001E-3</v>
      </c>
      <c r="K89" s="1063">
        <f t="shared" si="25"/>
        <v>1.5E-3</v>
      </c>
      <c r="L89" s="1063">
        <v>0</v>
      </c>
      <c r="M89" s="1063">
        <f t="shared" si="26"/>
        <v>-1.5E-3</v>
      </c>
      <c r="N89" s="1063">
        <f t="shared" si="26"/>
        <v>-3.0000000000000001E-3</v>
      </c>
    </row>
    <row r="90" spans="1:37" ht="39" thickBot="1">
      <c r="A90" s="2135" t="s">
        <v>2072</v>
      </c>
      <c r="B90" s="2140" t="str">
        <f>估价对象房地状况!G18</f>
        <v>该园区内是否有污染型企业，绿化情况，卫生条件，整体环境状况判断</v>
      </c>
      <c r="C90" s="2041" t="s">
        <v>3411</v>
      </c>
      <c r="D90" s="1064">
        <f t="shared" si="22"/>
        <v>0</v>
      </c>
      <c r="E90" s="748"/>
      <c r="F90" s="1811"/>
      <c r="G90" s="1062">
        <v>1.1999999999999999E-3</v>
      </c>
      <c r="H90" s="1065">
        <f t="shared" si="23"/>
        <v>1.1999999999999999E-3</v>
      </c>
      <c r="I90" s="3363">
        <v>0.05</v>
      </c>
      <c r="J90" s="1063">
        <f t="shared" si="24"/>
        <v>2.3999999999999998E-3</v>
      </c>
      <c r="K90" s="1063">
        <f t="shared" si="25"/>
        <v>1.1999999999999999E-3</v>
      </c>
      <c r="L90" s="1063">
        <v>0</v>
      </c>
      <c r="M90" s="1063">
        <f t="shared" si="26"/>
        <v>-1.1999999999999999E-3</v>
      </c>
      <c r="N90" s="1063">
        <f t="shared" si="26"/>
        <v>-2.3999999999999998E-3</v>
      </c>
    </row>
    <row r="91" spans="1:37" ht="15">
      <c r="A91" s="3372" t="s">
        <v>2614</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5"/>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53" t="s">
        <v>3296</v>
      </c>
      <c r="B103" s="3653"/>
      <c r="C103" s="3653"/>
      <c r="D103" s="3653"/>
      <c r="E103" s="3653"/>
      <c r="F103" s="3653"/>
      <c r="G103" s="3653"/>
      <c r="H103" s="3653"/>
      <c r="I103" s="3653"/>
      <c r="J103" s="3653"/>
      <c r="K103" s="3385"/>
      <c r="L103" s="3385"/>
      <c r="M103" s="3385"/>
      <c r="N103" s="3385"/>
    </row>
    <row r="104" spans="1:14">
      <c r="A104" s="3654" t="s">
        <v>3297</v>
      </c>
      <c r="B104" s="3654" t="s">
        <v>3298</v>
      </c>
      <c r="C104" s="3386" t="s">
        <v>3299</v>
      </c>
      <c r="D104" s="3387"/>
      <c r="E104" s="3387"/>
      <c r="F104" s="3387"/>
      <c r="G104" s="3387"/>
      <c r="H104" s="3387"/>
      <c r="I104" s="3387"/>
      <c r="J104" s="3388"/>
      <c r="K104" s="3389"/>
      <c r="L104" s="3389"/>
      <c r="M104" s="3389"/>
      <c r="N104" s="3389"/>
    </row>
    <row r="105" spans="1:14">
      <c r="A105" s="3654"/>
      <c r="B105" s="3654"/>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640"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4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4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4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4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41"/>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42"/>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43" t="s">
        <v>3313</v>
      </c>
      <c r="B113" s="3643"/>
      <c r="C113" s="3643"/>
      <c r="D113" s="3643"/>
      <c r="E113" s="3643"/>
      <c r="F113" s="3643"/>
      <c r="G113" s="3643"/>
      <c r="H113" s="3643"/>
      <c r="I113" s="3643"/>
      <c r="J113" s="364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1</v>
      </c>
      <c r="C116" s="3395" t="s">
        <v>3315</v>
      </c>
      <c r="D116" s="3396">
        <f>SUMPRODUCT((A118:A122=F116)*(B117:M117=H116)*B118:M122)</f>
        <v>0.64319999999999999</v>
      </c>
      <c r="E116" s="1997" t="s">
        <v>3316</v>
      </c>
      <c r="F116" s="3397" t="str">
        <f>E2</f>
        <v>工业</v>
      </c>
      <c r="G116" s="1997" t="s">
        <v>3317</v>
      </c>
      <c r="H116" s="3397" t="str">
        <f>G2</f>
        <v>六级</v>
      </c>
      <c r="I116" s="1997"/>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0.98580000000000001</v>
      </c>
      <c r="C118" s="3383">
        <f>B118</f>
        <v>0.98580000000000001</v>
      </c>
      <c r="D118" s="3383">
        <f>ROUND(0.949-0.014*B116,4)</f>
        <v>0.93500000000000005</v>
      </c>
      <c r="E118" s="3383">
        <f>D118</f>
        <v>0.93500000000000005</v>
      </c>
      <c r="F118" s="3383">
        <f>E118</f>
        <v>0.93500000000000005</v>
      </c>
      <c r="G118" s="3383">
        <f>F118</f>
        <v>0.93500000000000005</v>
      </c>
      <c r="H118" s="3383">
        <f>G118</f>
        <v>0.93500000000000005</v>
      </c>
      <c r="I118" s="3383">
        <f>ROUND(0.8486-0.018*B116,4)</f>
        <v>0.8306</v>
      </c>
      <c r="J118" s="3383">
        <f t="shared" ref="J118:M122" si="35">I118</f>
        <v>0.8306</v>
      </c>
      <c r="K118" s="3383">
        <f t="shared" si="35"/>
        <v>0.8306</v>
      </c>
      <c r="L118" s="3383">
        <f t="shared" si="35"/>
        <v>0.8306</v>
      </c>
      <c r="M118" s="3406">
        <f t="shared" si="35"/>
        <v>0.8306</v>
      </c>
      <c r="N118" s="3393"/>
    </row>
    <row r="119" spans="1:14">
      <c r="A119" s="3405" t="s">
        <v>3331</v>
      </c>
      <c r="B119" s="3383">
        <f>ROUND(0.993-0.0112*B116,4)</f>
        <v>0.98180000000000001</v>
      </c>
      <c r="C119" s="3383">
        <f>B119</f>
        <v>0.98180000000000001</v>
      </c>
      <c r="D119" s="3383">
        <f>ROUND(0.9415-0.0142*B116,4)</f>
        <v>0.92730000000000001</v>
      </c>
      <c r="E119" s="3383">
        <f t="shared" ref="E119:H120" si="36">D119</f>
        <v>0.92730000000000001</v>
      </c>
      <c r="F119" s="3383">
        <f t="shared" si="36"/>
        <v>0.92730000000000001</v>
      </c>
      <c r="G119" s="3383">
        <f t="shared" si="36"/>
        <v>0.92730000000000001</v>
      </c>
      <c r="H119" s="3383">
        <f t="shared" si="36"/>
        <v>0.92730000000000001</v>
      </c>
      <c r="I119" s="3383">
        <f>ROUND(0.838-0.0182*B116,4)</f>
        <v>0.81979999999999997</v>
      </c>
      <c r="J119" s="3383">
        <f t="shared" si="35"/>
        <v>0.81979999999999997</v>
      </c>
      <c r="K119" s="3383">
        <f t="shared" si="35"/>
        <v>0.81979999999999997</v>
      </c>
      <c r="L119" s="3383">
        <f t="shared" si="35"/>
        <v>0.81979999999999997</v>
      </c>
      <c r="M119" s="3406">
        <f t="shared" si="35"/>
        <v>0.81979999999999997</v>
      </c>
      <c r="N119" s="3393"/>
    </row>
    <row r="120" spans="1:14">
      <c r="A120" s="3405" t="s">
        <v>3332</v>
      </c>
      <c r="B120" s="3383">
        <f>ROUND(0.9448-0.0115*B116,4)</f>
        <v>0.93330000000000002</v>
      </c>
      <c r="C120" s="3383">
        <f>B120</f>
        <v>0.93330000000000002</v>
      </c>
      <c r="D120" s="3383">
        <f>ROUND(0.937-0.0145*B116,4)</f>
        <v>0.92249999999999999</v>
      </c>
      <c r="E120" s="3383">
        <f t="shared" si="36"/>
        <v>0.92249999999999999</v>
      </c>
      <c r="F120" s="3383">
        <f t="shared" si="36"/>
        <v>0.92249999999999999</v>
      </c>
      <c r="G120" s="3383">
        <f t="shared" si="36"/>
        <v>0.92249999999999999</v>
      </c>
      <c r="H120" s="3383">
        <f t="shared" si="36"/>
        <v>0.92249999999999999</v>
      </c>
      <c r="I120" s="3383">
        <f>ROUND(0.7965-0.0185*B116,4)</f>
        <v>0.77800000000000002</v>
      </c>
      <c r="J120" s="3383">
        <f t="shared" si="35"/>
        <v>0.77800000000000002</v>
      </c>
      <c r="K120" s="3383">
        <f t="shared" si="35"/>
        <v>0.77800000000000002</v>
      </c>
      <c r="L120" s="3383">
        <f t="shared" si="35"/>
        <v>0.77800000000000002</v>
      </c>
      <c r="M120" s="3406">
        <f t="shared" si="35"/>
        <v>0.77800000000000002</v>
      </c>
      <c r="N120" s="3393"/>
    </row>
    <row r="121" spans="1:14" ht="13.5" thickBot="1">
      <c r="A121" s="3407" t="s">
        <v>3333</v>
      </c>
      <c r="B121" s="3408">
        <f>ROUND(0.7836-0.012*B116,4)</f>
        <v>0.77159999999999995</v>
      </c>
      <c r="C121" s="3408">
        <f>B121</f>
        <v>0.77159999999999995</v>
      </c>
      <c r="D121" s="3408">
        <f>ROUND(0.753-0.015*B116,4)</f>
        <v>0.73799999999999999</v>
      </c>
      <c r="E121" s="3408">
        <f>D121</f>
        <v>0.73799999999999999</v>
      </c>
      <c r="F121" s="3408">
        <f>E121</f>
        <v>0.73799999999999999</v>
      </c>
      <c r="G121" s="3408">
        <f>ROUND(0.6612-0.018*B116,4)</f>
        <v>0.64319999999999999</v>
      </c>
      <c r="H121" s="3408">
        <f>G121</f>
        <v>0.64319999999999999</v>
      </c>
      <c r="I121" s="3408">
        <f>ROUND(0.5905-0.019*B116,4)</f>
        <v>0.57150000000000001</v>
      </c>
      <c r="J121" s="3408">
        <f t="shared" si="35"/>
        <v>0.57150000000000001</v>
      </c>
      <c r="K121" s="3408">
        <f t="shared" si="35"/>
        <v>0.57150000000000001</v>
      </c>
      <c r="L121" s="3408">
        <f t="shared" si="35"/>
        <v>0.57150000000000001</v>
      </c>
      <c r="M121" s="3409">
        <f t="shared" si="35"/>
        <v>0.57150000000000001</v>
      </c>
      <c r="N121" s="3393"/>
    </row>
    <row r="122" spans="1:14">
      <c r="A122" s="3410" t="s">
        <v>2614</v>
      </c>
      <c r="B122" s="3383">
        <f>ROUND(0.9404-0.0106*B116,4)</f>
        <v>0.92979999999999996</v>
      </c>
      <c r="C122" s="3383">
        <f>B122</f>
        <v>0.92979999999999996</v>
      </c>
      <c r="D122" s="3383">
        <f>ROUND(0.8955-0.0135*B116,4)</f>
        <v>0.88200000000000001</v>
      </c>
      <c r="E122" s="3383">
        <f t="shared" ref="E122:H122" si="37">D122</f>
        <v>0.88200000000000001</v>
      </c>
      <c r="F122" s="3383">
        <f t="shared" si="37"/>
        <v>0.88200000000000001</v>
      </c>
      <c r="G122" s="3383">
        <f t="shared" si="37"/>
        <v>0.88200000000000001</v>
      </c>
      <c r="H122" s="3383">
        <f t="shared" si="37"/>
        <v>0.88200000000000001</v>
      </c>
      <c r="I122" s="3383">
        <f>ROUND(0.7632-0.0166*B116,4)</f>
        <v>0.74660000000000004</v>
      </c>
      <c r="J122" s="3383">
        <f t="shared" si="35"/>
        <v>0.74660000000000004</v>
      </c>
      <c r="K122" s="3383">
        <f t="shared" si="35"/>
        <v>0.74660000000000004</v>
      </c>
      <c r="L122" s="3383">
        <f t="shared" si="35"/>
        <v>0.74660000000000004</v>
      </c>
      <c r="M122" s="3406">
        <f t="shared" si="35"/>
        <v>0.74660000000000004</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北京市东环北路1号预评估</v>
      </c>
      <c r="C37" s="3457"/>
      <c r="D37" s="3457"/>
      <c r="E37" s="3457"/>
      <c r="F37" s="3457"/>
      <c r="G37" s="3457"/>
      <c r="H37" s="3457"/>
      <c r="I37" s="345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H21" sqref="H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3401</v>
      </c>
      <c r="C1" s="198"/>
      <c r="D1" s="198"/>
      <c r="E1" s="198"/>
      <c r="F1" s="198"/>
      <c r="G1" s="1125">
        <f>MATCH(B1,'数据-取费表'!A6:A16,0)+5</f>
        <v>6</v>
      </c>
    </row>
    <row r="2" spans="1:9" s="200" customFormat="1" ht="18" customHeight="1">
      <c r="A2" s="201" t="s">
        <v>1462</v>
      </c>
      <c r="B2" s="202">
        <f ca="1">IF(D2="——",C52,C52-E2)</f>
        <v>8093</v>
      </c>
      <c r="C2" s="199" t="s">
        <v>1463</v>
      </c>
      <c r="D2" s="1850" t="s">
        <v>43</v>
      </c>
      <c r="E2" s="1168"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9367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4082</v>
      </c>
      <c r="D5" s="211" t="s">
        <v>1469</v>
      </c>
      <c r="E5" s="212" t="s">
        <v>1470</v>
      </c>
      <c r="F5" s="212" t="s">
        <v>1471</v>
      </c>
      <c r="G5" s="213"/>
    </row>
    <row r="6" spans="1:9" s="214" customFormat="1" ht="13.5" customHeight="1">
      <c r="A6" s="778" t="s">
        <v>1472</v>
      </c>
      <c r="B6" s="215" t="s">
        <v>1473</v>
      </c>
      <c r="C6" s="216">
        <f>基准地价修正!E33</f>
        <v>3793</v>
      </c>
      <c r="D6" s="217"/>
      <c r="E6" s="218"/>
      <c r="F6" s="218"/>
      <c r="G6" s="219"/>
    </row>
    <row r="7" spans="1:9" s="214" customFormat="1" ht="13.5" customHeight="1">
      <c r="A7" s="778" t="s">
        <v>1474</v>
      </c>
      <c r="B7" s="215" t="s">
        <v>1475</v>
      </c>
      <c r="C7" s="220">
        <f>ROUND(C6*F7,0)</f>
        <v>116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173</v>
      </c>
      <c r="D8" s="222"/>
      <c r="E8" s="220"/>
      <c r="F8" s="221"/>
      <c r="G8" s="1853"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4" t="s">
        <v>3403</v>
      </c>
      <c r="H9" s="1136"/>
      <c r="I9" s="1855" t="s">
        <v>1479</v>
      </c>
    </row>
    <row r="10" spans="1:9" s="214" customFormat="1" ht="13.5" customHeight="1">
      <c r="A10" s="779" t="s">
        <v>356</v>
      </c>
      <c r="B10" s="224" t="s">
        <v>1480</v>
      </c>
      <c r="C10" s="225">
        <f ca="1">ROUND(D10*E10/10000,0)</f>
        <v>173</v>
      </c>
      <c r="D10" s="845">
        <f ca="1">IF(B1="",'数据-汇总表'!E6,IF(INDIRECT("'数据-取费表'!c"&amp;$G$1)="住宅",INDIRECT("'数据-取费表'!s"&amp;$G$1),INDIRECT("'数据-取费表'!k"&amp;$G$1)+INDIRECT("'数据-取费表'!s"&amp;$G$1)))</f>
        <v>8640.14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8640.14</v>
      </c>
      <c r="E19" s="211">
        <f>'数据-取费表'!B31</f>
        <v>200</v>
      </c>
      <c r="F19" s="231"/>
      <c r="G19" s="1853" t="s">
        <v>3404</v>
      </c>
    </row>
    <row r="20" spans="1:7" s="214" customFormat="1" ht="13.5" customHeight="1">
      <c r="A20" s="255" t="s">
        <v>1493</v>
      </c>
      <c r="B20" s="210" t="s">
        <v>1494</v>
      </c>
      <c r="C20" s="232">
        <f ca="1">ROUND((C5+C19)*F20,0)</f>
        <v>41</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3">
        <f ca="1">ROUND(SUM(C23:C25),0)</f>
        <v>208</v>
      </c>
      <c r="D22" s="235">
        <f ca="1">C26</f>
        <v>2.9999999999999997E-4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207</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412</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412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5066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3024</v>
      </c>
      <c r="D34" s="217"/>
      <c r="E34" s="220"/>
      <c r="F34" s="257">
        <f ca="1">IF('数据-取费表'!B24=0,1,IF(B1="",'数据-取费表'!N16,INDIRECT("'数据-取费表'!n"&amp;$G$1)))</f>
        <v>1</v>
      </c>
      <c r="G34" s="219" t="s">
        <v>1526</v>
      </c>
    </row>
    <row r="35" spans="1:7" ht="13.5" customHeight="1">
      <c r="A35" s="780" t="s">
        <v>351</v>
      </c>
      <c r="B35" s="215" t="s">
        <v>1527</v>
      </c>
      <c r="C35" s="220">
        <f ca="1">ROUND(C34*F35,0)</f>
        <v>91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173</v>
      </c>
      <c r="D37" s="217">
        <f ca="1">D19</f>
        <v>8640.14</v>
      </c>
      <c r="E37" s="249">
        <f>'数据-取费表'!B35</f>
        <v>200</v>
      </c>
      <c r="F37" s="259"/>
      <c r="G37" s="261" t="s">
        <v>1532</v>
      </c>
    </row>
    <row r="38" spans="1:7" ht="13.5" customHeight="1">
      <c r="A38" s="780" t="s">
        <v>354</v>
      </c>
      <c r="B38" s="215" t="s">
        <v>1533</v>
      </c>
      <c r="C38" s="220">
        <f ca="1">ROUND(C34*F38,0)</f>
        <v>60</v>
      </c>
      <c r="D38" s="220"/>
      <c r="E38" s="220"/>
      <c r="F38" s="259">
        <f>'数据-取费表'!B36</f>
        <v>0.02</v>
      </c>
      <c r="G38" s="219" t="s">
        <v>1528</v>
      </c>
    </row>
    <row r="39" spans="1:7" s="214" customFormat="1" ht="13.5" customHeight="1">
      <c r="A39" s="255" t="s">
        <v>1534</v>
      </c>
      <c r="B39" s="210" t="s">
        <v>1535</v>
      </c>
      <c r="C39" s="232">
        <f ca="1">ROUND(C33*F20,0)</f>
        <v>33</v>
      </c>
      <c r="D39" s="232"/>
      <c r="E39" s="232"/>
      <c r="F39" s="233">
        <f>F20</f>
        <v>0.01</v>
      </c>
      <c r="G39" s="234" t="s">
        <v>1536</v>
      </c>
    </row>
    <row r="40" spans="1:7" s="214" customFormat="1" ht="13.5" customHeight="1">
      <c r="A40" s="255" t="s">
        <v>1537</v>
      </c>
      <c r="B40" s="210" t="s">
        <v>1538</v>
      </c>
      <c r="C40" s="1326">
        <f>F21</f>
        <v>0.01</v>
      </c>
      <c r="D40" s="236" t="s">
        <v>1539</v>
      </c>
      <c r="E40" s="232"/>
      <c r="F40" s="233">
        <f>F21</f>
        <v>0.01</v>
      </c>
      <c r="G40" s="234" t="s">
        <v>1540</v>
      </c>
    </row>
    <row r="41" spans="1:7" s="214" customFormat="1" ht="13.5" customHeight="1">
      <c r="A41" s="255" t="s">
        <v>1541</v>
      </c>
      <c r="B41" s="210" t="s">
        <v>1542</v>
      </c>
      <c r="C41" s="232">
        <f ca="1">ROUND(SUM(C42:C43),0)</f>
        <v>85</v>
      </c>
      <c r="D41" s="235">
        <f ca="1">C44</f>
        <v>2.9999999999999997E-4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84</v>
      </c>
      <c r="D42" s="238"/>
      <c r="E42" s="238"/>
      <c r="F42" s="239"/>
      <c r="G42" s="3659" t="s">
        <v>1544</v>
      </c>
    </row>
    <row r="43" spans="1:7" ht="13.5" customHeight="1">
      <c r="A43" s="780" t="s">
        <v>347</v>
      </c>
      <c r="B43" s="215" t="s">
        <v>1545</v>
      </c>
      <c r="C43" s="238">
        <f ca="1">ROUND(IF('数据-取费表'!B22&lt;=1,C39*F22*'数据-取费表'!B21/2,C39*(POWER((1+F22),'数据-取费表'!B21/2)-1)),0)</f>
        <v>1</v>
      </c>
      <c r="D43" s="238"/>
      <c r="E43" s="238"/>
      <c r="F43" s="239"/>
      <c r="G43" s="3660"/>
    </row>
    <row r="44" spans="1:7" ht="13.5" customHeight="1">
      <c r="A44" s="780" t="s">
        <v>348</v>
      </c>
      <c r="B44" s="215" t="s">
        <v>1546</v>
      </c>
      <c r="C44" s="238">
        <f ca="1">ROUND(IF('数据-取费表'!B22&lt;=1,C40*F22*'数据-取费表'!B21/2,C40*(POWER((1+F22),'数据-取费表'!B21/2)-1)),4)</f>
        <v>2.9999999999999997E-4</v>
      </c>
      <c r="D44" s="238"/>
      <c r="E44" s="238"/>
      <c r="F44" s="239"/>
      <c r="G44" s="3661"/>
    </row>
    <row r="45" spans="1:7" s="214" customFormat="1" ht="13.5" customHeight="1">
      <c r="A45" s="255" t="s">
        <v>1547</v>
      </c>
      <c r="B45" s="244" t="s">
        <v>1513</v>
      </c>
      <c r="C45" s="245">
        <f ca="1">C46</f>
        <v>338</v>
      </c>
      <c r="D45" s="235">
        <f ca="1">C47</f>
        <v>1E-3</v>
      </c>
      <c r="E45" s="236" t="s">
        <v>1539</v>
      </c>
      <c r="F45" s="246">
        <f ca="1">F27</f>
        <v>0.1</v>
      </c>
      <c r="G45" s="247" t="s">
        <v>1548</v>
      </c>
    </row>
    <row r="46" spans="1:7" s="214" customFormat="1" ht="13.5" customHeight="1">
      <c r="A46" s="780" t="s">
        <v>346</v>
      </c>
      <c r="B46" s="248" t="s">
        <v>1549</v>
      </c>
      <c r="C46" s="249">
        <f ca="1">ROUND((C33+C39)*F27,0)</f>
        <v>338</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4063</v>
      </c>
      <c r="D49" s="232"/>
      <c r="E49" s="232"/>
      <c r="F49" s="264"/>
      <c r="G49" s="234" t="s">
        <v>1554</v>
      </c>
    </row>
    <row r="50" spans="1:7" s="258" customFormat="1" ht="24">
      <c r="A50" s="255" t="s">
        <v>1555</v>
      </c>
      <c r="B50" s="210" t="s">
        <v>1556</v>
      </c>
      <c r="C50" s="232"/>
      <c r="D50" s="232"/>
      <c r="E50" s="232"/>
      <c r="F50" s="264">
        <f>IF('数据-取费表'!B24=0,'数据-取费表'!N16,1)</f>
        <v>0.745</v>
      </c>
      <c r="G50" s="247" t="s">
        <v>1557</v>
      </c>
    </row>
    <row r="51" spans="1:7" ht="16.5" customHeight="1">
      <c r="A51" s="255" t="s">
        <v>1558</v>
      </c>
      <c r="B51" s="210" t="s">
        <v>1559</v>
      </c>
      <c r="C51" s="232">
        <f ca="1">ROUND(C49*F50,0)</f>
        <v>3027</v>
      </c>
      <c r="D51" s="232"/>
      <c r="E51" s="232"/>
      <c r="F51" s="264"/>
      <c r="G51" s="234" t="s">
        <v>1560</v>
      </c>
    </row>
    <row r="52" spans="1:7" s="208" customFormat="1" ht="16.5" thickBot="1">
      <c r="A52" s="265" t="s">
        <v>1561</v>
      </c>
      <c r="B52" s="266"/>
      <c r="C52" s="267">
        <f ca="1">C31+C51</f>
        <v>8093</v>
      </c>
      <c r="D52" s="266"/>
      <c r="E52" s="266"/>
      <c r="F52" s="266"/>
      <c r="G52" s="268"/>
    </row>
    <row r="55" spans="1:7" ht="15">
      <c r="B55" s="270" t="s">
        <v>1562</v>
      </c>
      <c r="C55" s="271"/>
    </row>
    <row r="56" spans="1:7">
      <c r="B56" s="273" t="s">
        <v>802</v>
      </c>
      <c r="C56" s="275">
        <f ca="1">1-C57</f>
        <v>0.626</v>
      </c>
    </row>
    <row r="57" spans="1:7">
      <c r="B57" s="273" t="s">
        <v>803</v>
      </c>
      <c r="C57" s="274">
        <f ca="1">ROUND(C51/C52,3)</f>
        <v>0.374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6" t="s">
        <v>1563</v>
      </c>
      <c r="D1" s="198"/>
      <c r="E1" s="198"/>
      <c r="F1" s="198"/>
      <c r="G1" s="1125">
        <f>MATCH(B1,'数据-取费表'!A6:A16,0)+5</f>
        <v>7</v>
      </c>
      <c r="H1" s="1060" t="str">
        <f>IF(ISERROR(FIND("住宅",B1)),"非住宅","住宅")</f>
        <v>非住宅</v>
      </c>
    </row>
    <row r="2" spans="1:8" s="200" customFormat="1" ht="18" customHeight="1">
      <c r="A2" s="201" t="s">
        <v>1462</v>
      </c>
      <c r="B2" s="3419">
        <f ca="1">ROUND(IF(D2="——",C52/10000,C52/10000-E2),4)</f>
        <v>3455.9095000000002</v>
      </c>
      <c r="C2" s="199" t="s">
        <v>1463</v>
      </c>
      <c r="D2" s="1850" t="s">
        <v>43</v>
      </c>
      <c r="E2" s="1168"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4000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1728028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1728028</v>
      </c>
      <c r="D8" s="222"/>
      <c r="E8" s="220"/>
      <c r="F8" s="221"/>
      <c r="G8" s="1853"/>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1728028</v>
      </c>
      <c r="D10" s="845">
        <f ca="1">IF(B1="",'数据-汇总表'!E6,IF(INDIRECT("'数据-取费表'!c"&amp;$G$1)="住宅",INDIRECT("'数据-取费表'!s"&amp;$G$1),INDIRECT("'数据-取费表'!k"&amp;$G$1)+INDIRECT("'数据-取费表'!s"&amp;$G$1)))</f>
        <v>8640.14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1728028</v>
      </c>
      <c r="D19" s="849">
        <f ca="1">D9+D10</f>
        <v>8640.14</v>
      </c>
      <c r="E19" s="211">
        <f>'数据-取费表'!B31</f>
        <v>200</v>
      </c>
      <c r="F19" s="231"/>
      <c r="G19" s="1853"/>
    </row>
    <row r="20" spans="1:7" s="214" customFormat="1" ht="13.5" customHeight="1">
      <c r="A20" s="255" t="s">
        <v>1574</v>
      </c>
      <c r="B20" s="210" t="s">
        <v>1575</v>
      </c>
      <c r="C20" s="232">
        <f ca="1">ROUND((C5+C19)*F20,0)</f>
        <v>34561</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6">
        <f ca="1">ROUND(SUM(C23:C25),0)</f>
        <v>175979</v>
      </c>
      <c r="D22" s="235">
        <f ca="1">C26</f>
        <v>2.9999999999999997E-4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87557</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87557</v>
      </c>
      <c r="D24" s="238"/>
      <c r="E24" s="238"/>
      <c r="F24" s="239"/>
      <c r="G24" s="240" t="s">
        <v>1586</v>
      </c>
    </row>
    <row r="25" spans="1:7" s="214" customFormat="1" ht="24">
      <c r="A25" s="780" t="s">
        <v>1476</v>
      </c>
      <c r="B25" s="215" t="s">
        <v>1587</v>
      </c>
      <c r="C25" s="1127">
        <f ca="1">ROUND(IF('数据-取费表'!B22&lt;=1,C20*F22*'数据-取费表'!B22/2,C20*(POWER((1+F22),'数据-取费表'!B22/2)-1)),0)</f>
        <v>865</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349062</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ROUND((C5+C19+C20)*F27,0)</f>
        <v>349062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4288858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33480543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30240490</v>
      </c>
      <c r="D34" s="217"/>
      <c r="E34" s="220"/>
      <c r="F34" s="257"/>
      <c r="G34" s="219"/>
    </row>
    <row r="35" spans="1:7" ht="13.5" customHeight="1">
      <c r="A35" s="780" t="s">
        <v>351</v>
      </c>
      <c r="B35" s="215" t="s">
        <v>1527</v>
      </c>
      <c r="C35" s="220">
        <f ca="1">ROUND(C34*F35,0)</f>
        <v>907215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1728028</v>
      </c>
      <c r="D37" s="217">
        <f ca="1">D19</f>
        <v>8640.14</v>
      </c>
      <c r="E37" s="249">
        <f>'数据-取费表'!B35</f>
        <v>200</v>
      </c>
      <c r="F37" s="259"/>
      <c r="G37" s="261"/>
    </row>
    <row r="38" spans="1:7" ht="13.5" customHeight="1">
      <c r="A38" s="780" t="s">
        <v>354</v>
      </c>
      <c r="B38" s="215" t="s">
        <v>1533</v>
      </c>
      <c r="C38" s="220">
        <f ca="1">ROUND(C34*F38,0)</f>
        <v>604810</v>
      </c>
      <c r="D38" s="220"/>
      <c r="E38" s="220"/>
      <c r="F38" s="259">
        <f>'数据-取费表'!B36</f>
        <v>0.02</v>
      </c>
      <c r="G38" s="219" t="s">
        <v>1528</v>
      </c>
    </row>
    <row r="39" spans="1:7" s="214" customFormat="1" ht="13.5" customHeight="1">
      <c r="A39" s="255" t="s">
        <v>1534</v>
      </c>
      <c r="B39" s="210" t="s">
        <v>1535</v>
      </c>
      <c r="C39" s="232">
        <f ca="1">ROUND(C33*F20,0)</f>
        <v>334805</v>
      </c>
      <c r="D39" s="232"/>
      <c r="E39" s="232"/>
      <c r="F39" s="233">
        <f>F20</f>
        <v>0.01</v>
      </c>
      <c r="G39" s="234" t="s">
        <v>1536</v>
      </c>
    </row>
    <row r="40" spans="1:7" s="214" customFormat="1" ht="13.5" customHeight="1">
      <c r="A40" s="255" t="s">
        <v>1537</v>
      </c>
      <c r="B40" s="210" t="s">
        <v>1538</v>
      </c>
      <c r="C40" s="1326">
        <f>F21</f>
        <v>0.01</v>
      </c>
      <c r="D40" s="236" t="s">
        <v>1539</v>
      </c>
      <c r="E40" s="232"/>
      <c r="F40" s="233">
        <f>F21</f>
        <v>0.01</v>
      </c>
      <c r="G40" s="234" t="s">
        <v>1540</v>
      </c>
    </row>
    <row r="41" spans="1:7" s="214" customFormat="1" ht="13.5" customHeight="1">
      <c r="A41" s="255" t="s">
        <v>1541</v>
      </c>
      <c r="B41" s="210" t="s">
        <v>1542</v>
      </c>
      <c r="C41" s="232">
        <f ca="1">ROUND(SUM(C42:C43),0)</f>
        <v>846101</v>
      </c>
      <c r="D41" s="235">
        <f ca="1">C44</f>
        <v>2.9999999999999997E-4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837724</v>
      </c>
      <c r="D42" s="238"/>
      <c r="E42" s="238"/>
      <c r="F42" s="239"/>
      <c r="G42" s="3659" t="s">
        <v>1591</v>
      </c>
    </row>
    <row r="43" spans="1:7" ht="13.5" customHeight="1">
      <c r="A43" s="780" t="s">
        <v>347</v>
      </c>
      <c r="B43" s="215" t="s">
        <v>1545</v>
      </c>
      <c r="C43" s="238">
        <f ca="1">ROUND(IF('数据-取费表'!B22&lt;=1,C39*F22*'数据-取费表'!B20/2,C39*(POWER((1+F22),'数据-取费表'!B20/2)-1)),0)</f>
        <v>8377</v>
      </c>
      <c r="D43" s="238"/>
      <c r="E43" s="238"/>
      <c r="F43" s="239"/>
      <c r="G43" s="3660"/>
    </row>
    <row r="44" spans="1:7" ht="13.5" customHeight="1">
      <c r="A44" s="780" t="s">
        <v>348</v>
      </c>
      <c r="B44" s="215" t="s">
        <v>1546</v>
      </c>
      <c r="C44" s="238">
        <f ca="1">ROUND(IF('数据-取费表'!B22&lt;=1,C40*F22*'数据-取费表'!B20/2,C40*(POWER((1+F22),'数据-取费表'!B20/2)-1)),4)</f>
        <v>2.9999999999999997E-4</v>
      </c>
      <c r="D44" s="238"/>
      <c r="E44" s="238"/>
      <c r="F44" s="239"/>
      <c r="G44" s="3661"/>
    </row>
    <row r="45" spans="1:7" s="214" customFormat="1" ht="13.5" customHeight="1">
      <c r="A45" s="255" t="s">
        <v>1547</v>
      </c>
      <c r="B45" s="244" t="s">
        <v>1513</v>
      </c>
      <c r="C45" s="245">
        <f ca="1">C46</f>
        <v>3381535</v>
      </c>
      <c r="D45" s="235">
        <f ca="1">C47</f>
        <v>1E-3</v>
      </c>
      <c r="E45" s="236" t="s">
        <v>1539</v>
      </c>
      <c r="F45" s="246">
        <f ca="1">F27</f>
        <v>0.1</v>
      </c>
      <c r="G45" s="247" t="s">
        <v>1548</v>
      </c>
    </row>
    <row r="46" spans="1:7" s="214" customFormat="1" ht="13.5" customHeight="1">
      <c r="A46" s="780" t="s">
        <v>346</v>
      </c>
      <c r="B46" s="248" t="s">
        <v>1549</v>
      </c>
      <c r="C46" s="249">
        <f ca="1">ROUND((C33+C39)*F27,0)</f>
        <v>3381535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40631191</v>
      </c>
      <c r="D49" s="232"/>
      <c r="E49" s="232"/>
      <c r="F49" s="264"/>
      <c r="G49" s="234" t="s">
        <v>1554</v>
      </c>
    </row>
    <row r="50" spans="1:7" s="258" customFormat="1">
      <c r="A50" s="255" t="s">
        <v>1555</v>
      </c>
      <c r="B50" s="210" t="s">
        <v>1556</v>
      </c>
      <c r="C50" s="232"/>
      <c r="D50" s="232"/>
      <c r="E50" s="232"/>
      <c r="F50" s="264">
        <f>IF('数据-取费表'!B24=0,'数据-取费表'!N16,1)</f>
        <v>0.745</v>
      </c>
      <c r="G50" s="247"/>
    </row>
    <row r="51" spans="1:7" ht="16.5" customHeight="1">
      <c r="A51" s="255" t="s">
        <v>1558</v>
      </c>
      <c r="B51" s="210" t="s">
        <v>1593</v>
      </c>
      <c r="C51" s="232">
        <f ca="1">ROUND(C49*F50,0)</f>
        <v>30270237</v>
      </c>
      <c r="D51" s="232"/>
      <c r="E51" s="232"/>
      <c r="F51" s="264"/>
      <c r="G51" s="234" t="s">
        <v>1560</v>
      </c>
    </row>
    <row r="52" spans="1:7" s="208" customFormat="1" ht="16.5" thickBot="1">
      <c r="A52" s="265" t="s">
        <v>1561</v>
      </c>
      <c r="B52" s="266"/>
      <c r="C52" s="267">
        <f ca="1">C31+C51</f>
        <v>34559095</v>
      </c>
      <c r="D52" s="266"/>
      <c r="E52" s="266"/>
      <c r="F52" s="266"/>
      <c r="G52" s="268"/>
    </row>
    <row r="55" spans="1:7" ht="15">
      <c r="B55" s="270" t="s">
        <v>1562</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7"/>
      <c r="D5" s="1857"/>
      <c r="E5" s="1857"/>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8640.14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8640.14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59"/>
      <c r="H18" s="1186"/>
      <c r="I18" s="1860"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173</v>
      </c>
      <c r="D20" s="846">
        <f ca="1">IF(C1="",'数据-汇总表'!E6,IF(INDIRECT("'数据-取费表'!c"&amp;$K$1)="住宅",INDIRECT("'数据-取费表'!s"&amp;$K$1),INDIRECT("'数据-取费表'!k"&amp;$K$1)+INDIRECT("'数据-取费表'!s"&amp;$K$1)))</f>
        <v>8640.14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7"/>
      <c r="I27" s="807"/>
      <c r="J27" s="807"/>
      <c r="K27" s="808"/>
    </row>
    <row r="28" spans="1:33" s="289" customFormat="1" ht="13.5" customHeight="1">
      <c r="A28" s="790" t="s">
        <v>1641</v>
      </c>
      <c r="B28" s="1862"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3"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40" zoomScale="115" zoomScaleNormal="70" zoomScaleSheetLayoutView="115"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3401</v>
      </c>
      <c r="D1" s="1361" t="s">
        <v>43</v>
      </c>
      <c r="E1" s="1362" t="s">
        <v>678</v>
      </c>
      <c r="F1" s="1061">
        <f ca="1">J53</f>
        <v>36.840000000000003</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12854</v>
      </c>
      <c r="C2" s="1386" t="s">
        <v>805</v>
      </c>
      <c r="D2" s="1386"/>
      <c r="E2" s="1387"/>
      <c r="F2" s="1388"/>
      <c r="G2" s="2701"/>
      <c r="H2" s="2690"/>
      <c r="I2" s="2690"/>
      <c r="J2" s="2690"/>
      <c r="K2" s="2691"/>
      <c r="L2" s="2690"/>
      <c r="M2" s="2690"/>
    </row>
    <row r="3" spans="1:37" ht="18" customHeight="1" thickBot="1">
      <c r="A3" s="1389" t="s">
        <v>806</v>
      </c>
      <c r="B3" s="1390">
        <f ca="1">IF(ISERROR(B2*10000/F43),0,ROUND(B2*10000/F43,0))</f>
        <v>14877</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739</v>
      </c>
      <c r="D5" s="1363" t="s">
        <v>693</v>
      </c>
      <c r="E5" s="1070"/>
      <c r="F5" s="1071"/>
      <c r="G5" s="1383"/>
      <c r="H5" s="299">
        <v>1</v>
      </c>
      <c r="I5" s="300" t="s">
        <v>692</v>
      </c>
      <c r="J5" s="1069">
        <f ca="1">J6+J10+J12</f>
        <v>0</v>
      </c>
      <c r="K5" s="1363" t="s">
        <v>693</v>
      </c>
      <c r="L5" s="1070"/>
      <c r="M5" s="1071"/>
    </row>
    <row r="6" spans="1:37" ht="18" customHeight="1">
      <c r="A6" s="1068" t="s">
        <v>398</v>
      </c>
      <c r="B6" s="3664" t="s">
        <v>694</v>
      </c>
      <c r="C6" s="1073">
        <f ca="1">ROUND(F6*F8*F7*(1-F9)/10000,0)</f>
        <v>738</v>
      </c>
      <c r="D6" s="155" t="s">
        <v>2109</v>
      </c>
      <c r="E6" s="302" t="s">
        <v>696</v>
      </c>
      <c r="F6" s="303">
        <f ca="1">INDIRECT("'数据-取费表'!u"&amp;$G$1)</f>
        <v>2.6</v>
      </c>
      <c r="G6" s="1383"/>
      <c r="H6" s="1068" t="s">
        <v>398</v>
      </c>
      <c r="I6" s="3664" t="s">
        <v>694</v>
      </c>
      <c r="J6" s="301">
        <f ca="1">ROUND(M6*M8*M7*(1-M9)/10000,0)</f>
        <v>0</v>
      </c>
      <c r="K6" s="155" t="s">
        <v>2108</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8640.14</v>
      </c>
      <c r="G7" s="1383"/>
      <c r="H7" s="304"/>
      <c r="I7" s="3665"/>
      <c r="J7" s="306"/>
      <c r="K7" s="307"/>
      <c r="L7" s="302" t="s">
        <v>697</v>
      </c>
      <c r="M7" s="303">
        <f ca="1">F7</f>
        <v>8640.14</v>
      </c>
    </row>
    <row r="8" spans="1:37" ht="18" customHeight="1">
      <c r="A8" s="304"/>
      <c r="B8" s="3665"/>
      <c r="C8" s="306"/>
      <c r="D8" s="307"/>
      <c r="E8" s="302" t="s">
        <v>698</v>
      </c>
      <c r="F8" s="303">
        <f ca="1">INDIRECT("'数据-取费表'!ai"&amp;$G$1)</f>
        <v>365</v>
      </c>
      <c r="G8" s="1383"/>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3"/>
      <c r="H9" s="304"/>
      <c r="I9" s="3666"/>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2117</v>
      </c>
      <c r="E10" s="313" t="s">
        <v>701</v>
      </c>
      <c r="F10" s="1115" t="s">
        <v>3406</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3027</v>
      </c>
      <c r="D13" s="1080" t="s">
        <v>705</v>
      </c>
      <c r="E13" s="1080" t="s">
        <v>706</v>
      </c>
      <c r="F13" s="1081">
        <f ca="1">INDIRECT("'数据-取费表'!y"&amp;$G$1)</f>
        <v>0.745</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3024</v>
      </c>
      <c r="D14" s="1344" t="s">
        <v>708</v>
      </c>
      <c r="E14" s="1341"/>
      <c r="F14" s="319"/>
      <c r="G14" s="1383"/>
      <c r="H14" s="982" t="s">
        <v>398</v>
      </c>
      <c r="I14" s="302" t="s">
        <v>709</v>
      </c>
      <c r="J14" s="21">
        <f ca="1">C29</f>
        <v>4063</v>
      </c>
      <c r="K14" s="12"/>
      <c r="L14" s="807"/>
      <c r="M14" s="808"/>
    </row>
    <row r="15" spans="1:37" s="1396" customFormat="1" ht="18" customHeight="1" thickBot="1">
      <c r="A15" s="982" t="s">
        <v>399</v>
      </c>
      <c r="B15" s="302" t="s">
        <v>710</v>
      </c>
      <c r="C15" s="21">
        <f ca="1">ROUND(C14*F15,0)</f>
        <v>91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25</v>
      </c>
      <c r="K16" s="1086" t="s">
        <v>715</v>
      </c>
      <c r="L16" s="1087"/>
      <c r="M16" s="1071"/>
    </row>
    <row r="17" spans="1:37" s="1396" customFormat="1" ht="18" customHeight="1">
      <c r="A17" s="982" t="s">
        <v>681</v>
      </c>
      <c r="B17" s="302" t="s">
        <v>716</v>
      </c>
      <c r="C17" s="21">
        <f ca="1">ROUND(F17*(F43+INDIRECT("'数据-取费表'!S"&amp;$G$1))/10000,0)</f>
        <v>173</v>
      </c>
      <c r="D17" s="302" t="s">
        <v>717</v>
      </c>
      <c r="E17" s="302" t="s">
        <v>718</v>
      </c>
      <c r="F17" s="23">
        <f>'数据-取费表'!B35</f>
        <v>200</v>
      </c>
      <c r="G17" s="1395"/>
      <c r="H17" s="982" t="s">
        <v>398</v>
      </c>
      <c r="I17" s="302" t="s">
        <v>719</v>
      </c>
      <c r="J17" s="2313">
        <f ca="1">ROUND(IF(AND(项目基本情况!B11="自然人",项目基本情况!B10="北京市"),J6*M17/(1+'数据-取费表'!C42),J18+J19+J20),2)</f>
        <v>4.6399999999999997</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3348</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33</v>
      </c>
      <c r="D20" s="323" t="s">
        <v>729</v>
      </c>
      <c r="E20" s="302" t="s">
        <v>712</v>
      </c>
      <c r="F20" s="322">
        <f>'数据-取费表'!B37</f>
        <v>0.01</v>
      </c>
      <c r="G20" s="1395"/>
      <c r="H20" s="982" t="s">
        <v>680</v>
      </c>
      <c r="I20" s="155" t="s">
        <v>730</v>
      </c>
      <c r="J20" s="22">
        <f ca="1">ROUND(M20*M21/10000,2)</f>
        <v>4.6399999999999997</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0.01</v>
      </c>
      <c r="G21" s="1395"/>
      <c r="H21" s="326"/>
      <c r="I21" s="311"/>
      <c r="J21" s="26"/>
      <c r="K21" s="327"/>
      <c r="L21" s="302" t="s">
        <v>736</v>
      </c>
      <c r="M21" s="303">
        <f ca="1">INDIRECT("'数据-取费表'!r"&amp;$G$1)</f>
        <v>15462.6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20.32</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85</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销售费用×((1+利率)^(建设周期÷2)-1)</v>
      </c>
      <c r="E24" s="302" t="s">
        <v>747</v>
      </c>
      <c r="F24" s="331">
        <f ca="1">'数据-取费表'!B40</f>
        <v>3.3500000000000002E-2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-25</v>
      </c>
      <c r="K25" s="1094" t="s">
        <v>753</v>
      </c>
      <c r="L25" s="1095"/>
      <c r="M25" s="1096"/>
    </row>
    <row r="26" spans="1:37">
      <c r="A26" s="982" t="s">
        <v>397</v>
      </c>
      <c r="B26" s="302" t="s">
        <v>754</v>
      </c>
      <c r="C26" s="21">
        <f ca="1">ROUND((C19+C20)*F26,0)</f>
        <v>338</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4063</v>
      </c>
      <c r="D29" s="1091"/>
      <c r="E29" s="1089"/>
      <c r="F29" s="1092"/>
      <c r="G29" s="1395"/>
      <c r="H29" s="334" t="s">
        <v>396</v>
      </c>
      <c r="I29" s="335" t="s">
        <v>768</v>
      </c>
      <c r="J29" s="336">
        <f ca="1">ROUND(J26/(1+F40)^F41,0)</f>
        <v>0</v>
      </c>
      <c r="K29" s="337" t="s">
        <v>769</v>
      </c>
      <c r="L29" s="338"/>
      <c r="M29" s="339">
        <f ca="1">INDIRECT("'数据-取费表'!k"&amp;$G$1)</f>
        <v>8640.14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155</v>
      </c>
      <c r="D30" s="1086" t="s">
        <v>715</v>
      </c>
      <c r="E30" s="1087"/>
      <c r="F30" s="1071"/>
      <c r="G30" s="1383"/>
      <c r="H30" s="2692"/>
      <c r="I30" s="1397"/>
      <c r="J30" s="1398"/>
      <c r="K30" s="2472"/>
      <c r="L30" s="2693"/>
      <c r="M30" s="2694"/>
    </row>
    <row r="31" spans="1:37" ht="18" customHeight="1">
      <c r="A31" s="982" t="s">
        <v>398</v>
      </c>
      <c r="B31" s="302" t="s">
        <v>719</v>
      </c>
      <c r="C31" s="2313">
        <f ca="1">ROUND(IF(AND(项目基本情况!B11="自然人",项目基本情况!B10="北京市"),C6*F31/(1+'数据-取费表'!C42),C32+C33+C34),2)</f>
        <v>127.64</v>
      </c>
      <c r="D31" s="1344" t="s">
        <v>720</v>
      </c>
      <c r="E31" s="1343" t="s">
        <v>770</v>
      </c>
      <c r="F31" s="2312" t="str">
        <f>IF(项目基本情况!B11="企业","——",IF(M47="住宅",IF(F6*F7*F8/12/(1+'数据-取费表'!F30)&gt;100000,4%,2.5%),IF(F6*F7*F8/12/(1+'数据-取费表'!F30)&gt;100000,12%,7%)))</f>
        <v>——</v>
      </c>
      <c r="G31" s="1383"/>
      <c r="H31" s="2803" t="s">
        <v>2308</v>
      </c>
      <c r="I31" s="1397"/>
      <c r="J31" s="1398"/>
      <c r="K31" s="2472"/>
      <c r="L31" s="2693"/>
      <c r="M31" s="2694"/>
    </row>
    <row r="32" spans="1:37" ht="18" customHeight="1">
      <c r="A32" s="982" t="s">
        <v>397</v>
      </c>
      <c r="B32" s="302" t="s">
        <v>723</v>
      </c>
      <c r="C32" s="21">
        <f ca="1">IF(项目基本情况!B11="自然人","——",ROUND(C6*F32/(1+'数据-取费表'!C42),2))</f>
        <v>38.659999999999997</v>
      </c>
      <c r="D32" s="1343" t="s">
        <v>724</v>
      </c>
      <c r="E32" s="302" t="s">
        <v>712</v>
      </c>
      <c r="F32" s="331">
        <f>'数据-取费表'!B41</f>
        <v>5.5000000000000007E-2</v>
      </c>
      <c r="G32" s="1383"/>
      <c r="H32" s="2692"/>
      <c r="I32" s="1397"/>
      <c r="J32" s="1398"/>
      <c r="K32" s="2472"/>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84.34</v>
      </c>
      <c r="D33" s="1369" t="s">
        <v>3338</v>
      </c>
      <c r="E33" s="302" t="s">
        <v>712</v>
      </c>
      <c r="F33" s="322">
        <f>IF(D33="按票据","——",IF(D33="按租金收入计税",'数据-取费表'!B51,'数据-取费表'!B50))</f>
        <v>0.12</v>
      </c>
      <c r="G33" s="1383"/>
      <c r="H33" s="2695"/>
      <c r="I33" s="1397"/>
      <c r="J33" s="1398"/>
      <c r="K33" s="2696"/>
      <c r="L33" s="2695"/>
      <c r="M33" s="2695"/>
    </row>
    <row r="34" spans="1:18" ht="18" customHeight="1">
      <c r="A34" s="1068" t="s">
        <v>680</v>
      </c>
      <c r="B34" s="155" t="s">
        <v>730</v>
      </c>
      <c r="C34" s="22">
        <f ca="1">IF(项目基本情况!B11="自然人","——",ROUND(F34*F35/10000,2))</f>
        <v>4.6399999999999997</v>
      </c>
      <c r="D34" s="324" t="s">
        <v>731</v>
      </c>
      <c r="E34" s="302" t="s">
        <v>732</v>
      </c>
      <c r="F34" s="325">
        <f>'数据-取费表'!B52</f>
        <v>3</v>
      </c>
      <c r="G34" s="1383"/>
      <c r="H34" s="2692"/>
      <c r="I34" s="1397"/>
      <c r="J34" s="1398"/>
      <c r="K34" s="2697"/>
      <c r="L34" s="2698"/>
      <c r="M34" s="2698"/>
    </row>
    <row r="35" spans="1:18" ht="18" customHeight="1">
      <c r="A35" s="1102"/>
      <c r="B35" s="1100"/>
      <c r="C35" s="26"/>
      <c r="D35" s="327"/>
      <c r="E35" s="302" t="s">
        <v>736</v>
      </c>
      <c r="F35" s="303">
        <f ca="1">INDIRECT("'数据-取费表'!r"&amp;$G$1)</f>
        <v>15462.6</v>
      </c>
      <c r="G35" s="1383"/>
      <c r="H35" s="2692"/>
      <c r="I35" s="1397"/>
      <c r="J35" s="1398"/>
      <c r="K35" s="2696"/>
      <c r="L35" s="2695"/>
      <c r="M35" s="2695"/>
    </row>
    <row r="36" spans="1:18" ht="18" customHeight="1">
      <c r="A36" s="1101" t="s">
        <v>402</v>
      </c>
      <c r="B36" s="302" t="s">
        <v>738</v>
      </c>
      <c r="C36" s="21">
        <f ca="1">ROUND(C29*F36,2)</f>
        <v>20.32</v>
      </c>
      <c r="D36" s="1343" t="s">
        <v>771</v>
      </c>
      <c r="E36" s="302" t="s">
        <v>712</v>
      </c>
      <c r="F36" s="328">
        <f ca="1">INDIRECT("'数据-取费表'!Ak"&amp;$G$1)</f>
        <v>5.0000000000000001E-3</v>
      </c>
      <c r="G36" s="1383"/>
      <c r="H36" s="2695"/>
      <c r="I36" s="1397"/>
      <c r="J36" s="1398"/>
      <c r="K36" s="2541"/>
      <c r="L36" s="2695"/>
      <c r="M36" s="2695"/>
    </row>
    <row r="37" spans="1:18" ht="18" customHeight="1">
      <c r="A37" s="982" t="s">
        <v>437</v>
      </c>
      <c r="B37" s="302" t="s">
        <v>742</v>
      </c>
      <c r="C37" s="21">
        <f ca="1">ROUND(C13*F37,2)</f>
        <v>3.03</v>
      </c>
      <c r="D37" s="1343" t="s">
        <v>743</v>
      </c>
      <c r="E37" s="302" t="s">
        <v>744</v>
      </c>
      <c r="F37" s="330">
        <f ca="1">INDIRECT("'数据-取费表'!Al"&amp;$G$1)</f>
        <v>1E-3</v>
      </c>
      <c r="G37" s="1383"/>
      <c r="H37" s="2695"/>
      <c r="I37" s="1397"/>
      <c r="J37" s="1398"/>
      <c r="K37" s="2541"/>
      <c r="L37" s="2695"/>
      <c r="M37" s="2695"/>
    </row>
    <row r="38" spans="1:18" ht="18" customHeight="1" thickBot="1">
      <c r="A38" s="1088" t="s">
        <v>684</v>
      </c>
      <c r="B38" s="1089" t="s">
        <v>728</v>
      </c>
      <c r="C38" s="1090">
        <f ca="1">ROUND(C5*F38,2)</f>
        <v>3.7</v>
      </c>
      <c r="D38" s="1091" t="s">
        <v>748</v>
      </c>
      <c r="E38" s="1089" t="s">
        <v>744</v>
      </c>
      <c r="F38" s="1085">
        <f ca="1">INDIRECT("'数据-取费表'!Am"&amp;$G$1)</f>
        <v>5.0000000000000001E-3</v>
      </c>
      <c r="G38" s="1383"/>
      <c r="H38" s="2695"/>
      <c r="I38" s="1397"/>
      <c r="J38" s="1398"/>
      <c r="K38" s="2699"/>
      <c r="L38" s="2695"/>
      <c r="M38" s="2695"/>
    </row>
    <row r="39" spans="1:18" ht="24.6" customHeight="1" thickTop="1">
      <c r="A39" s="1078" t="s">
        <v>394</v>
      </c>
      <c r="B39" s="1093" t="s">
        <v>772</v>
      </c>
      <c r="C39" s="310">
        <f ca="1">C5-C30</f>
        <v>584</v>
      </c>
      <c r="D39" s="1094" t="s">
        <v>773</v>
      </c>
      <c r="E39" s="1095"/>
      <c r="F39" s="1096"/>
      <c r="G39" s="1383"/>
      <c r="H39" s="2695">
        <f ca="1">C39/C5</f>
        <v>0.79025710419485795</v>
      </c>
      <c r="I39" s="1397"/>
      <c r="J39" s="1398"/>
      <c r="K39" s="2699"/>
      <c r="L39" s="2695"/>
      <c r="M39" s="2695"/>
    </row>
    <row r="40" spans="1:18" ht="18" customHeight="1">
      <c r="A40" s="299" t="s">
        <v>395</v>
      </c>
      <c r="B40" s="300" t="s">
        <v>774</v>
      </c>
      <c r="C40" s="301">
        <f ca="1">ROUND(C39*(1-((1+F42)/(1+F40))^F41)/(F40-F42),0)</f>
        <v>12741</v>
      </c>
      <c r="D40" s="324" t="s">
        <v>758</v>
      </c>
      <c r="E40" s="302" t="s">
        <v>759</v>
      </c>
      <c r="F40" s="312">
        <f ca="1">INDIRECT("'数据-取费表'!I"&amp;$G$1)</f>
        <v>5.5E-2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36.840000000000003</v>
      </c>
      <c r="G41" s="1383"/>
      <c r="H41" s="1190"/>
      <c r="I41" s="1397"/>
      <c r="J41" s="1398"/>
      <c r="K41" s="2541"/>
      <c r="L41" s="1190"/>
      <c r="M41" s="1190"/>
    </row>
    <row r="42" spans="1:18" ht="18" customHeight="1">
      <c r="A42" s="308"/>
      <c r="B42" s="309"/>
      <c r="C42" s="310"/>
      <c r="D42" s="327"/>
      <c r="E42" s="302" t="s">
        <v>766</v>
      </c>
      <c r="F42" s="312">
        <f ca="1">INDIRECT("'数据-取费表'!v"&amp;$G$1)</f>
        <v>2.5000000000000001E-2</v>
      </c>
      <c r="G42" s="1383"/>
      <c r="H42" s="1190"/>
      <c r="I42" s="1397"/>
      <c r="J42" s="1398"/>
      <c r="K42" s="2541"/>
      <c r="L42" s="1190"/>
      <c r="M42" s="1190"/>
    </row>
    <row r="43" spans="1:18" ht="18" customHeight="1" thickBot="1">
      <c r="A43" s="334" t="s">
        <v>396</v>
      </c>
      <c r="B43" s="335" t="s">
        <v>776</v>
      </c>
      <c r="C43" s="336">
        <f ca="1">ROUND(C40*10000/F43,0)</f>
        <v>14746</v>
      </c>
      <c r="D43" s="337" t="s">
        <v>777</v>
      </c>
      <c r="E43" s="338" t="s">
        <v>778</v>
      </c>
      <c r="F43" s="339">
        <f ca="1">INDIRECT("'数据-取费表'!k"&amp;$G$1)</f>
        <v>8640.14</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f ca="1">C68-C40</f>
        <v>-13179</v>
      </c>
      <c r="D46" s="1405" t="str">
        <f>C2</f>
        <v>万元</v>
      </c>
      <c r="E46" s="1399"/>
      <c r="F46" s="1399"/>
      <c r="I46" s="1406" t="s">
        <v>810</v>
      </c>
      <c r="J46" s="1407"/>
      <c r="K46" s="1408"/>
      <c r="L46" s="1409">
        <f ca="1">IF(M47="住宅",0,IF(L48&gt;J51,L60,J60))</f>
        <v>113</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t="s">
        <v>3407</v>
      </c>
      <c r="K47" s="1415" t="s">
        <v>816</v>
      </c>
      <c r="L47" s="1416">
        <f ca="1">INDIRECT("'数据-取费表'!d"&amp;$G$1)</f>
        <v>50</v>
      </c>
      <c r="M47" s="1379" t="str">
        <f>IF(ISNUMBER(FIND("住宅",C1)),"住宅","非住宅")</f>
        <v>非住宅</v>
      </c>
      <c r="O47" s="1417" t="s">
        <v>403</v>
      </c>
      <c r="P47" s="1418" t="s">
        <v>817</v>
      </c>
      <c r="Q47" s="1419">
        <f ca="1">C40+J29</f>
        <v>12741</v>
      </c>
      <c r="R47" s="1419" t="s">
        <v>818</v>
      </c>
    </row>
    <row r="48" spans="1:18" s="1383" customFormat="1" ht="28.5" thickBot="1">
      <c r="A48" s="1109" t="s">
        <v>438</v>
      </c>
      <c r="B48" s="300" t="s">
        <v>692</v>
      </c>
      <c r="C48" s="1358">
        <f ca="1">C49+C53+C55</f>
        <v>0</v>
      </c>
      <c r="D48" s="1111"/>
      <c r="E48" s="1112"/>
      <c r="F48" s="962"/>
      <c r="G48" s="722"/>
      <c r="H48" s="723"/>
      <c r="I48" s="1420" t="s">
        <v>819</v>
      </c>
      <c r="J48" s="1421" t="s">
        <v>3408</v>
      </c>
      <c r="K48" s="1422" t="s">
        <v>820</v>
      </c>
      <c r="L48" s="1423">
        <f ca="1">INDIRECT("'数据-取费表'!f"&amp;$G$1)</f>
        <v>36.840000000000003</v>
      </c>
      <c r="O48" s="1417" t="s">
        <v>404</v>
      </c>
      <c r="P48" s="1418" t="s">
        <v>821</v>
      </c>
      <c r="Q48" s="1419">
        <f ca="1">J60</f>
        <v>113</v>
      </c>
      <c r="R48" s="1419" t="s">
        <v>822</v>
      </c>
    </row>
    <row r="49" spans="1:18" s="1383" customFormat="1" ht="13.5" thickBot="1">
      <c r="A49" s="975" t="s">
        <v>439</v>
      </c>
      <c r="B49" s="1370" t="s">
        <v>779</v>
      </c>
      <c r="C49" s="1113">
        <f ca="1">ROUND(F49*F51*F50*(1-F52)/10000,0)</f>
        <v>0</v>
      </c>
      <c r="D49" s="1054" t="s">
        <v>2110</v>
      </c>
      <c r="E49" s="1371" t="s">
        <v>780</v>
      </c>
      <c r="F49" s="1059"/>
      <c r="G49" s="1424"/>
      <c r="H49" s="723"/>
      <c r="I49" s="1420" t="s">
        <v>823</v>
      </c>
      <c r="J49" s="1425">
        <v>2002</v>
      </c>
      <c r="K49" s="1422" t="s">
        <v>824</v>
      </c>
      <c r="L49" s="1426"/>
      <c r="O49" s="1427" t="s">
        <v>405</v>
      </c>
      <c r="P49" s="1418" t="s">
        <v>825</v>
      </c>
      <c r="Q49" s="1419">
        <f ca="1">C29</f>
        <v>4063</v>
      </c>
      <c r="R49" s="1419" t="s">
        <v>818</v>
      </c>
    </row>
    <row r="50" spans="1:18" s="1383" customFormat="1" ht="13.5" thickBot="1">
      <c r="A50" s="976"/>
      <c r="B50" s="979"/>
      <c r="C50" s="1117"/>
      <c r="D50" s="953"/>
      <c r="E50" s="1055" t="s">
        <v>697</v>
      </c>
      <c r="F50" s="1056">
        <f ca="1">F7</f>
        <v>8640.14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38</v>
      </c>
      <c r="K51" s="1433" t="s">
        <v>830</v>
      </c>
      <c r="L51" s="1434">
        <f ca="1">ROUND(-PV(INDIRECT("'数据-取费表'!h"&amp;$G$1),J51,(C39-C13*C76),0),0)</f>
        <v>5766</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36.840000000000003</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5">
        <f ca="1">IF(M47="住宅",IF(D1="——",MAX(J51,L48),MAX(J51,L48-'数据-取费表'!B24)),IF(D1="——",MIN(J51,L48),MIN(J51,L48-'数据-取费表'!B24)))</f>
        <v>36.840000000000003</v>
      </c>
      <c r="K53" s="3662" t="s">
        <v>837</v>
      </c>
      <c r="L53" s="3663"/>
      <c r="O53" s="1417" t="s">
        <v>409</v>
      </c>
      <c r="P53" s="1418" t="s">
        <v>838</v>
      </c>
      <c r="Q53" s="1419">
        <f ca="1">Q47+Q48</f>
        <v>12854</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1.9E-2</v>
      </c>
      <c r="K55" s="1444" t="s">
        <v>841</v>
      </c>
      <c r="L55" s="1445"/>
      <c r="O55" s="1410" t="s">
        <v>811</v>
      </c>
      <c r="P55" s="1411" t="s">
        <v>812</v>
      </c>
      <c r="Q55" s="1412" t="s">
        <v>813</v>
      </c>
      <c r="R55" s="1412" t="s">
        <v>814</v>
      </c>
    </row>
    <row r="56" spans="1:18" s="1383" customFormat="1" ht="25.5" thickTop="1" thickBot="1">
      <c r="A56" s="957">
        <v>2</v>
      </c>
      <c r="B56" s="958" t="s">
        <v>704</v>
      </c>
      <c r="C56" s="232">
        <f ca="1">C13</f>
        <v>3027</v>
      </c>
      <c r="D56" s="1446"/>
      <c r="E56" s="1447"/>
      <c r="F56" s="1439"/>
      <c r="I56" s="1448" t="s">
        <v>842</v>
      </c>
      <c r="J56" s="1449" t="s">
        <v>3387</v>
      </c>
      <c r="K56" s="1420" t="s">
        <v>843</v>
      </c>
      <c r="L56" s="1423" t="str">
        <f ca="1">IF(L48&lt;J51,"——",L48-J53)</f>
        <v>——</v>
      </c>
      <c r="O56" s="1417" t="s">
        <v>403</v>
      </c>
      <c r="P56" s="1418" t="s">
        <v>817</v>
      </c>
      <c r="Q56" s="1419">
        <f ca="1">C40+J29</f>
        <v>12741</v>
      </c>
      <c r="R56" s="1419" t="s">
        <v>818</v>
      </c>
    </row>
    <row r="57" spans="1:18" s="1383" customFormat="1" ht="24.75" thickBot="1">
      <c r="A57" s="1450"/>
      <c r="B57" s="950" t="s">
        <v>767</v>
      </c>
      <c r="C57" s="238">
        <f ca="1">C29</f>
        <v>4063</v>
      </c>
      <c r="D57" s="1451"/>
      <c r="E57" s="1452"/>
      <c r="F57" s="1453"/>
      <c r="I57" s="1454" t="s">
        <v>844</v>
      </c>
      <c r="J57" s="1455">
        <f ca="1">IF(OR(M47="住宅",J51&lt;L48,J56="是"),"——",J51-L48)</f>
        <v>1.1599999999999966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5</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1625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113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4.6399999999999997</v>
      </c>
      <c r="D62" s="965" t="s">
        <v>786</v>
      </c>
      <c r="E62" s="950" t="s">
        <v>787</v>
      </c>
      <c r="F62" s="325">
        <f t="shared" si="0"/>
        <v>3</v>
      </c>
      <c r="I62" s="1461" t="s">
        <v>858</v>
      </c>
      <c r="J62" s="1462" t="s">
        <v>859</v>
      </c>
      <c r="K62" s="1462" t="s">
        <v>860</v>
      </c>
      <c r="L62" s="1462" t="s">
        <v>861</v>
      </c>
      <c r="M62" s="1463" t="s">
        <v>862</v>
      </c>
      <c r="O62" s="1417" t="s">
        <v>409</v>
      </c>
      <c r="P62" s="1418" t="s">
        <v>863</v>
      </c>
      <c r="Q62" s="1419">
        <f ca="1">Q56+Q57</f>
        <v>12741</v>
      </c>
      <c r="R62" s="1419" t="s">
        <v>410</v>
      </c>
    </row>
    <row r="63" spans="1:18" s="1383" customFormat="1" ht="13.5" thickBot="1">
      <c r="A63" s="326"/>
      <c r="B63" s="956"/>
      <c r="C63" s="26"/>
      <c r="D63" s="966"/>
      <c r="E63" s="950" t="s">
        <v>788</v>
      </c>
      <c r="F63" s="303">
        <f t="shared" ca="1" si="0"/>
        <v>15462.6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20.32</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3.03</v>
      </c>
      <c r="D65" s="964" t="s">
        <v>743</v>
      </c>
      <c r="E65" s="950" t="s">
        <v>744</v>
      </c>
      <c r="F65" s="330">
        <f t="shared" ca="1" si="0"/>
        <v>1E-3</v>
      </c>
      <c r="I65" s="1461" t="s">
        <v>867</v>
      </c>
      <c r="J65" s="1462">
        <v>40</v>
      </c>
      <c r="K65" s="1462">
        <v>30</v>
      </c>
      <c r="L65" s="1462">
        <v>50</v>
      </c>
      <c r="M65" s="1464">
        <v>0.02</v>
      </c>
      <c r="O65" s="1417" t="s">
        <v>403</v>
      </c>
      <c r="P65" s="1418" t="s">
        <v>868</v>
      </c>
      <c r="Q65" s="1419">
        <f ca="1">C40+J29</f>
        <v>12741</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-28</v>
      </c>
      <c r="D67" s="963" t="s">
        <v>753</v>
      </c>
      <c r="E67" s="968"/>
      <c r="F67" s="969"/>
      <c r="O67" s="1427" t="s">
        <v>405</v>
      </c>
      <c r="P67" s="1418" t="s">
        <v>850</v>
      </c>
      <c r="Q67" s="1465">
        <f ca="1">L51</f>
        <v>5766</v>
      </c>
      <c r="R67" s="1419" t="s">
        <v>870</v>
      </c>
    </row>
    <row r="68" spans="1:18" s="1383" customFormat="1" ht="16.5" thickBot="1">
      <c r="A68" s="947" t="s">
        <v>395</v>
      </c>
      <c r="B68" s="948" t="s">
        <v>774</v>
      </c>
      <c r="C68" s="301">
        <f ca="1">ROUND(C67*(1-((1+F70)/(1+F68))^F69)/(F68-F70),0)</f>
        <v>-438</v>
      </c>
      <c r="D68" s="965" t="s">
        <v>758</v>
      </c>
      <c r="E68" s="950" t="s">
        <v>759</v>
      </c>
      <c r="F68" s="312">
        <f ca="1">F40</f>
        <v>5.5E-2</v>
      </c>
      <c r="O68" s="1427" t="s">
        <v>406</v>
      </c>
      <c r="P68" s="1466" t="s">
        <v>871</v>
      </c>
      <c r="Q68" s="1419">
        <f ca="1">ROUND(Q69-Q70*Q71,0)</f>
        <v>342</v>
      </c>
      <c r="R68" s="1419" t="s">
        <v>414</v>
      </c>
    </row>
    <row r="69" spans="1:18" s="1383" customFormat="1" ht="13.5" thickBot="1">
      <c r="A69" s="951"/>
      <c r="B69" s="952"/>
      <c r="C69" s="306"/>
      <c r="D69" s="970" t="s">
        <v>762</v>
      </c>
      <c r="E69" s="950" t="s">
        <v>763</v>
      </c>
      <c r="F69" s="333">
        <f ca="1">F41</f>
        <v>36.840000000000003</v>
      </c>
      <c r="O69" s="1427" t="s">
        <v>411</v>
      </c>
      <c r="P69" s="1466" t="s">
        <v>872</v>
      </c>
      <c r="Q69" s="1419">
        <f ca="1">C39</f>
        <v>584</v>
      </c>
      <c r="R69" s="1419" t="s">
        <v>818</v>
      </c>
    </row>
    <row r="70" spans="1:18" s="1383" customFormat="1" ht="13.5" thickBot="1">
      <c r="A70" s="954"/>
      <c r="B70" s="955"/>
      <c r="C70" s="310"/>
      <c r="D70" s="966"/>
      <c r="E70" s="950" t="s">
        <v>766</v>
      </c>
      <c r="F70" s="1053"/>
      <c r="O70" s="1427" t="s">
        <v>412</v>
      </c>
      <c r="P70" s="1466" t="s">
        <v>873</v>
      </c>
      <c r="Q70" s="1419">
        <f ca="1">C13</f>
        <v>3027</v>
      </c>
      <c r="R70" s="1419" t="s">
        <v>818</v>
      </c>
    </row>
    <row r="71" spans="1:18" s="1383" customFormat="1" ht="13.5" thickBot="1">
      <c r="A71" s="971" t="s">
        <v>396</v>
      </c>
      <c r="B71" s="972" t="s">
        <v>776</v>
      </c>
      <c r="C71" s="336">
        <f ca="1">ROUND(C68*10000/F71,0)</f>
        <v>-507</v>
      </c>
      <c r="D71" s="973" t="s">
        <v>777</v>
      </c>
      <c r="E71" s="974" t="s">
        <v>778</v>
      </c>
      <c r="F71" s="339">
        <f ca="1">F43</f>
        <v>8640.14</v>
      </c>
      <c r="O71" s="1427" t="s">
        <v>413</v>
      </c>
      <c r="P71" s="1466" t="s">
        <v>874</v>
      </c>
      <c r="Q71" s="1430">
        <f ca="1">C76</f>
        <v>0.08</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242</v>
      </c>
      <c r="D75" s="1383"/>
      <c r="E75" s="1383"/>
      <c r="F75" s="1383"/>
      <c r="K75" s="1401"/>
      <c r="L75" s="1383"/>
      <c r="O75" s="1417" t="s">
        <v>409</v>
      </c>
      <c r="P75" s="1418" t="s">
        <v>838</v>
      </c>
      <c r="Q75" s="1419">
        <f ca="1">Q65+Q66</f>
        <v>12741</v>
      </c>
      <c r="R75" s="1419" t="s">
        <v>410</v>
      </c>
    </row>
    <row r="76" spans="1:18">
      <c r="B76" s="342" t="s">
        <v>796</v>
      </c>
      <c r="C76" s="343">
        <f ca="1">INDIRECT("'数据-取费表'!j"&amp;$G$1)</f>
        <v>0.08</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0.58600000000000008</v>
      </c>
    </row>
    <row r="80" spans="1:18">
      <c r="B80" s="340" t="s">
        <v>800</v>
      </c>
      <c r="C80" s="274">
        <f ca="1">ROUND(C75/C39,3)</f>
        <v>0.41399999999999998</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t="e">
        <f ca="1">ROUND(D2/10000,4)</f>
        <v>#DIV/0!</v>
      </c>
      <c r="C2" s="1386" t="s">
        <v>879</v>
      </c>
      <c r="D2" s="1470" t="e">
        <f ca="1">C40+J29+L46</f>
        <v>#DIV/0!</v>
      </c>
      <c r="E2" s="1387" t="s">
        <v>880</v>
      </c>
      <c r="F2" s="1388"/>
      <c r="G2" s="2701"/>
      <c r="H2" s="2690"/>
      <c r="I2" s="2690"/>
      <c r="J2" s="2690"/>
      <c r="K2" s="2691"/>
      <c r="L2" s="2690"/>
      <c r="M2" s="2690"/>
    </row>
    <row r="3" spans="1:37" ht="18" customHeight="1" thickBot="1">
      <c r="A3" s="1389" t="s">
        <v>881</v>
      </c>
      <c r="B3" s="1390">
        <f ca="1">IF(ISERROR(D2/F43),0,ROUND(D2/F43,0))</f>
        <v>0</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64" t="s">
        <v>694</v>
      </c>
      <c r="C6" s="1073">
        <f ca="1">ROUND(F6*F8*F7*(1-F9),0)</f>
        <v>0</v>
      </c>
      <c r="D6" s="155" t="s">
        <v>2106</v>
      </c>
      <c r="E6" s="302" t="s">
        <v>696</v>
      </c>
      <c r="F6" s="303">
        <f ca="1">INDIRECT("'数据-取费表'!u"&amp;$G$1)</f>
        <v>0</v>
      </c>
      <c r="G6" s="1383"/>
      <c r="H6" s="1068" t="s">
        <v>398</v>
      </c>
      <c r="I6" s="3664" t="s">
        <v>694</v>
      </c>
      <c r="J6" s="301">
        <f ca="1">ROUND(M6*M8*M7*(1-M9),0)</f>
        <v>0</v>
      </c>
      <c r="K6" s="1375" t="s">
        <v>2107</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0</v>
      </c>
      <c r="G7" s="1383"/>
      <c r="H7" s="304"/>
      <c r="I7" s="3665"/>
      <c r="J7" s="306"/>
      <c r="K7" s="307"/>
      <c r="L7" s="302" t="s">
        <v>697</v>
      </c>
      <c r="M7" s="303">
        <f ca="1">F7</f>
        <v>0</v>
      </c>
    </row>
    <row r="8" spans="1:37" ht="18" customHeight="1">
      <c r="A8" s="304"/>
      <c r="B8" s="3665"/>
      <c r="C8" s="306"/>
      <c r="D8" s="307"/>
      <c r="E8" s="302" t="s">
        <v>698</v>
      </c>
      <c r="F8" s="303">
        <f ca="1">INDIRECT("'数据-取费表'!ai"&amp;$G$1)</f>
        <v>0</v>
      </c>
      <c r="G8" s="1383"/>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3"/>
      <c r="H9" s="304"/>
      <c r="I9" s="366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0.01</v>
      </c>
      <c r="G20" s="1395"/>
      <c r="H20" s="982"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销售费用×((1+利率)^(建设周期÷2)-1)</v>
      </c>
      <c r="E24" s="302" t="s">
        <v>747</v>
      </c>
      <c r="F24" s="331">
        <f ca="1">'数据-取费表'!B40</f>
        <v>3.3500000000000002E-2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2"/>
      <c r="I30" s="1397"/>
      <c r="J30" s="1398"/>
      <c r="K30" s="2472"/>
      <c r="L30" s="2693"/>
      <c r="M30" s="2694"/>
    </row>
    <row r="31" spans="1:37" ht="18" customHeight="1">
      <c r="A31" s="982"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3" t="s">
        <v>2308</v>
      </c>
      <c r="I31" s="1397"/>
      <c r="J31" s="1398"/>
      <c r="K31" s="2472"/>
      <c r="L31" s="2693"/>
      <c r="M31" s="2694"/>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2"/>
      <c r="I32" s="1397"/>
      <c r="J32" s="1398"/>
      <c r="K32" s="2472"/>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5"/>
      <c r="I33" s="1397"/>
      <c r="J33" s="1398"/>
      <c r="K33" s="2696"/>
      <c r="L33" s="2695"/>
      <c r="M33" s="2695"/>
    </row>
    <row r="34" spans="1:18" ht="18" customHeight="1">
      <c r="A34" s="1068" t="s">
        <v>680</v>
      </c>
      <c r="B34" s="155" t="s">
        <v>730</v>
      </c>
      <c r="C34" s="22">
        <f ca="1">IF(项目基本情况!B11="自然人","——",ROUND(F34*F35,0))</f>
        <v>0</v>
      </c>
      <c r="D34" s="324" t="s">
        <v>731</v>
      </c>
      <c r="E34" s="302" t="s">
        <v>732</v>
      </c>
      <c r="F34" s="325">
        <f>'数据-取费表'!B52</f>
        <v>3</v>
      </c>
      <c r="G34" s="1383"/>
      <c r="H34" s="2692"/>
      <c r="I34" s="1397"/>
      <c r="J34" s="1398"/>
      <c r="K34" s="2697"/>
      <c r="L34" s="2698"/>
      <c r="M34" s="2698"/>
    </row>
    <row r="35" spans="1:18" ht="18" customHeight="1">
      <c r="A35" s="1102"/>
      <c r="B35" s="1100"/>
      <c r="C35" s="26"/>
      <c r="D35" s="327"/>
      <c r="E35" s="302" t="s">
        <v>736</v>
      </c>
      <c r="F35" s="303">
        <f ca="1">INDIRECT("'数据-取费表'!r"&amp;$G$1)</f>
        <v>0</v>
      </c>
      <c r="G35" s="1383"/>
      <c r="H35" s="2692"/>
      <c r="I35" s="1397"/>
      <c r="J35" s="1398"/>
      <c r="K35" s="2696"/>
      <c r="L35" s="2695"/>
      <c r="M35" s="2695"/>
    </row>
    <row r="36" spans="1:18" ht="18" customHeight="1">
      <c r="A36" s="1101" t="s">
        <v>402</v>
      </c>
      <c r="B36" s="302" t="s">
        <v>738</v>
      </c>
      <c r="C36" s="21">
        <f ca="1">ROUND(C29*F36,0)</f>
        <v>0</v>
      </c>
      <c r="D36" s="1343" t="s">
        <v>771</v>
      </c>
      <c r="E36" s="302" t="s">
        <v>712</v>
      </c>
      <c r="F36" s="328">
        <f ca="1">INDIRECT("'数据-取费表'!Ak"&amp;$G$1)</f>
        <v>0</v>
      </c>
      <c r="G36" s="1383"/>
      <c r="H36" s="2695"/>
      <c r="I36" s="1397"/>
      <c r="J36" s="1398"/>
      <c r="K36" s="2541"/>
      <c r="L36" s="2695"/>
      <c r="M36" s="2695"/>
    </row>
    <row r="37" spans="1:18" ht="18" customHeight="1">
      <c r="A37" s="982" t="s">
        <v>437</v>
      </c>
      <c r="B37" s="302" t="s">
        <v>742</v>
      </c>
      <c r="C37" s="21">
        <f ca="1">ROUND(C13*F37,0)</f>
        <v>0</v>
      </c>
      <c r="D37" s="1343" t="s">
        <v>743</v>
      </c>
      <c r="E37" s="302" t="s">
        <v>744</v>
      </c>
      <c r="F37" s="330">
        <f ca="1">INDIRECT("'数据-取费表'!Al"&amp;$G$1)</f>
        <v>0</v>
      </c>
      <c r="G37" s="1383"/>
      <c r="H37" s="2695"/>
      <c r="I37" s="1397"/>
      <c r="J37" s="1398"/>
      <c r="K37" s="2541"/>
      <c r="L37" s="2695"/>
      <c r="M37" s="2695"/>
    </row>
    <row r="38" spans="1:18" ht="18" customHeight="1" thickBot="1">
      <c r="A38" s="1088" t="s">
        <v>684</v>
      </c>
      <c r="B38" s="1089" t="s">
        <v>728</v>
      </c>
      <c r="C38" s="1090">
        <f ca="1">ROUND(C5*F38,0)</f>
        <v>0</v>
      </c>
      <c r="D38" s="1091" t="s">
        <v>748</v>
      </c>
      <c r="E38" s="1089" t="s">
        <v>744</v>
      </c>
      <c r="F38" s="1085">
        <f ca="1">INDIRECT("'数据-取费表'!Am"&amp;$G$1)</f>
        <v>0</v>
      </c>
      <c r="G38" s="1383"/>
      <c r="H38" s="2695"/>
      <c r="I38" s="1397"/>
      <c r="J38" s="1398"/>
      <c r="K38" s="2699"/>
      <c r="L38" s="2695"/>
      <c r="M38" s="2695"/>
    </row>
    <row r="39" spans="1:18" ht="24.6" customHeight="1" thickTop="1">
      <c r="A39" s="1078" t="s">
        <v>394</v>
      </c>
      <c r="B39" s="1093" t="s">
        <v>772</v>
      </c>
      <c r="C39" s="310">
        <f ca="1">C5-C30</f>
        <v>0</v>
      </c>
      <c r="D39" s="1094" t="s">
        <v>773</v>
      </c>
      <c r="E39" s="1095"/>
      <c r="F39" s="1096"/>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6" t="s">
        <v>3354</v>
      </c>
      <c r="B45" s="1399"/>
      <c r="C45" s="1471" t="e">
        <f ca="1">ROUND((C68-C40)/10000,4)</f>
        <v>#DIV/0!</v>
      </c>
      <c r="D45" s="3427"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5">
        <f ca="1">IF(M47="住宅",IF(D1="——",MAX(J51,L48),MAX(J51,L48-'数据-取费表'!B24)),IF(D1="——",MIN(J51,L48),MIN(J51,L48-'数据-取费表'!B24)))</f>
        <v>0</v>
      </c>
      <c r="K53" s="3662" t="s">
        <v>837</v>
      </c>
      <c r="L53" s="366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4" t="s">
        <v>2317</v>
      </c>
      <c r="B2" s="2838" t="e">
        <f>IF(D2="——",C40,C40+E2)</f>
        <v>#DIV/0!</v>
      </c>
      <c r="C2" s="2839" t="s">
        <v>2318</v>
      </c>
      <c r="D2" s="3438" t="s">
        <v>3361</v>
      </c>
      <c r="E2" s="3439"/>
      <c r="F2" s="2841"/>
      <c r="G2" s="2842"/>
      <c r="H2" s="2843"/>
      <c r="I2" s="2844"/>
      <c r="J2" s="3667" t="s">
        <v>2319</v>
      </c>
      <c r="K2" s="3668"/>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669" t="s">
        <v>2329</v>
      </c>
      <c r="K3" s="3670"/>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669" t="s">
        <v>2331</v>
      </c>
      <c r="K4" s="3670"/>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671" t="s">
        <v>2335</v>
      </c>
      <c r="B6" s="3672"/>
      <c r="C6" s="3673"/>
      <c r="D6" s="2865"/>
      <c r="E6" s="2866"/>
      <c r="F6" s="2867"/>
      <c r="G6" s="2868"/>
      <c r="H6" s="2843"/>
      <c r="I6" s="2844"/>
      <c r="J6" s="3674">
        <v>1</v>
      </c>
      <c r="K6" s="3675"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674"/>
      <c r="K7" s="3676"/>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678" t="s">
        <v>2349</v>
      </c>
      <c r="C8" s="3679"/>
      <c r="D8" s="2884" t="s">
        <v>2350</v>
      </c>
      <c r="E8" s="2885" t="s">
        <v>2351</v>
      </c>
      <c r="F8" s="2886" t="s">
        <v>2352</v>
      </c>
      <c r="G8" s="2887"/>
      <c r="H8" s="2843"/>
      <c r="I8" s="2844"/>
      <c r="J8" s="3674"/>
      <c r="K8" s="3676"/>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678" t="s">
        <v>2355</v>
      </c>
      <c r="C9" s="3679"/>
      <c r="D9" s="2884">
        <f>ROUND(D6*E9,0)</f>
        <v>0</v>
      </c>
      <c r="E9" s="2888"/>
      <c r="F9" s="2889" t="s">
        <v>2356</v>
      </c>
      <c r="G9" s="2868"/>
      <c r="H9" s="2843"/>
      <c r="I9" s="2844"/>
      <c r="J9" s="3674"/>
      <c r="K9" s="3676"/>
      <c r="L9" s="2878" t="s">
        <v>2357</v>
      </c>
      <c r="M9" s="2879"/>
      <c r="N9" s="2855"/>
      <c r="O9" s="2880"/>
      <c r="P9" s="2880"/>
      <c r="Q9" s="2881">
        <v>365</v>
      </c>
      <c r="R9" s="2882">
        <f t="shared" si="0"/>
        <v>0</v>
      </c>
      <c r="S9" s="2836"/>
      <c r="T9" s="2836"/>
      <c r="U9" s="2836"/>
      <c r="V9" s="2844"/>
    </row>
    <row r="10" spans="1:22" s="2848" customFormat="1" ht="13.15" customHeight="1">
      <c r="A10" s="2883">
        <v>2</v>
      </c>
      <c r="B10" s="3678" t="s">
        <v>2358</v>
      </c>
      <c r="C10" s="3679"/>
      <c r="D10" s="2884">
        <f>ROUND(D6*E10,0)</f>
        <v>0</v>
      </c>
      <c r="E10" s="2888"/>
      <c r="F10" s="2889" t="s">
        <v>2359</v>
      </c>
      <c r="G10" s="2868"/>
      <c r="H10" s="2843"/>
      <c r="I10" s="2844"/>
      <c r="J10" s="3674"/>
      <c r="K10" s="3676"/>
      <c r="L10" s="2878" t="s">
        <v>2360</v>
      </c>
      <c r="M10" s="2879"/>
      <c r="N10" s="2855"/>
      <c r="O10" s="2880"/>
      <c r="P10" s="2880"/>
      <c r="Q10" s="2881">
        <v>365</v>
      </c>
      <c r="R10" s="2882">
        <f t="shared" si="0"/>
        <v>0</v>
      </c>
      <c r="S10" s="2836"/>
      <c r="T10" s="2836"/>
      <c r="U10" s="2836"/>
      <c r="V10" s="2844"/>
    </row>
    <row r="11" spans="1:22" s="2848" customFormat="1" ht="13.15" customHeight="1">
      <c r="A11" s="2883">
        <v>3</v>
      </c>
      <c r="B11" s="3678" t="s">
        <v>2361</v>
      </c>
      <c r="C11" s="3679"/>
      <c r="D11" s="2884">
        <f>D12+D14+D15+D16</f>
        <v>0</v>
      </c>
      <c r="E11" s="2890" t="e">
        <f>D11/D6</f>
        <v>#DIV/0!</v>
      </c>
      <c r="F11" s="2886"/>
      <c r="G11" s="2887"/>
      <c r="H11" s="2843"/>
      <c r="I11" s="2844"/>
      <c r="J11" s="3674"/>
      <c r="K11" s="3676"/>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680" t="s">
        <v>2364</v>
      </c>
      <c r="C12" s="3681"/>
      <c r="D12" s="2892">
        <f>ROUND(D13*1.2%*(1-30%),0)</f>
        <v>0</v>
      </c>
      <c r="E12" s="2893">
        <v>1.2E-2</v>
      </c>
      <c r="F12" s="2886" t="s">
        <v>2365</v>
      </c>
      <c r="G12" s="2887"/>
      <c r="H12" s="2843"/>
      <c r="I12" s="2844"/>
      <c r="J12" s="3674"/>
      <c r="K12" s="3676"/>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674"/>
      <c r="K13" s="3676"/>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680" t="s">
        <v>2370</v>
      </c>
      <c r="C14" s="3681"/>
      <c r="D14" s="2892">
        <f>ROUND(E14*B5/10000,0)</f>
        <v>0</v>
      </c>
      <c r="E14" s="2881"/>
      <c r="F14" s="2886" t="s">
        <v>2371</v>
      </c>
      <c r="G14" s="2887"/>
      <c r="H14" s="2843"/>
      <c r="I14" s="2844"/>
      <c r="J14" s="3674"/>
      <c r="K14" s="3677"/>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680" t="s">
        <v>2374</v>
      </c>
      <c r="C15" s="3681"/>
      <c r="D15" s="2892">
        <f>ROUND(D6*E15,0)</f>
        <v>0</v>
      </c>
      <c r="E15" s="2893">
        <v>5.5E-2</v>
      </c>
      <c r="F15" s="2886" t="s">
        <v>2375</v>
      </c>
      <c r="G15" s="2868"/>
      <c r="H15" s="2843"/>
      <c r="I15" s="2844"/>
      <c r="J15" s="3674">
        <v>2</v>
      </c>
      <c r="K15" s="3675"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680" t="s">
        <v>2383</v>
      </c>
      <c r="C16" s="3681"/>
      <c r="D16" s="2903">
        <f>D6*E16</f>
        <v>0</v>
      </c>
      <c r="E16" s="2904"/>
      <c r="F16" s="2889" t="s">
        <v>2384</v>
      </c>
      <c r="G16" s="2868"/>
      <c r="H16" s="2843"/>
      <c r="I16" s="2844"/>
      <c r="J16" s="3674"/>
      <c r="K16" s="3676"/>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682" t="s">
        <v>2386</v>
      </c>
      <c r="C17" s="3683"/>
      <c r="D17" s="2906">
        <f>ROUND(D6*E17,0)</f>
        <v>0</v>
      </c>
      <c r="E17" s="2907"/>
      <c r="F17" s="2908" t="s">
        <v>2387</v>
      </c>
      <c r="G17" s="2868"/>
      <c r="H17" s="2843"/>
      <c r="I17" s="2844"/>
      <c r="J17" s="3674"/>
      <c r="K17" s="3676"/>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674"/>
      <c r="K18" s="3676"/>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674"/>
      <c r="K19" s="3677"/>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74">
        <v>3</v>
      </c>
      <c r="K20" s="3675"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674"/>
      <c r="K21" s="3676"/>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674"/>
      <c r="K22" s="3676"/>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674"/>
      <c r="K23" s="3676"/>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674"/>
      <c r="K24" s="3677"/>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684">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68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667" t="s">
        <v>2319</v>
      </c>
      <c r="K32" s="3668"/>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669" t="s">
        <v>2329</v>
      </c>
      <c r="K33" s="3670"/>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669" t="s">
        <v>2331</v>
      </c>
      <c r="K34" s="367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674">
        <v>1</v>
      </c>
      <c r="K36" s="3675"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674"/>
      <c r="K37" s="3676"/>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74"/>
      <c r="K38" s="3676"/>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674"/>
      <c r="K39" s="3676"/>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674"/>
      <c r="K40" s="3677"/>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684">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68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4" t="s">
        <v>1658</v>
      </c>
      <c r="B1" s="1865"/>
      <c r="C1" s="1865"/>
      <c r="D1" s="1865"/>
      <c r="E1" s="1866"/>
      <c r="F1" s="2702"/>
      <c r="G1" s="1488"/>
      <c r="H1" s="1488"/>
      <c r="I1" s="1488"/>
      <c r="J1" s="1488"/>
      <c r="K1" s="1488"/>
      <c r="L1" s="1488"/>
      <c r="M1" s="1488"/>
      <c r="N1" s="1488"/>
      <c r="O1" s="1488"/>
      <c r="P1" s="1488"/>
      <c r="Q1" s="1488"/>
      <c r="R1" s="1488"/>
      <c r="S1" s="1488"/>
    </row>
    <row r="2" spans="1:22" ht="15.75">
      <c r="A2" s="1867" t="s">
        <v>1462</v>
      </c>
      <c r="B2" s="1868">
        <f ca="1">SUMIF(B6:B13,"&lt;&gt;#ref!",B6:B13)</f>
        <v>12854</v>
      </c>
      <c r="C2" s="1869" t="s">
        <v>1651</v>
      </c>
      <c r="D2" s="1870" t="s">
        <v>1652</v>
      </c>
      <c r="E2" s="2604">
        <f>SUM(E6:E13)</f>
        <v>8640.14</v>
      </c>
      <c r="F2" s="2702"/>
      <c r="G2" s="1488"/>
      <c r="H2" s="1488"/>
      <c r="I2" s="1488"/>
      <c r="J2" s="1488"/>
      <c r="K2" s="1488"/>
      <c r="L2" s="1488"/>
      <c r="M2" s="1488"/>
      <c r="N2" s="1488"/>
      <c r="O2" s="1488"/>
      <c r="P2" s="1488"/>
      <c r="Q2" s="1488"/>
      <c r="R2" s="1488"/>
      <c r="S2" s="1488"/>
    </row>
    <row r="3" spans="1:22" ht="15.75">
      <c r="A3" s="1867" t="s">
        <v>686</v>
      </c>
      <c r="B3" s="2598">
        <f ca="1">ROUND(B2*10000/E2,0)</f>
        <v>14877</v>
      </c>
      <c r="C3" s="1869"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600" t="s">
        <v>1653</v>
      </c>
      <c r="B5" s="3686" t="s">
        <v>1654</v>
      </c>
      <c r="C5" s="3687"/>
      <c r="D5" s="2703"/>
      <c r="E5" s="1871" t="s">
        <v>1655</v>
      </c>
      <c r="F5" s="1872" t="s">
        <v>1656</v>
      </c>
      <c r="G5" s="1488"/>
      <c r="H5" s="1488"/>
      <c r="I5" s="1488"/>
      <c r="J5" s="1488"/>
      <c r="K5" s="1488"/>
      <c r="L5" s="1488"/>
      <c r="M5" s="1488"/>
      <c r="N5" s="1488"/>
      <c r="O5" s="1488"/>
      <c r="P5" s="1488"/>
      <c r="Q5" s="1488"/>
      <c r="R5" s="1488"/>
      <c r="S5" s="1488"/>
    </row>
    <row r="6" spans="1:22">
      <c r="A6" s="2601" t="str">
        <f>'数据-取费表'!AN6</f>
        <v>收益法</v>
      </c>
      <c r="B6" s="2599">
        <f ca="1">IF(F6="是",'数据-取费表'!AO6,0)</f>
        <v>12854</v>
      </c>
      <c r="C6" s="1869" t="s">
        <v>1651</v>
      </c>
      <c r="D6" s="2704"/>
      <c r="E6" s="2603">
        <f>IF(OR(A6=0,F6="否"),0,'数据-取费表'!K6+'数据-取费表'!S6)</f>
        <v>8640.14</v>
      </c>
      <c r="F6" s="1873"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69" t="s">
        <v>1651</v>
      </c>
      <c r="D7" s="2704"/>
      <c r="E7" s="2603">
        <f>IF(OR(A7=0,F7="否"),0,'数据-取费表'!K7+'数据-取费表'!S7)</f>
        <v>0</v>
      </c>
      <c r="F7" s="1873"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69" t="s">
        <v>1651</v>
      </c>
      <c r="D8" s="2704"/>
      <c r="E8" s="2603">
        <f>IF(OR(A8=0,F8="否"),0,'数据-取费表'!K8+'数据-取费表'!S8)</f>
        <v>0</v>
      </c>
      <c r="F8" s="1873"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69" t="s">
        <v>1651</v>
      </c>
      <c r="D9" s="2704"/>
      <c r="E9" s="2603">
        <f>IF(OR(A9=0,F9="否"),0,'数据-取费表'!K9+'数据-取费表'!S9)</f>
        <v>0</v>
      </c>
      <c r="F9" s="1873"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69" t="s">
        <v>1651</v>
      </c>
      <c r="D10" s="2704"/>
      <c r="E10" s="2603">
        <f>IF(OR(A10=0,F10="否"),0,'数据-取费表'!K10+'数据-取费表'!S10)</f>
        <v>0</v>
      </c>
      <c r="F10" s="1873"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69" t="s">
        <v>1651</v>
      </c>
      <c r="D11" s="2704"/>
      <c r="E11" s="2603">
        <f>IF(OR(A11=0,F11="否"),0,'数据-取费表'!K11+'数据-取费表'!S11)</f>
        <v>0</v>
      </c>
      <c r="F11" s="1873"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69" t="s">
        <v>1651</v>
      </c>
      <c r="D12" s="2704"/>
      <c r="E12" s="2603">
        <f>IF(OR(A12=0,F12="否"),0,'数据-取费表'!K12+'数据-取费表'!S12)</f>
        <v>0</v>
      </c>
      <c r="F12" s="1873"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4" t="s">
        <v>1651</v>
      </c>
      <c r="D13" s="2705"/>
      <c r="E13" s="2603">
        <f>IF(OR(A13=0,F13="否"),0,'数据-取费表'!K13+'数据-取费表'!S13)</f>
        <v>0</v>
      </c>
      <c r="F13" s="1873"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5" t="s">
        <v>1661</v>
      </c>
      <c r="C1" s="1237" t="s">
        <v>1662</v>
      </c>
      <c r="D1" s="1224"/>
      <c r="E1" s="3421"/>
      <c r="F1" s="1876"/>
      <c r="G1" s="1234" t="s">
        <v>1663</v>
      </c>
      <c r="H1" s="1233"/>
      <c r="I1" s="1233"/>
      <c r="J1" s="1233"/>
      <c r="K1" s="1235"/>
      <c r="L1" s="1236"/>
      <c r="M1" s="1237"/>
      <c r="N1" s="1237"/>
      <c r="O1" s="1237"/>
      <c r="P1" s="1877"/>
      <c r="Q1" s="1223"/>
      <c r="R1" s="1223"/>
      <c r="S1" s="1223"/>
      <c r="T1" s="1223"/>
      <c r="U1" s="1223"/>
      <c r="V1" s="1223"/>
      <c r="W1" s="1223"/>
      <c r="X1" s="1223"/>
      <c r="Y1" s="1223"/>
      <c r="Z1" s="1223"/>
      <c r="AA1" s="1223"/>
      <c r="AB1" s="1223"/>
      <c r="AC1" s="1231"/>
    </row>
    <row r="2" spans="1:29" s="347" customFormat="1" ht="28.5" customHeight="1" thickTop="1">
      <c r="A2" s="1220" t="s">
        <v>685</v>
      </c>
      <c r="B2" s="3422"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7"/>
      <c r="H2" s="907"/>
      <c r="I2" s="907"/>
      <c r="J2" s="907"/>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8640.14</v>
      </c>
      <c r="E3" s="907"/>
      <c r="F3" s="1885"/>
      <c r="G3" s="907"/>
      <c r="H3" s="907"/>
      <c r="I3" s="907"/>
      <c r="J3" s="907"/>
      <c r="K3" s="1881"/>
      <c r="L3" s="2708"/>
      <c r="M3" s="2709"/>
      <c r="N3" s="2709"/>
      <c r="O3" s="2709"/>
      <c r="P3" s="1882"/>
      <c r="Q3" s="1883"/>
      <c r="R3" s="1883"/>
      <c r="S3" s="1883"/>
      <c r="T3" s="1883"/>
      <c r="U3" s="1883"/>
      <c r="V3" s="1883"/>
      <c r="W3" s="1883"/>
      <c r="X3" s="1883"/>
      <c r="Y3" s="1883"/>
      <c r="Z3" s="1883"/>
      <c r="AA3" s="1883"/>
      <c r="AB3" s="1883"/>
      <c r="AC3" s="1060"/>
    </row>
    <row r="4" spans="1:29" ht="15">
      <c r="A4" s="355" t="s">
        <v>1666</v>
      </c>
      <c r="B4" s="356"/>
      <c r="C4" s="3706" t="s">
        <v>1667</v>
      </c>
      <c r="D4" s="3707"/>
      <c r="E4" s="3708" t="s">
        <v>1668</v>
      </c>
      <c r="F4" s="3709"/>
      <c r="G4" s="3706" t="s">
        <v>1669</v>
      </c>
      <c r="H4" s="3707"/>
      <c r="I4" s="3706" t="s">
        <v>1670</v>
      </c>
      <c r="J4" s="3707"/>
      <c r="K4" s="1886" t="s">
        <v>1671</v>
      </c>
      <c r="L4" s="2710"/>
      <c r="M4" s="2711"/>
      <c r="N4" s="2711"/>
      <c r="O4" s="2711"/>
      <c r="P4" s="3710" t="s">
        <v>1672</v>
      </c>
      <c r="Q4" s="3711"/>
      <c r="R4" s="3693" t="s">
        <v>1668</v>
      </c>
      <c r="S4" s="3694"/>
      <c r="T4" s="3693" t="s">
        <v>1669</v>
      </c>
      <c r="U4" s="3694"/>
      <c r="V4" s="3718" t="s">
        <v>1670</v>
      </c>
      <c r="W4" s="3718"/>
      <c r="X4" s="1354"/>
      <c r="Y4" s="3693" t="s">
        <v>1672</v>
      </c>
      <c r="Z4" s="3694"/>
      <c r="AA4" s="3688" t="s">
        <v>1668</v>
      </c>
      <c r="AB4" s="3688" t="s">
        <v>1669</v>
      </c>
      <c r="AC4" s="3688" t="s">
        <v>1670</v>
      </c>
    </row>
    <row r="5" spans="1:29" ht="15">
      <c r="A5" s="358"/>
      <c r="B5" s="359"/>
      <c r="C5" s="3699" t="s">
        <v>1673</v>
      </c>
      <c r="D5" s="3700"/>
      <c r="E5" s="3697" t="s">
        <v>1674</v>
      </c>
      <c r="F5" s="3698"/>
      <c r="G5" s="3699" t="s">
        <v>1675</v>
      </c>
      <c r="H5" s="3700"/>
      <c r="I5" s="3699" t="s">
        <v>1676</v>
      </c>
      <c r="J5" s="3700"/>
      <c r="K5" s="1887"/>
      <c r="L5" s="2710"/>
      <c r="M5" s="2711"/>
      <c r="N5" s="2711"/>
      <c r="O5" s="2711"/>
      <c r="P5" s="3712"/>
      <c r="Q5" s="3713"/>
      <c r="R5" s="3695"/>
      <c r="S5" s="3696"/>
      <c r="T5" s="3695"/>
      <c r="U5" s="3696"/>
      <c r="V5" s="3718"/>
      <c r="W5" s="3718"/>
      <c r="X5" s="1354"/>
      <c r="Y5" s="3695"/>
      <c r="Z5" s="3696"/>
      <c r="AA5" s="3689"/>
      <c r="AB5" s="3689"/>
      <c r="AC5" s="3689"/>
    </row>
    <row r="6" spans="1:29" ht="15.75" thickBot="1">
      <c r="A6" s="360"/>
      <c r="B6" s="361"/>
      <c r="C6" s="3701" t="s">
        <v>1677</v>
      </c>
      <c r="D6" s="3702"/>
      <c r="E6" s="3703" t="s">
        <v>1677</v>
      </c>
      <c r="F6" s="3704"/>
      <c r="G6" s="3701" t="s">
        <v>1677</v>
      </c>
      <c r="H6" s="3702"/>
      <c r="I6" s="3701" t="s">
        <v>1677</v>
      </c>
      <c r="J6" s="3702"/>
      <c r="K6" s="1887" t="s">
        <v>1678</v>
      </c>
      <c r="L6" s="2710"/>
      <c r="M6" s="2711"/>
      <c r="N6" s="2711"/>
      <c r="O6" s="2711"/>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45516</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691" t="s">
        <v>1680</v>
      </c>
      <c r="Q7" s="3719"/>
      <c r="R7" s="701" t="s">
        <v>20</v>
      </c>
      <c r="S7" s="702">
        <f t="shared" ref="S7:S15" si="0">F7</f>
        <v>0</v>
      </c>
      <c r="T7" s="701" t="s">
        <v>20</v>
      </c>
      <c r="U7" s="702">
        <f t="shared" ref="U7:U15" si="1">H7</f>
        <v>0</v>
      </c>
      <c r="V7" s="701" t="s">
        <v>20</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691" t="s">
        <v>1683</v>
      </c>
      <c r="Q8" s="3692"/>
      <c r="R8" s="701" t="s">
        <v>20</v>
      </c>
      <c r="S8" s="702">
        <f t="shared" si="0"/>
        <v>100</v>
      </c>
      <c r="T8" s="701" t="s">
        <v>20</v>
      </c>
      <c r="U8" s="702">
        <f t="shared" si="1"/>
        <v>100</v>
      </c>
      <c r="V8" s="701" t="s">
        <v>20</v>
      </c>
      <c r="W8" s="702">
        <f t="shared" si="2"/>
        <v>100</v>
      </c>
      <c r="X8" s="703"/>
      <c r="Y8" s="3691" t="s">
        <v>1683</v>
      </c>
      <c r="Z8" s="369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705" t="s">
        <v>1686</v>
      </c>
      <c r="Q9" s="1342"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705"/>
      <c r="Q10" s="1342"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05"/>
      <c r="Q11" s="1342"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705"/>
      <c r="Q12" s="1342">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705"/>
      <c r="Q13" s="1342">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705"/>
      <c r="Q14" s="1342">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32" t="s">
        <v>1691</v>
      </c>
      <c r="Q15" s="1351" t="str">
        <f t="shared" si="6"/>
        <v>居住社区成熟度</v>
      </c>
      <c r="R15" s="705" t="s">
        <v>18</v>
      </c>
      <c r="S15" s="706">
        <f t="shared" si="0"/>
        <v>100</v>
      </c>
      <c r="T15" s="705" t="s">
        <v>18</v>
      </c>
      <c r="U15" s="706">
        <f t="shared" si="1"/>
        <v>100</v>
      </c>
      <c r="V15" s="705" t="s">
        <v>18</v>
      </c>
      <c r="W15" s="706">
        <f t="shared" si="2"/>
        <v>100</v>
      </c>
      <c r="X15" s="1354"/>
      <c r="Y15" s="3725" t="s">
        <v>1691</v>
      </c>
      <c r="Z15" s="1355" t="str">
        <f t="shared" si="7"/>
        <v>居住社区成熟度</v>
      </c>
      <c r="AA15" s="1352">
        <f t="shared" si="3"/>
        <v>1</v>
      </c>
      <c r="AB15" s="1352">
        <f t="shared" si="4"/>
        <v>1</v>
      </c>
      <c r="AC15" s="1352">
        <f t="shared" si="5"/>
        <v>1</v>
      </c>
    </row>
    <row r="16" spans="1:29" ht="15">
      <c r="A16" s="379"/>
      <c r="B16" s="397"/>
      <c r="C16" s="398"/>
      <c r="D16" s="399"/>
      <c r="E16" s="1894"/>
      <c r="F16" s="399"/>
      <c r="G16" s="1895"/>
      <c r="H16" s="401"/>
      <c r="I16" s="1895"/>
      <c r="J16" s="399"/>
      <c r="K16" s="1896"/>
      <c r="L16" s="2717"/>
      <c r="M16" s="2711"/>
      <c r="N16" s="2711"/>
      <c r="O16" s="2711"/>
      <c r="P16" s="3733"/>
      <c r="Q16" s="1351"/>
      <c r="R16" s="705"/>
      <c r="S16" s="706"/>
      <c r="T16" s="705"/>
      <c r="U16" s="706"/>
      <c r="V16" s="705"/>
      <c r="W16" s="706"/>
      <c r="X16" s="1354"/>
      <c r="Y16" s="3726"/>
      <c r="Z16" s="1355"/>
      <c r="AA16" s="1352">
        <v>1</v>
      </c>
      <c r="AB16" s="1352">
        <v>1</v>
      </c>
      <c r="AC16" s="1352">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33"/>
      <c r="Q17" s="1351" t="str">
        <f>B17</f>
        <v>交通便捷度</v>
      </c>
      <c r="R17" s="705" t="s">
        <v>18</v>
      </c>
      <c r="S17" s="706">
        <f>F17</f>
        <v>100</v>
      </c>
      <c r="T17" s="705" t="s">
        <v>18</v>
      </c>
      <c r="U17" s="706">
        <f>H17</f>
        <v>100</v>
      </c>
      <c r="V17" s="705" t="s">
        <v>18</v>
      </c>
      <c r="W17" s="706">
        <f>J17</f>
        <v>100</v>
      </c>
      <c r="X17" s="1354"/>
      <c r="Y17" s="3726"/>
      <c r="Z17" s="1355" t="str">
        <f>Q17</f>
        <v>交通便捷度</v>
      </c>
      <c r="AA17" s="1352">
        <f t="shared" si="3"/>
        <v>1</v>
      </c>
      <c r="AB17" s="1352">
        <f t="shared" si="4"/>
        <v>1</v>
      </c>
      <c r="AC17" s="1352">
        <f t="shared" si="5"/>
        <v>1</v>
      </c>
    </row>
    <row r="18" spans="1:29" ht="15">
      <c r="A18" s="379"/>
      <c r="B18" s="407"/>
      <c r="C18" s="1898"/>
      <c r="D18" s="401"/>
      <c r="E18" s="1899"/>
      <c r="F18" s="401"/>
      <c r="G18" s="1900"/>
      <c r="H18" s="399"/>
      <c r="I18" s="1900"/>
      <c r="J18" s="399"/>
      <c r="K18" s="1896"/>
      <c r="L18" s="2717"/>
      <c r="M18" s="2711"/>
      <c r="N18" s="2711"/>
      <c r="O18" s="2711"/>
      <c r="P18" s="3733"/>
      <c r="Q18" s="1351"/>
      <c r="R18" s="705"/>
      <c r="S18" s="706"/>
      <c r="T18" s="705"/>
      <c r="U18" s="706"/>
      <c r="V18" s="705"/>
      <c r="W18" s="706"/>
      <c r="X18" s="1354"/>
      <c r="Y18" s="3726"/>
      <c r="Z18" s="1355"/>
      <c r="AA18" s="1352">
        <v>1</v>
      </c>
      <c r="AB18" s="1352">
        <v>1</v>
      </c>
      <c r="AC18" s="1352">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33"/>
      <c r="Q19" s="1351" t="str">
        <f>B19</f>
        <v>公共配套设施</v>
      </c>
      <c r="R19" s="705" t="s">
        <v>18</v>
      </c>
      <c r="S19" s="706">
        <f>F19</f>
        <v>100</v>
      </c>
      <c r="T19" s="705" t="s">
        <v>18</v>
      </c>
      <c r="U19" s="706">
        <f>H19</f>
        <v>100</v>
      </c>
      <c r="V19" s="705" t="s">
        <v>18</v>
      </c>
      <c r="W19" s="706">
        <f>J19</f>
        <v>100</v>
      </c>
      <c r="X19" s="1354"/>
      <c r="Y19" s="3726"/>
      <c r="Z19" s="1355" t="str">
        <f>Q19</f>
        <v>公共配套设施</v>
      </c>
      <c r="AA19" s="1352">
        <f t="shared" si="3"/>
        <v>1</v>
      </c>
      <c r="AB19" s="1352">
        <f t="shared" si="4"/>
        <v>1</v>
      </c>
      <c r="AC19" s="1352">
        <f t="shared" si="5"/>
        <v>1</v>
      </c>
    </row>
    <row r="20" spans="1:29" ht="15">
      <c r="A20" s="379"/>
      <c r="B20" s="407"/>
      <c r="C20" s="398"/>
      <c r="D20" s="399"/>
      <c r="E20" s="1894"/>
      <c r="F20" s="399"/>
      <c r="G20" s="1895"/>
      <c r="H20" s="399"/>
      <c r="I20" s="1895"/>
      <c r="J20" s="399"/>
      <c r="K20" s="1896"/>
      <c r="L20" s="2717"/>
      <c r="M20" s="2711"/>
      <c r="N20" s="2711"/>
      <c r="O20" s="2711"/>
      <c r="P20" s="3733"/>
      <c r="Q20" s="1351"/>
      <c r="R20" s="705"/>
      <c r="S20" s="706"/>
      <c r="T20" s="705"/>
      <c r="U20" s="706"/>
      <c r="V20" s="705"/>
      <c r="W20" s="706"/>
      <c r="X20" s="1354"/>
      <c r="Y20" s="3726"/>
      <c r="Z20" s="1355"/>
      <c r="AA20" s="1352">
        <v>1</v>
      </c>
      <c r="AB20" s="1352">
        <v>1</v>
      </c>
      <c r="AC20" s="1352">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399"/>
      <c r="G22" s="1901"/>
      <c r="H22" s="399"/>
      <c r="I22" s="398"/>
      <c r="J22" s="399"/>
      <c r="K22" s="1902"/>
      <c r="L22" s="2717"/>
      <c r="M22" s="2711"/>
      <c r="N22" s="2711"/>
      <c r="O22" s="2711"/>
      <c r="P22" s="3733"/>
      <c r="Q22" s="1351"/>
      <c r="R22" s="705"/>
      <c r="S22" s="706"/>
      <c r="T22" s="705"/>
      <c r="U22" s="706"/>
      <c r="V22" s="705"/>
      <c r="W22" s="706"/>
      <c r="X22" s="1354"/>
      <c r="Y22" s="3726"/>
      <c r="Z22" s="1355"/>
      <c r="AA22" s="1352">
        <v>1</v>
      </c>
      <c r="AB22" s="1352">
        <v>1</v>
      </c>
      <c r="AC22" s="1352">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33"/>
      <c r="Q23" s="1351" t="str">
        <f>B23</f>
        <v>自然及人文环境</v>
      </c>
      <c r="R23" s="705" t="s">
        <v>18</v>
      </c>
      <c r="S23" s="706">
        <f>F23</f>
        <v>100</v>
      </c>
      <c r="T23" s="705" t="s">
        <v>18</v>
      </c>
      <c r="U23" s="706">
        <f>H23</f>
        <v>100</v>
      </c>
      <c r="V23" s="705" t="s">
        <v>18</v>
      </c>
      <c r="W23" s="706">
        <f>J23</f>
        <v>100</v>
      </c>
      <c r="X23" s="1354"/>
      <c r="Y23" s="3726"/>
      <c r="Z23" s="1355" t="str">
        <f>Q23</f>
        <v>自然及人文环境</v>
      </c>
      <c r="AA23" s="1352">
        <f>D23/F23</f>
        <v>1</v>
      </c>
      <c r="AB23" s="1352">
        <f>D23/H23</f>
        <v>1</v>
      </c>
      <c r="AC23" s="1352">
        <f>D23/J23</f>
        <v>1</v>
      </c>
    </row>
    <row r="24" spans="1:29" ht="15">
      <c r="A24" s="379"/>
      <c r="B24" s="407"/>
      <c r="C24" s="398"/>
      <c r="D24" s="399"/>
      <c r="E24" s="1894"/>
      <c r="F24" s="399"/>
      <c r="G24" s="1895"/>
      <c r="H24" s="399"/>
      <c r="I24" s="1895"/>
      <c r="J24" s="399"/>
      <c r="K24" s="1896"/>
      <c r="L24" s="2717"/>
      <c r="M24" s="2711"/>
      <c r="N24" s="2711"/>
      <c r="O24" s="2711"/>
      <c r="P24" s="3733"/>
      <c r="Q24" s="1351"/>
      <c r="R24" s="705"/>
      <c r="S24" s="706"/>
      <c r="T24" s="705"/>
      <c r="U24" s="706"/>
      <c r="V24" s="705"/>
      <c r="W24" s="706"/>
      <c r="X24" s="1354"/>
      <c r="Y24" s="3726"/>
      <c r="Z24" s="1355"/>
      <c r="AA24" s="1352">
        <v>1</v>
      </c>
      <c r="AB24" s="1352">
        <v>1</v>
      </c>
      <c r="AC24" s="1352">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3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33"/>
      <c r="Q26" s="1351" t="str">
        <f t="shared" si="11"/>
        <v>朝向</v>
      </c>
      <c r="R26" s="705" t="s">
        <v>18</v>
      </c>
      <c r="S26" s="706">
        <f t="shared" si="12"/>
        <v>100</v>
      </c>
      <c r="T26" s="705" t="s">
        <v>18</v>
      </c>
      <c r="U26" s="706">
        <f t="shared" si="13"/>
        <v>100</v>
      </c>
      <c r="V26" s="705" t="s">
        <v>18</v>
      </c>
      <c r="W26" s="706">
        <f t="shared" si="14"/>
        <v>100</v>
      </c>
      <c r="X26" s="1354"/>
      <c r="Y26" s="372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33"/>
      <c r="Q27" s="1342">
        <f t="shared" si="11"/>
        <v>111</v>
      </c>
      <c r="R27" s="701" t="s">
        <v>18</v>
      </c>
      <c r="S27" s="702">
        <f t="shared" si="12"/>
        <v>100</v>
      </c>
      <c r="T27" s="701" t="s">
        <v>18</v>
      </c>
      <c r="U27" s="702">
        <f t="shared" si="13"/>
        <v>100</v>
      </c>
      <c r="V27" s="701" t="s">
        <v>18</v>
      </c>
      <c r="W27" s="702">
        <f t="shared" si="14"/>
        <v>100</v>
      </c>
      <c r="X27" s="703"/>
      <c r="Y27" s="372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33"/>
      <c r="Q28" s="1351">
        <f t="shared" si="11"/>
        <v>111</v>
      </c>
      <c r="R28" s="705" t="s">
        <v>18</v>
      </c>
      <c r="S28" s="706">
        <f t="shared" si="12"/>
        <v>100</v>
      </c>
      <c r="T28" s="705" t="s">
        <v>18</v>
      </c>
      <c r="U28" s="706">
        <f t="shared" si="13"/>
        <v>100</v>
      </c>
      <c r="V28" s="705" t="s">
        <v>18</v>
      </c>
      <c r="W28" s="706">
        <f t="shared" si="14"/>
        <v>100</v>
      </c>
      <c r="X28" s="1354"/>
      <c r="Y28" s="372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33"/>
      <c r="Q29" s="1351">
        <f t="shared" si="11"/>
        <v>111</v>
      </c>
      <c r="R29" s="705" t="s">
        <v>18</v>
      </c>
      <c r="S29" s="706">
        <f t="shared" si="12"/>
        <v>100</v>
      </c>
      <c r="T29" s="705" t="s">
        <v>18</v>
      </c>
      <c r="U29" s="706">
        <f t="shared" si="13"/>
        <v>100</v>
      </c>
      <c r="V29" s="705" t="s">
        <v>18</v>
      </c>
      <c r="W29" s="706">
        <f t="shared" si="14"/>
        <v>100</v>
      </c>
      <c r="X29" s="1354"/>
      <c r="Y29" s="372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33"/>
      <c r="Q30" s="1351">
        <f t="shared" si="11"/>
        <v>111</v>
      </c>
      <c r="R30" s="705" t="s">
        <v>18</v>
      </c>
      <c r="S30" s="706">
        <f t="shared" si="12"/>
        <v>100</v>
      </c>
      <c r="T30" s="705" t="s">
        <v>18</v>
      </c>
      <c r="U30" s="706">
        <f t="shared" si="13"/>
        <v>100</v>
      </c>
      <c r="V30" s="705" t="s">
        <v>18</v>
      </c>
      <c r="W30" s="706">
        <f t="shared" si="14"/>
        <v>100</v>
      </c>
      <c r="X30" s="1354"/>
      <c r="Y30" s="372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33"/>
      <c r="Q31" s="1351">
        <f t="shared" si="11"/>
        <v>111</v>
      </c>
      <c r="R31" s="705" t="s">
        <v>18</v>
      </c>
      <c r="S31" s="706">
        <f t="shared" si="12"/>
        <v>100</v>
      </c>
      <c r="T31" s="705" t="s">
        <v>18</v>
      </c>
      <c r="U31" s="706">
        <f t="shared" si="13"/>
        <v>100</v>
      </c>
      <c r="V31" s="705" t="s">
        <v>18</v>
      </c>
      <c r="W31" s="706">
        <f t="shared" si="14"/>
        <v>100</v>
      </c>
      <c r="X31" s="1354"/>
      <c r="Y31" s="3726"/>
      <c r="Z31" s="1355">
        <f t="shared" si="18"/>
        <v>111</v>
      </c>
      <c r="AA31" s="1352">
        <f t="shared" si="15"/>
        <v>1</v>
      </c>
      <c r="AB31" s="1352">
        <f t="shared" si="16"/>
        <v>1</v>
      </c>
      <c r="AC31" s="1352">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27" t="s">
        <v>1696</v>
      </c>
      <c r="Q32" s="1351" t="str">
        <f t="shared" si="11"/>
        <v>建筑类型</v>
      </c>
      <c r="R32" s="705" t="s">
        <v>18</v>
      </c>
      <c r="S32" s="706">
        <f t="shared" si="12"/>
        <v>100</v>
      </c>
      <c r="T32" s="705" t="s">
        <v>18</v>
      </c>
      <c r="U32" s="706">
        <f t="shared" si="13"/>
        <v>100</v>
      </c>
      <c r="V32" s="705" t="s">
        <v>18</v>
      </c>
      <c r="W32" s="706">
        <f t="shared" si="14"/>
        <v>100</v>
      </c>
      <c r="X32" s="1354"/>
      <c r="Y32" s="373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2" t="e">
        <f t="shared" si="15"/>
        <v>#N/A</v>
      </c>
      <c r="AB33" s="1352" t="e">
        <f t="shared" si="16"/>
        <v>#N/A</v>
      </c>
      <c r="AC33" s="1352"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28"/>
      <c r="Q34" s="1351" t="str">
        <f t="shared" si="11"/>
        <v>建筑结构</v>
      </c>
      <c r="R34" s="705" t="s">
        <v>18</v>
      </c>
      <c r="S34" s="706">
        <f t="shared" si="12"/>
        <v>100</v>
      </c>
      <c r="T34" s="705" t="s">
        <v>18</v>
      </c>
      <c r="U34" s="706">
        <f t="shared" si="13"/>
        <v>100</v>
      </c>
      <c r="V34" s="705" t="s">
        <v>18</v>
      </c>
      <c r="W34" s="706">
        <f t="shared" si="14"/>
        <v>100</v>
      </c>
      <c r="X34" s="1354"/>
      <c r="Y34" s="3730"/>
      <c r="Z34" s="1355" t="str">
        <f t="shared" si="18"/>
        <v>建筑结构</v>
      </c>
      <c r="AA34" s="1352">
        <f t="shared" si="15"/>
        <v>1</v>
      </c>
      <c r="AB34" s="1352">
        <f t="shared" si="16"/>
        <v>1</v>
      </c>
      <c r="AC34" s="1352">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28"/>
      <c r="Q35" s="1351" t="str">
        <f t="shared" si="11"/>
        <v>建筑品质</v>
      </c>
      <c r="R35" s="705" t="s">
        <v>18</v>
      </c>
      <c r="S35" s="706">
        <f t="shared" si="12"/>
        <v>100</v>
      </c>
      <c r="T35" s="705" t="s">
        <v>18</v>
      </c>
      <c r="U35" s="706">
        <f t="shared" si="13"/>
        <v>100</v>
      </c>
      <c r="V35" s="705" t="s">
        <v>18</v>
      </c>
      <c r="W35" s="706">
        <f t="shared" si="14"/>
        <v>100</v>
      </c>
      <c r="X35" s="1354"/>
      <c r="Y35" s="3730"/>
      <c r="Z35" s="1355" t="str">
        <f t="shared" si="18"/>
        <v>建筑品质</v>
      </c>
      <c r="AA35" s="1352">
        <f t="shared" si="15"/>
        <v>1</v>
      </c>
      <c r="AB35" s="1352">
        <f t="shared" si="16"/>
        <v>1</v>
      </c>
      <c r="AC35" s="1352">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28"/>
      <c r="Q36" s="1351" t="str">
        <f t="shared" si="11"/>
        <v>公共部分装修</v>
      </c>
      <c r="R36" s="705" t="s">
        <v>18</v>
      </c>
      <c r="S36" s="706">
        <f t="shared" si="12"/>
        <v>100</v>
      </c>
      <c r="T36" s="705" t="s">
        <v>18</v>
      </c>
      <c r="U36" s="706">
        <f t="shared" si="13"/>
        <v>100</v>
      </c>
      <c r="V36" s="705" t="s">
        <v>18</v>
      </c>
      <c r="W36" s="706">
        <f t="shared" si="14"/>
        <v>100</v>
      </c>
      <c r="X36" s="1354"/>
      <c r="Y36" s="373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28"/>
      <c r="Q37" s="1342"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28" t="s">
        <v>1696</v>
      </c>
      <c r="Q38" s="1351" t="str">
        <f t="shared" si="11"/>
        <v>物业管理</v>
      </c>
      <c r="R38" s="705" t="s">
        <v>18</v>
      </c>
      <c r="S38" s="706">
        <f t="shared" si="12"/>
        <v>100</v>
      </c>
      <c r="T38" s="705" t="s">
        <v>18</v>
      </c>
      <c r="U38" s="706">
        <f t="shared" si="13"/>
        <v>100</v>
      </c>
      <c r="V38" s="705" t="s">
        <v>18</v>
      </c>
      <c r="W38" s="706">
        <f t="shared" si="14"/>
        <v>100</v>
      </c>
      <c r="X38" s="1354"/>
      <c r="Y38" s="3730" t="s">
        <v>1696</v>
      </c>
      <c r="Z38" s="1355" t="str">
        <f t="shared" si="18"/>
        <v>物业管理</v>
      </c>
      <c r="AA38" s="1352">
        <f t="shared" si="15"/>
        <v>1</v>
      </c>
      <c r="AB38" s="1352">
        <f t="shared" si="16"/>
        <v>1</v>
      </c>
      <c r="AC38" s="1352">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28"/>
      <c r="Q39" s="1351" t="str">
        <f t="shared" si="11"/>
        <v>市政基础设施</v>
      </c>
      <c r="R39" s="705" t="s">
        <v>18</v>
      </c>
      <c r="S39" s="706">
        <f t="shared" si="12"/>
        <v>100</v>
      </c>
      <c r="T39" s="705" t="s">
        <v>18</v>
      </c>
      <c r="U39" s="706">
        <f t="shared" si="13"/>
        <v>100</v>
      </c>
      <c r="V39" s="705" t="s">
        <v>18</v>
      </c>
      <c r="W39" s="706">
        <f t="shared" si="14"/>
        <v>100</v>
      </c>
      <c r="X39" s="1354"/>
      <c r="Y39" s="3730"/>
      <c r="Z39" s="1355" t="str">
        <f t="shared" si="18"/>
        <v>市政基础设施</v>
      </c>
      <c r="AA39" s="1352">
        <f t="shared" si="15"/>
        <v>1</v>
      </c>
      <c r="AB39" s="1352">
        <f t="shared" si="16"/>
        <v>1</v>
      </c>
      <c r="AC39" s="1352">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28"/>
      <c r="Q40" s="1351" t="str">
        <f t="shared" si="11"/>
        <v>房型</v>
      </c>
      <c r="R40" s="705" t="s">
        <v>18</v>
      </c>
      <c r="S40" s="706">
        <f t="shared" si="12"/>
        <v>100</v>
      </c>
      <c r="T40" s="705" t="s">
        <v>18</v>
      </c>
      <c r="U40" s="706">
        <f t="shared" si="13"/>
        <v>100</v>
      </c>
      <c r="V40" s="705" t="s">
        <v>18</v>
      </c>
      <c r="W40" s="706">
        <f t="shared" si="14"/>
        <v>100</v>
      </c>
      <c r="X40" s="1354"/>
      <c r="Y40" s="373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2">
        <f t="shared" si="15"/>
        <v>1</v>
      </c>
      <c r="AB41" s="1352">
        <f t="shared" si="16"/>
        <v>1</v>
      </c>
      <c r="AC41" s="1352">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28"/>
      <c r="Q42" s="1351" t="str">
        <f t="shared" si="11"/>
        <v>内部装修</v>
      </c>
      <c r="R42" s="705" t="s">
        <v>18</v>
      </c>
      <c r="S42" s="706">
        <f t="shared" si="12"/>
        <v>100</v>
      </c>
      <c r="T42" s="705" t="s">
        <v>18</v>
      </c>
      <c r="U42" s="706">
        <f t="shared" si="13"/>
        <v>100</v>
      </c>
      <c r="V42" s="705" t="s">
        <v>18</v>
      </c>
      <c r="W42" s="706">
        <f t="shared" si="14"/>
        <v>100</v>
      </c>
      <c r="X42" s="1354"/>
      <c r="Y42" s="3730"/>
      <c r="Z42" s="1355" t="str">
        <f t="shared" si="18"/>
        <v>内部装修</v>
      </c>
      <c r="AA42" s="1352">
        <f t="shared" si="15"/>
        <v>1</v>
      </c>
      <c r="AB42" s="1352">
        <f t="shared" si="16"/>
        <v>1</v>
      </c>
      <c r="AC42" s="1352">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28"/>
      <c r="Q43" s="1351" t="str">
        <f t="shared" si="11"/>
        <v>内部装修维护情况</v>
      </c>
      <c r="R43" s="705" t="s">
        <v>18</v>
      </c>
      <c r="S43" s="706">
        <f t="shared" si="12"/>
        <v>100</v>
      </c>
      <c r="T43" s="705" t="s">
        <v>18</v>
      </c>
      <c r="U43" s="706">
        <f t="shared" si="13"/>
        <v>100</v>
      </c>
      <c r="V43" s="705" t="s">
        <v>18</v>
      </c>
      <c r="W43" s="706">
        <f t="shared" si="14"/>
        <v>100</v>
      </c>
      <c r="X43" s="1354"/>
      <c r="Y43" s="373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28"/>
      <c r="Q44" s="1342">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28"/>
      <c r="Q45" s="1351">
        <f t="shared" si="11"/>
        <v>111</v>
      </c>
      <c r="R45" s="705" t="s">
        <v>18</v>
      </c>
      <c r="S45" s="706">
        <f t="shared" si="12"/>
        <v>100</v>
      </c>
      <c r="T45" s="705" t="s">
        <v>18</v>
      </c>
      <c r="U45" s="706">
        <f t="shared" si="13"/>
        <v>100</v>
      </c>
      <c r="V45" s="705" t="s">
        <v>18</v>
      </c>
      <c r="W45" s="706">
        <f t="shared" si="14"/>
        <v>100</v>
      </c>
      <c r="X45" s="1354"/>
      <c r="Y45" s="3730"/>
      <c r="Z45" s="1355">
        <f t="shared" si="18"/>
        <v>111</v>
      </c>
      <c r="AA45" s="1352">
        <f t="shared" si="15"/>
        <v>1</v>
      </c>
      <c r="AB45" s="1352">
        <f t="shared" si="16"/>
        <v>1</v>
      </c>
      <c r="AC45" s="1352">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29"/>
      <c r="Q46" s="1351">
        <f t="shared" si="11"/>
        <v>111</v>
      </c>
      <c r="R46" s="705" t="s">
        <v>17</v>
      </c>
      <c r="S46" s="706">
        <f t="shared" si="12"/>
        <v>100</v>
      </c>
      <c r="T46" s="705" t="s">
        <v>17</v>
      </c>
      <c r="U46" s="706">
        <f t="shared" si="13"/>
        <v>100</v>
      </c>
      <c r="V46" s="705" t="s">
        <v>17</v>
      </c>
      <c r="W46" s="706">
        <f t="shared" si="14"/>
        <v>100</v>
      </c>
      <c r="X46" s="1354"/>
      <c r="Y46" s="373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1"/>
      <c r="L47" s="2719"/>
      <c r="M47" s="2720"/>
      <c r="N47" s="2711"/>
      <c r="O47" s="2720"/>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1709</v>
      </c>
      <c r="B48" s="438"/>
      <c r="C48" s="1159" t="e">
        <f>R49</f>
        <v>#DIV/0!</v>
      </c>
      <c r="D48" s="2314" t="s">
        <v>2138</v>
      </c>
      <c r="E48" s="1160" t="e">
        <f>R48</f>
        <v>#DIV/0!</v>
      </c>
      <c r="F48" s="2315"/>
      <c r="G48" s="1159" t="e">
        <f>T48</f>
        <v>#DIV/0!</v>
      </c>
      <c r="H48" s="2315"/>
      <c r="I48" s="1160" t="e">
        <f>V48</f>
        <v>#DIV/0!</v>
      </c>
      <c r="J48" s="2315"/>
      <c r="K48" s="2316">
        <f>F48+H48+J48</f>
        <v>0</v>
      </c>
      <c r="L48" s="2719"/>
      <c r="M48" s="2720"/>
      <c r="N48" s="2720"/>
      <c r="O48" s="2720"/>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2"/>
      <c r="L49" s="2719"/>
      <c r="M49" s="2720"/>
      <c r="N49" s="2720"/>
      <c r="O49" s="2720"/>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2024-8</v>
      </c>
      <c r="D58" s="1184">
        <f>EDATE(C58,-1)</f>
        <v>45474</v>
      </c>
      <c r="E58" s="1184">
        <f>EDATE(D58,-1)</f>
        <v>45444</v>
      </c>
      <c r="F58" s="1184">
        <f t="shared" ref="F58:O58" si="19">EDATE(E58,-1)</f>
        <v>45413</v>
      </c>
      <c r="G58" s="1184">
        <f t="shared" si="19"/>
        <v>45383</v>
      </c>
      <c r="H58" s="1184">
        <f t="shared" si="19"/>
        <v>45352</v>
      </c>
      <c r="I58" s="1184">
        <f t="shared" si="19"/>
        <v>45323</v>
      </c>
      <c r="J58" s="1184">
        <f t="shared" si="19"/>
        <v>45292</v>
      </c>
      <c r="K58" s="1184">
        <f t="shared" si="19"/>
        <v>45261</v>
      </c>
      <c r="L58" s="1184">
        <f t="shared" si="19"/>
        <v>45231</v>
      </c>
      <c r="M58" s="1184">
        <f t="shared" si="19"/>
        <v>45200</v>
      </c>
      <c r="N58" s="1184">
        <f t="shared" si="19"/>
        <v>45170</v>
      </c>
      <c r="O58" s="1184">
        <f t="shared" si="19"/>
        <v>45139</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5" t="s">
        <v>1766</v>
      </c>
      <c r="C1" s="1237" t="s">
        <v>1662</v>
      </c>
      <c r="D1" s="1224"/>
      <c r="E1" s="3421"/>
      <c r="F1" s="1876"/>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3"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29"/>
      <c r="M2" s="2730"/>
      <c r="N2" s="2730"/>
      <c r="O2" s="2730"/>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8640.14</v>
      </c>
      <c r="E3" s="1951"/>
      <c r="F3" s="909"/>
      <c r="G3" s="908"/>
      <c r="H3" s="908"/>
      <c r="I3" s="908"/>
      <c r="J3" s="908"/>
      <c r="K3" s="910"/>
      <c r="L3" s="2729"/>
      <c r="M3" s="2730"/>
      <c r="N3" s="2730"/>
      <c r="O3" s="2730"/>
      <c r="P3" s="1949"/>
      <c r="Q3" s="912"/>
      <c r="R3" s="912"/>
      <c r="S3" s="912"/>
      <c r="T3" s="912"/>
      <c r="U3" s="912"/>
      <c r="V3" s="912"/>
      <c r="W3" s="912"/>
      <c r="X3" s="912"/>
      <c r="Y3" s="912"/>
      <c r="Z3" s="912"/>
      <c r="AA3" s="912"/>
      <c r="AB3" s="912"/>
      <c r="AC3" s="1951"/>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3" t="s">
        <v>1771</v>
      </c>
      <c r="S4" s="3694"/>
      <c r="T4" s="3693" t="s">
        <v>1772</v>
      </c>
      <c r="U4" s="3694"/>
      <c r="V4" s="3718" t="s">
        <v>1773</v>
      </c>
      <c r="W4" s="3718"/>
      <c r="X4" s="1354"/>
      <c r="Y4" s="3693" t="s">
        <v>1775</v>
      </c>
      <c r="Z4" s="3694"/>
      <c r="AA4" s="3688" t="s">
        <v>1771</v>
      </c>
      <c r="AB4" s="3718" t="s">
        <v>1772</v>
      </c>
      <c r="AC4" s="3688" t="s">
        <v>1773</v>
      </c>
    </row>
    <row r="5" spans="1:29" ht="15">
      <c r="A5" s="358"/>
      <c r="B5" s="359"/>
      <c r="C5" s="3699" t="s">
        <v>1673</v>
      </c>
      <c r="D5" s="3700"/>
      <c r="E5" s="3697" t="s">
        <v>1674</v>
      </c>
      <c r="F5" s="3698"/>
      <c r="G5" s="3699" t="s">
        <v>1675</v>
      </c>
      <c r="H5" s="3700"/>
      <c r="I5" s="3699" t="s">
        <v>1676</v>
      </c>
      <c r="J5" s="3700"/>
      <c r="K5" s="559"/>
      <c r="L5" s="2710"/>
      <c r="M5" s="2711"/>
      <c r="N5" s="2711"/>
      <c r="O5" s="2711"/>
      <c r="P5" s="3712"/>
      <c r="Q5" s="3713"/>
      <c r="R5" s="3695"/>
      <c r="S5" s="3696"/>
      <c r="T5" s="3695"/>
      <c r="U5" s="3696"/>
      <c r="V5" s="3718"/>
      <c r="W5" s="3718"/>
      <c r="X5" s="1354"/>
      <c r="Y5" s="3695"/>
      <c r="Z5" s="3696"/>
      <c r="AA5" s="3689"/>
      <c r="AB5" s="3718"/>
      <c r="AC5" s="3689"/>
    </row>
    <row r="6" spans="1:29" ht="15.75" thickBot="1">
      <c r="A6" s="360"/>
      <c r="B6" s="361"/>
      <c r="C6" s="3701" t="s">
        <v>1677</v>
      </c>
      <c r="D6" s="3702"/>
      <c r="E6" s="3703" t="s">
        <v>1677</v>
      </c>
      <c r="F6" s="3704"/>
      <c r="G6" s="3701" t="s">
        <v>1677</v>
      </c>
      <c r="H6" s="3702"/>
      <c r="I6" s="3701" t="s">
        <v>1677</v>
      </c>
      <c r="J6" s="3702"/>
      <c r="K6" s="559" t="s">
        <v>1678</v>
      </c>
      <c r="L6" s="2710"/>
      <c r="M6" s="2711"/>
      <c r="N6" s="2711"/>
      <c r="O6" s="2711"/>
      <c r="P6" s="3714"/>
      <c r="Q6" s="3715"/>
      <c r="R6" s="3695"/>
      <c r="S6" s="3696"/>
      <c r="T6" s="3716"/>
      <c r="U6" s="3717"/>
      <c r="V6" s="3718"/>
      <c r="W6" s="3718"/>
      <c r="X6" s="1354"/>
      <c r="Y6" s="3716"/>
      <c r="Z6" s="3717"/>
      <c r="AA6" s="3690"/>
      <c r="AB6" s="3718"/>
      <c r="AC6" s="3690"/>
    </row>
    <row r="7" spans="1:29" s="108" customFormat="1" ht="15.75" thickBot="1">
      <c r="A7" s="362" t="s">
        <v>1679</v>
      </c>
      <c r="B7" s="363"/>
      <c r="C7" s="364">
        <f>'数据-取费表'!B2</f>
        <v>45516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91" t="s">
        <v>1683</v>
      </c>
      <c r="Q8" s="3692"/>
      <c r="R8" s="701" t="s">
        <v>14</v>
      </c>
      <c r="S8" s="702">
        <f t="shared" si="0"/>
        <v>100</v>
      </c>
      <c r="T8" s="701" t="s">
        <v>14</v>
      </c>
      <c r="U8" s="702">
        <f t="shared" si="1"/>
        <v>100</v>
      </c>
      <c r="V8" s="701" t="s">
        <v>14</v>
      </c>
      <c r="W8" s="702">
        <f t="shared" si="2"/>
        <v>100</v>
      </c>
      <c r="X8" s="703"/>
      <c r="Y8" s="3691" t="s">
        <v>1683</v>
      </c>
      <c r="Z8" s="369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05" t="s">
        <v>1686</v>
      </c>
      <c r="Q9" s="1342"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05"/>
      <c r="Q10" s="1342"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05"/>
      <c r="Q11" s="1342"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5"/>
      <c r="Q12" s="1342">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5"/>
      <c r="Q13" s="1342">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5"/>
      <c r="Q14" s="1342">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2" t="s">
        <v>1691</v>
      </c>
      <c r="Q15" s="1351" t="str">
        <f t="shared" si="6"/>
        <v>商业繁华度</v>
      </c>
      <c r="R15" s="705" t="s">
        <v>14</v>
      </c>
      <c r="S15" s="706">
        <f t="shared" si="0"/>
        <v>100</v>
      </c>
      <c r="T15" s="705" t="s">
        <v>14</v>
      </c>
      <c r="U15" s="706">
        <f t="shared" si="1"/>
        <v>100</v>
      </c>
      <c r="V15" s="705" t="s">
        <v>14</v>
      </c>
      <c r="W15" s="706">
        <f t="shared" si="2"/>
        <v>100</v>
      </c>
      <c r="X15" s="1354"/>
      <c r="Y15" s="372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33"/>
      <c r="Q16" s="1351"/>
      <c r="R16" s="705"/>
      <c r="S16" s="706"/>
      <c r="T16" s="705"/>
      <c r="U16" s="706"/>
      <c r="V16" s="705"/>
      <c r="W16" s="706"/>
      <c r="X16" s="1354"/>
      <c r="Y16" s="3726"/>
      <c r="Z16" s="1355"/>
      <c r="AA16" s="1352">
        <v>1</v>
      </c>
      <c r="AB16" s="1352">
        <v>1</v>
      </c>
      <c r="AC16" s="1352">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33"/>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407"/>
      <c r="C18" s="1898"/>
      <c r="D18" s="401"/>
      <c r="E18" s="1900"/>
      <c r="F18" s="404"/>
      <c r="G18" s="1899"/>
      <c r="H18" s="399"/>
      <c r="I18" s="1900"/>
      <c r="J18" s="399"/>
      <c r="K18" s="564"/>
      <c r="L18" s="2717"/>
      <c r="M18" s="2711"/>
      <c r="N18" s="2711"/>
      <c r="O18" s="2711"/>
      <c r="P18" s="3733"/>
      <c r="Q18" s="1351"/>
      <c r="R18" s="705"/>
      <c r="S18" s="706"/>
      <c r="T18" s="705"/>
      <c r="U18" s="706"/>
      <c r="V18" s="705"/>
      <c r="W18" s="706"/>
      <c r="X18" s="1354"/>
      <c r="Y18" s="3726"/>
      <c r="Z18" s="1355"/>
      <c r="AA18" s="1352">
        <v>1</v>
      </c>
      <c r="AB18" s="1352">
        <v>1</v>
      </c>
      <c r="AC18" s="1352">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33"/>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352">
        <f t="shared" si="5"/>
        <v>1</v>
      </c>
    </row>
    <row r="20" spans="1:29" ht="15">
      <c r="A20" s="379"/>
      <c r="B20" s="407"/>
      <c r="C20" s="398"/>
      <c r="D20" s="399"/>
      <c r="E20" s="1895"/>
      <c r="F20" s="400"/>
      <c r="G20" s="1894"/>
      <c r="H20" s="399"/>
      <c r="I20" s="1895"/>
      <c r="J20" s="399"/>
      <c r="K20" s="564"/>
      <c r="L20" s="2717"/>
      <c r="M20" s="2711"/>
      <c r="N20" s="2711"/>
      <c r="O20" s="2711"/>
      <c r="P20" s="3733"/>
      <c r="Q20" s="1351"/>
      <c r="R20" s="705"/>
      <c r="S20" s="706"/>
      <c r="T20" s="705"/>
      <c r="U20" s="706"/>
      <c r="V20" s="705"/>
      <c r="W20" s="706"/>
      <c r="X20" s="1354"/>
      <c r="Y20" s="3726"/>
      <c r="Z20" s="1355"/>
      <c r="AA20" s="1352">
        <v>1</v>
      </c>
      <c r="AB20" s="1352">
        <v>1</v>
      </c>
      <c r="AC20" s="1352">
        <v>1</v>
      </c>
    </row>
    <row r="21" spans="1:29" ht="28.5">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400"/>
      <c r="G22" s="398"/>
      <c r="H22" s="399"/>
      <c r="I22" s="398"/>
      <c r="J22" s="399"/>
      <c r="K22" s="1129"/>
      <c r="L22" s="2717"/>
      <c r="M22" s="2711"/>
      <c r="N22" s="2711"/>
      <c r="O22" s="2711"/>
      <c r="P22" s="3733"/>
      <c r="Q22" s="1351"/>
      <c r="R22" s="705"/>
      <c r="S22" s="706"/>
      <c r="T22" s="705"/>
      <c r="U22" s="706"/>
      <c r="V22" s="705"/>
      <c r="W22" s="706"/>
      <c r="X22" s="1354"/>
      <c r="Y22" s="3726"/>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33"/>
      <c r="Q23" s="1351" t="str">
        <f>B23</f>
        <v>自然及人文环境</v>
      </c>
      <c r="R23" s="705" t="s">
        <v>14</v>
      </c>
      <c r="S23" s="706">
        <f>F23</f>
        <v>100</v>
      </c>
      <c r="T23" s="705" t="s">
        <v>14</v>
      </c>
      <c r="U23" s="706">
        <f>H23</f>
        <v>100</v>
      </c>
      <c r="V23" s="705" t="s">
        <v>14</v>
      </c>
      <c r="W23" s="706">
        <f>J23</f>
        <v>100</v>
      </c>
      <c r="X23" s="1354"/>
      <c r="Y23" s="3726"/>
      <c r="Z23" s="1355" t="str">
        <f>Q23</f>
        <v>自然及人文环境</v>
      </c>
      <c r="AA23" s="1352">
        <f t="shared" si="3"/>
        <v>1</v>
      </c>
      <c r="AB23" s="1352">
        <f t="shared" si="4"/>
        <v>1</v>
      </c>
      <c r="AC23" s="1352">
        <f t="shared" si="5"/>
        <v>1</v>
      </c>
    </row>
    <row r="24" spans="1:29" ht="15">
      <c r="A24" s="379"/>
      <c r="B24" s="407"/>
      <c r="C24" s="398"/>
      <c r="D24" s="399"/>
      <c r="E24" s="1895"/>
      <c r="F24" s="400"/>
      <c r="G24" s="1894"/>
      <c r="H24" s="399"/>
      <c r="I24" s="1895"/>
      <c r="J24" s="399"/>
      <c r="K24" s="564"/>
      <c r="L24" s="2717"/>
      <c r="M24" s="2711"/>
      <c r="N24" s="2711"/>
      <c r="O24" s="2711"/>
      <c r="P24" s="3733"/>
      <c r="Q24" s="1351"/>
      <c r="R24" s="705"/>
      <c r="S24" s="706"/>
      <c r="T24" s="705"/>
      <c r="U24" s="706"/>
      <c r="V24" s="705"/>
      <c r="W24" s="706"/>
      <c r="X24" s="1354"/>
      <c r="Y24" s="372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3"/>
      <c r="Q25" s="1351" t="str">
        <f t="shared" ref="Q25:Q46" si="11">B25</f>
        <v>临街状况</v>
      </c>
      <c r="R25" s="705" t="s">
        <v>14</v>
      </c>
      <c r="S25" s="706">
        <f>F25</f>
        <v>100</v>
      </c>
      <c r="T25" s="705" t="s">
        <v>14</v>
      </c>
      <c r="U25" s="706">
        <f>H25</f>
        <v>100</v>
      </c>
      <c r="V25" s="705" t="s">
        <v>14</v>
      </c>
      <c r="W25" s="706">
        <f>J25</f>
        <v>100</v>
      </c>
      <c r="X25" s="1354"/>
      <c r="Y25" s="372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3"/>
      <c r="Q26" s="1351" t="str">
        <f t="shared" si="11"/>
        <v>平面位置/可视性</v>
      </c>
      <c r="R26" s="705" t="s">
        <v>14</v>
      </c>
      <c r="S26" s="706">
        <f>F26</f>
        <v>100</v>
      </c>
      <c r="T26" s="705" t="s">
        <v>14</v>
      </c>
      <c r="U26" s="706">
        <f>H26</f>
        <v>100</v>
      </c>
      <c r="V26" s="705" t="s">
        <v>14</v>
      </c>
      <c r="W26" s="706">
        <f>J26</f>
        <v>100</v>
      </c>
      <c r="X26" s="1354"/>
      <c r="Y26" s="3726"/>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733"/>
      <c r="Q27" s="1342" t="str">
        <f t="shared" si="11"/>
        <v>人流量</v>
      </c>
      <c r="R27" s="701" t="s">
        <v>14</v>
      </c>
      <c r="S27" s="702">
        <f>F27</f>
        <v>100</v>
      </c>
      <c r="T27" s="701" t="s">
        <v>14</v>
      </c>
      <c r="U27" s="702">
        <f>H27</f>
        <v>100</v>
      </c>
      <c r="V27" s="701" t="s">
        <v>14</v>
      </c>
      <c r="W27" s="702">
        <f>J27</f>
        <v>100</v>
      </c>
      <c r="X27" s="703"/>
      <c r="Y27" s="372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3"/>
      <c r="Q29" s="1351">
        <f t="shared" si="11"/>
        <v>111</v>
      </c>
      <c r="R29" s="705" t="s">
        <v>14</v>
      </c>
      <c r="S29" s="706">
        <f t="shared" si="12"/>
        <v>100</v>
      </c>
      <c r="T29" s="705" t="s">
        <v>14</v>
      </c>
      <c r="U29" s="706">
        <f t="shared" si="13"/>
        <v>100</v>
      </c>
      <c r="V29" s="705" t="s">
        <v>14</v>
      </c>
      <c r="W29" s="706">
        <f t="shared" si="14"/>
        <v>100</v>
      </c>
      <c r="X29" s="1354"/>
      <c r="Y29" s="372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3"/>
      <c r="Q30" s="1351">
        <f t="shared" si="11"/>
        <v>111</v>
      </c>
      <c r="R30" s="705" t="s">
        <v>14</v>
      </c>
      <c r="S30" s="706">
        <f t="shared" si="12"/>
        <v>100</v>
      </c>
      <c r="T30" s="705" t="s">
        <v>14</v>
      </c>
      <c r="U30" s="706">
        <f t="shared" si="13"/>
        <v>100</v>
      </c>
      <c r="V30" s="705" t="s">
        <v>14</v>
      </c>
      <c r="W30" s="706">
        <f t="shared" si="14"/>
        <v>100</v>
      </c>
      <c r="X30" s="1354"/>
      <c r="Y30" s="372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3"/>
      <c r="Q31" s="1351">
        <f t="shared" si="11"/>
        <v>111</v>
      </c>
      <c r="R31" s="705" t="s">
        <v>14</v>
      </c>
      <c r="S31" s="706">
        <f t="shared" si="12"/>
        <v>100</v>
      </c>
      <c r="T31" s="705" t="s">
        <v>14</v>
      </c>
      <c r="U31" s="706">
        <f t="shared" si="13"/>
        <v>100</v>
      </c>
      <c r="V31" s="705" t="s">
        <v>14</v>
      </c>
      <c r="W31" s="706">
        <f t="shared" si="14"/>
        <v>100</v>
      </c>
      <c r="X31" s="1354"/>
      <c r="Y31" s="3726"/>
      <c r="Z31" s="1355">
        <f t="shared" si="15"/>
        <v>111</v>
      </c>
      <c r="AA31" s="1352">
        <f t="shared" si="3"/>
        <v>1</v>
      </c>
      <c r="AB31" s="1352">
        <f t="shared" si="4"/>
        <v>1</v>
      </c>
      <c r="AC31" s="1352">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7"/>
      <c r="M32" s="2711"/>
      <c r="N32" s="2711"/>
      <c r="O32" s="2711"/>
      <c r="P32" s="3727" t="s">
        <v>1696</v>
      </c>
      <c r="Q32" s="1351" t="str">
        <f t="shared" si="11"/>
        <v>商业类型</v>
      </c>
      <c r="R32" s="705" t="s">
        <v>14</v>
      </c>
      <c r="S32" s="706">
        <f t="shared" si="12"/>
        <v>100</v>
      </c>
      <c r="T32" s="705" t="s">
        <v>14</v>
      </c>
      <c r="U32" s="706">
        <f t="shared" si="13"/>
        <v>100</v>
      </c>
      <c r="V32" s="705" t="s">
        <v>14</v>
      </c>
      <c r="W32" s="706">
        <f t="shared" si="14"/>
        <v>100</v>
      </c>
      <c r="X32" s="1354"/>
      <c r="Y32" s="373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28"/>
      <c r="Q34" s="1351" t="str">
        <f t="shared" si="11"/>
        <v>建筑结构</v>
      </c>
      <c r="R34" s="705" t="s">
        <v>14</v>
      </c>
      <c r="S34" s="706">
        <f t="shared" si="12"/>
        <v>100</v>
      </c>
      <c r="T34" s="705" t="s">
        <v>14</v>
      </c>
      <c r="U34" s="706">
        <f t="shared" si="13"/>
        <v>100</v>
      </c>
      <c r="V34" s="705" t="s">
        <v>14</v>
      </c>
      <c r="W34" s="706">
        <f t="shared" si="14"/>
        <v>100</v>
      </c>
      <c r="X34" s="1354"/>
      <c r="Y34" s="3730"/>
      <c r="Z34" s="1355" t="str">
        <f t="shared" si="15"/>
        <v>建筑结构</v>
      </c>
      <c r="AA34" s="1352">
        <f t="shared" si="3"/>
        <v>1</v>
      </c>
      <c r="AB34" s="1352">
        <f t="shared" si="4"/>
        <v>1</v>
      </c>
      <c r="AC34" s="1352">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7"/>
      <c r="M35" s="2711"/>
      <c r="N35" s="2711"/>
      <c r="O35" s="2711"/>
      <c r="P35" s="3728"/>
      <c r="Q35" s="1351" t="str">
        <f t="shared" si="11"/>
        <v>公共部分装修</v>
      </c>
      <c r="R35" s="705" t="s">
        <v>14</v>
      </c>
      <c r="S35" s="706">
        <f t="shared" si="12"/>
        <v>100</v>
      </c>
      <c r="T35" s="705" t="s">
        <v>14</v>
      </c>
      <c r="U35" s="706">
        <f t="shared" si="13"/>
        <v>100</v>
      </c>
      <c r="V35" s="705" t="s">
        <v>14</v>
      </c>
      <c r="W35" s="706">
        <f t="shared" si="14"/>
        <v>100</v>
      </c>
      <c r="X35" s="1354"/>
      <c r="Y35" s="373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28"/>
      <c r="Q36" s="1351" t="str">
        <f t="shared" si="11"/>
        <v>成新度</v>
      </c>
      <c r="R36" s="705" t="s">
        <v>14</v>
      </c>
      <c r="S36" s="706" t="e">
        <f t="shared" si="12"/>
        <v>#N/A</v>
      </c>
      <c r="T36" s="705" t="s">
        <v>14</v>
      </c>
      <c r="U36" s="706" t="e">
        <f t="shared" si="13"/>
        <v>#N/A</v>
      </c>
      <c r="V36" s="705" t="s">
        <v>14</v>
      </c>
      <c r="W36" s="706" t="e">
        <f t="shared" si="14"/>
        <v>#N/A</v>
      </c>
      <c r="X36" s="1354"/>
      <c r="Y36" s="3730"/>
      <c r="Z36" s="1355" t="str">
        <f t="shared" si="15"/>
        <v>成新度</v>
      </c>
      <c r="AA36" s="1352" t="e">
        <f t="shared" si="3"/>
        <v>#N/A</v>
      </c>
      <c r="AB36" s="1352" t="e">
        <f t="shared" si="4"/>
        <v>#N/A</v>
      </c>
      <c r="AC36" s="1352"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2"/>
      <c r="M37" s="2713"/>
      <c r="N37" s="2713"/>
      <c r="O37" s="2713"/>
      <c r="P37" s="3728"/>
      <c r="Q37" s="1342"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7"/>
      <c r="M38" s="2711"/>
      <c r="N38" s="2711"/>
      <c r="O38" s="2711"/>
      <c r="P38" s="3728" t="s">
        <v>1696</v>
      </c>
      <c r="Q38" s="1351" t="str">
        <f t="shared" si="11"/>
        <v>业态</v>
      </c>
      <c r="R38" s="705" t="s">
        <v>14</v>
      </c>
      <c r="S38" s="706">
        <f t="shared" si="12"/>
        <v>100</v>
      </c>
      <c r="T38" s="705" t="s">
        <v>14</v>
      </c>
      <c r="U38" s="706">
        <f t="shared" si="13"/>
        <v>100</v>
      </c>
      <c r="V38" s="705" t="s">
        <v>14</v>
      </c>
      <c r="W38" s="706">
        <f t="shared" si="14"/>
        <v>100</v>
      </c>
      <c r="X38" s="1354"/>
      <c r="Y38" s="3730" t="s">
        <v>1696</v>
      </c>
      <c r="Z38" s="1355" t="str">
        <f t="shared" si="15"/>
        <v>业态</v>
      </c>
      <c r="AA38" s="1352">
        <f t="shared" si="3"/>
        <v>1</v>
      </c>
      <c r="AB38" s="1352">
        <f t="shared" si="4"/>
        <v>1</v>
      </c>
      <c r="AC38" s="1352">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7"/>
      <c r="M39" s="2711"/>
      <c r="N39" s="2711"/>
      <c r="O39" s="2711"/>
      <c r="P39" s="3728"/>
      <c r="Q39" s="1351" t="str">
        <f t="shared" si="11"/>
        <v>层高</v>
      </c>
      <c r="R39" s="705" t="s">
        <v>14</v>
      </c>
      <c r="S39" s="706">
        <f t="shared" si="12"/>
        <v>100</v>
      </c>
      <c r="T39" s="705" t="s">
        <v>14</v>
      </c>
      <c r="U39" s="706">
        <f t="shared" si="13"/>
        <v>100</v>
      </c>
      <c r="V39" s="705" t="s">
        <v>14</v>
      </c>
      <c r="W39" s="706">
        <f t="shared" si="14"/>
        <v>100</v>
      </c>
      <c r="X39" s="1354"/>
      <c r="Y39" s="373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8"/>
      <c r="Q40" s="1351" t="str">
        <f t="shared" si="11"/>
        <v>单套建筑面积</v>
      </c>
      <c r="R40" s="705" t="s">
        <v>14</v>
      </c>
      <c r="S40" s="706">
        <f t="shared" si="12"/>
        <v>100</v>
      </c>
      <c r="T40" s="705" t="s">
        <v>14</v>
      </c>
      <c r="U40" s="706">
        <f t="shared" si="13"/>
        <v>100</v>
      </c>
      <c r="V40" s="705" t="s">
        <v>14</v>
      </c>
      <c r="W40" s="706">
        <f t="shared" si="14"/>
        <v>100</v>
      </c>
      <c r="X40" s="1354"/>
      <c r="Y40" s="373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2">
        <f t="shared" si="3"/>
        <v>1</v>
      </c>
      <c r="AB41" s="1352">
        <f t="shared" si="4"/>
        <v>1</v>
      </c>
      <c r="AC41" s="1352">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7"/>
      <c r="M42" s="2711"/>
      <c r="N42" s="2711"/>
      <c r="O42" s="2711"/>
      <c r="P42" s="3728"/>
      <c r="Q42" s="1351" t="str">
        <f t="shared" si="11"/>
        <v>内部装修</v>
      </c>
      <c r="R42" s="705" t="s">
        <v>14</v>
      </c>
      <c r="S42" s="706">
        <f t="shared" si="12"/>
        <v>100</v>
      </c>
      <c r="T42" s="705" t="s">
        <v>14</v>
      </c>
      <c r="U42" s="706">
        <f t="shared" si="13"/>
        <v>100</v>
      </c>
      <c r="V42" s="705" t="s">
        <v>14</v>
      </c>
      <c r="W42" s="706">
        <f t="shared" si="14"/>
        <v>100</v>
      </c>
      <c r="X42" s="1354"/>
      <c r="Y42" s="3730"/>
      <c r="Z42" s="1355" t="str">
        <f t="shared" si="15"/>
        <v>内部装修</v>
      </c>
      <c r="AA42" s="1352">
        <f t="shared" si="3"/>
        <v>1</v>
      </c>
      <c r="AB42" s="1352">
        <f t="shared" si="4"/>
        <v>1</v>
      </c>
      <c r="AC42" s="1352">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7"/>
      <c r="M43" s="2711"/>
      <c r="N43" s="2711"/>
      <c r="O43" s="2711"/>
      <c r="P43" s="3728"/>
      <c r="Q43" s="1351" t="str">
        <f t="shared" si="11"/>
        <v>内部装修维护情况</v>
      </c>
      <c r="R43" s="705" t="s">
        <v>14</v>
      </c>
      <c r="S43" s="706">
        <f t="shared" si="12"/>
        <v>100</v>
      </c>
      <c r="T43" s="705" t="s">
        <v>14</v>
      </c>
      <c r="U43" s="706">
        <f t="shared" si="13"/>
        <v>100</v>
      </c>
      <c r="V43" s="705" t="s">
        <v>14</v>
      </c>
      <c r="W43" s="706">
        <f t="shared" si="14"/>
        <v>100</v>
      </c>
      <c r="X43" s="1354"/>
      <c r="Y43" s="373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28"/>
      <c r="Q44" s="1342">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8"/>
      <c r="Q45" s="1351">
        <f t="shared" si="11"/>
        <v>111</v>
      </c>
      <c r="R45" s="705" t="s">
        <v>14</v>
      </c>
      <c r="S45" s="706">
        <f t="shared" si="12"/>
        <v>100</v>
      </c>
      <c r="T45" s="705" t="s">
        <v>14</v>
      </c>
      <c r="U45" s="706">
        <f t="shared" si="13"/>
        <v>100</v>
      </c>
      <c r="V45" s="705" t="s">
        <v>14</v>
      </c>
      <c r="W45" s="706">
        <f t="shared" si="14"/>
        <v>100</v>
      </c>
      <c r="X45" s="1354"/>
      <c r="Y45" s="3730"/>
      <c r="Z45" s="1355">
        <f t="shared" si="15"/>
        <v>111</v>
      </c>
      <c r="AA45" s="1352">
        <f t="shared" si="3"/>
        <v>1</v>
      </c>
      <c r="AB45" s="1352">
        <f t="shared" si="4"/>
        <v>1</v>
      </c>
      <c r="AC45" s="1352">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9"/>
      <c r="Q46" s="1351">
        <f t="shared" si="11"/>
        <v>111</v>
      </c>
      <c r="R46" s="705" t="s">
        <v>14</v>
      </c>
      <c r="S46" s="706">
        <f t="shared" si="12"/>
        <v>100</v>
      </c>
      <c r="T46" s="705" t="s">
        <v>14</v>
      </c>
      <c r="U46" s="706">
        <f t="shared" si="13"/>
        <v>100</v>
      </c>
      <c r="V46" s="705" t="s">
        <v>14</v>
      </c>
      <c r="W46" s="706">
        <f t="shared" si="14"/>
        <v>100</v>
      </c>
      <c r="X46" s="1354"/>
      <c r="Y46" s="3731"/>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19"/>
      <c r="M47" s="2720"/>
      <c r="N47" s="2711"/>
      <c r="O47" s="2720"/>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75" thickBot="1">
      <c r="A48" s="437" t="s">
        <v>1793</v>
      </c>
      <c r="B48" s="438"/>
      <c r="C48" s="1159" t="e">
        <f>R49</f>
        <v>#DIV/0!</v>
      </c>
      <c r="D48" s="2314" t="s">
        <v>2138</v>
      </c>
      <c r="E48" s="1160" t="e">
        <f>R48</f>
        <v>#DIV/0!</v>
      </c>
      <c r="F48" s="2315"/>
      <c r="G48" s="1159" t="e">
        <f>T48</f>
        <v>#DIV/0!</v>
      </c>
      <c r="H48" s="2315"/>
      <c r="I48" s="1160" t="e">
        <f>V48</f>
        <v>#DIV/0!</v>
      </c>
      <c r="J48" s="2315"/>
      <c r="K48" s="2317">
        <f>F48+H48+J48</f>
        <v>0</v>
      </c>
      <c r="L48" s="2719"/>
      <c r="M48" s="2720"/>
      <c r="N48" s="2711"/>
      <c r="O48" s="2720"/>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19"/>
      <c r="M49" s="2720"/>
      <c r="N49" s="2711"/>
      <c r="O49" s="2720"/>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2024-8</v>
      </c>
      <c r="D58" s="1184">
        <f>EDATE(C58,-1)</f>
        <v>45474</v>
      </c>
      <c r="E58" s="1184">
        <f t="shared" ref="E58:N58" si="16">EDATE(D58,-1)</f>
        <v>45444</v>
      </c>
      <c r="F58" s="1184">
        <f t="shared" si="16"/>
        <v>45413</v>
      </c>
      <c r="G58" s="1184">
        <f t="shared" si="16"/>
        <v>45383</v>
      </c>
      <c r="H58" s="1184">
        <f t="shared" si="16"/>
        <v>45352</v>
      </c>
      <c r="I58" s="1184">
        <f t="shared" si="16"/>
        <v>45323</v>
      </c>
      <c r="J58" s="1184">
        <f t="shared" si="16"/>
        <v>45292</v>
      </c>
      <c r="K58" s="1184">
        <f t="shared" si="16"/>
        <v>45261</v>
      </c>
      <c r="L58" s="1184">
        <f t="shared" si="16"/>
        <v>45231</v>
      </c>
      <c r="M58" s="1184">
        <f t="shared" si="16"/>
        <v>45200</v>
      </c>
      <c r="N58" s="1184">
        <f t="shared" si="16"/>
        <v>45170</v>
      </c>
      <c r="O58" s="1184">
        <f>EDATE(N58,-1)</f>
        <v>45139</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28"/>
      <c r="F1" s="1876"/>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8640.14</v>
      </c>
      <c r="E3" s="1951"/>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40" t="s">
        <v>1775</v>
      </c>
      <c r="Q4" s="3741"/>
      <c r="R4" s="3735" t="s">
        <v>1771</v>
      </c>
      <c r="S4" s="3736"/>
      <c r="T4" s="3735" t="s">
        <v>1772</v>
      </c>
      <c r="U4" s="3736"/>
      <c r="V4" s="3744" t="s">
        <v>1773</v>
      </c>
      <c r="W4" s="3744"/>
      <c r="X4" s="1955"/>
      <c r="Y4" s="3735" t="s">
        <v>1775</v>
      </c>
      <c r="Z4" s="3736"/>
      <c r="AA4" s="3734" t="s">
        <v>1771</v>
      </c>
      <c r="AB4" s="3734" t="s">
        <v>1772</v>
      </c>
      <c r="AC4" s="3737" t="s">
        <v>1773</v>
      </c>
    </row>
    <row r="5" spans="1:29" ht="15">
      <c r="A5" s="358"/>
      <c r="B5" s="359"/>
      <c r="C5" s="3699" t="s">
        <v>1673</v>
      </c>
      <c r="D5" s="3700"/>
      <c r="E5" s="3697" t="s">
        <v>1674</v>
      </c>
      <c r="F5" s="3698"/>
      <c r="G5" s="3699" t="s">
        <v>1675</v>
      </c>
      <c r="H5" s="3700"/>
      <c r="I5" s="3699" t="s">
        <v>1676</v>
      </c>
      <c r="J5" s="3700"/>
      <c r="K5" s="559"/>
      <c r="L5" s="2710"/>
      <c r="M5" s="2711"/>
      <c r="N5" s="2711"/>
      <c r="O5" s="2711"/>
      <c r="P5" s="3742"/>
      <c r="Q5" s="3713"/>
      <c r="R5" s="3695"/>
      <c r="S5" s="3696"/>
      <c r="T5" s="3695"/>
      <c r="U5" s="3696"/>
      <c r="V5" s="3718"/>
      <c r="W5" s="3718"/>
      <c r="X5" s="1354"/>
      <c r="Y5" s="3695"/>
      <c r="Z5" s="3696"/>
      <c r="AA5" s="3689"/>
      <c r="AB5" s="3689"/>
      <c r="AC5" s="3738"/>
    </row>
    <row r="6" spans="1:29" ht="15.75" thickBot="1">
      <c r="A6" s="360"/>
      <c r="B6" s="361"/>
      <c r="C6" s="3701" t="s">
        <v>1677</v>
      </c>
      <c r="D6" s="3702"/>
      <c r="E6" s="3703" t="s">
        <v>1677</v>
      </c>
      <c r="F6" s="3704"/>
      <c r="G6" s="3701" t="s">
        <v>1677</v>
      </c>
      <c r="H6" s="3702"/>
      <c r="I6" s="3701" t="s">
        <v>1677</v>
      </c>
      <c r="J6" s="3702"/>
      <c r="K6" s="559" t="s">
        <v>1678</v>
      </c>
      <c r="L6" s="2710"/>
      <c r="M6" s="2711"/>
      <c r="N6" s="2711"/>
      <c r="O6" s="2711"/>
      <c r="P6" s="3743"/>
      <c r="Q6" s="3715"/>
      <c r="R6" s="3695"/>
      <c r="S6" s="3696"/>
      <c r="T6" s="3716"/>
      <c r="U6" s="3717"/>
      <c r="V6" s="3718"/>
      <c r="W6" s="3718"/>
      <c r="X6" s="1354"/>
      <c r="Y6" s="3716"/>
      <c r="Z6" s="3717"/>
      <c r="AA6" s="3690"/>
      <c r="AB6" s="3690"/>
      <c r="AC6" s="3739"/>
    </row>
    <row r="7" spans="1:29" s="108" customFormat="1" ht="15.75" thickBot="1">
      <c r="A7" s="362" t="s">
        <v>1679</v>
      </c>
      <c r="B7" s="363"/>
      <c r="C7" s="364">
        <f>'数据-取费表'!B2</f>
        <v>45516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45"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45" t="s">
        <v>1683</v>
      </c>
      <c r="Q8" s="3692"/>
      <c r="R8" s="701" t="s">
        <v>14</v>
      </c>
      <c r="S8" s="702">
        <f t="shared" si="0"/>
        <v>100</v>
      </c>
      <c r="T8" s="701" t="s">
        <v>14</v>
      </c>
      <c r="U8" s="702">
        <f t="shared" si="1"/>
        <v>100</v>
      </c>
      <c r="V8" s="701" t="s">
        <v>14</v>
      </c>
      <c r="W8" s="702">
        <f t="shared" si="2"/>
        <v>100</v>
      </c>
      <c r="X8" s="703"/>
      <c r="Y8" s="3691" t="s">
        <v>1683</v>
      </c>
      <c r="Z8" s="3692"/>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05" t="s">
        <v>1686</v>
      </c>
      <c r="Q9" s="1342"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6">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05"/>
      <c r="Q10" s="1342"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5"/>
      <c r="Q11" s="1342"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705"/>
      <c r="Q12" s="1342">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705"/>
      <c r="Q13" s="1342">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705"/>
      <c r="Q14" s="1342">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2" t="s">
        <v>1691</v>
      </c>
      <c r="Q15" s="1351" t="str">
        <f t="shared" si="6"/>
        <v>办公集聚程度</v>
      </c>
      <c r="R15" s="705" t="s">
        <v>14</v>
      </c>
      <c r="S15" s="706">
        <f t="shared" si="0"/>
        <v>100</v>
      </c>
      <c r="T15" s="705" t="s">
        <v>14</v>
      </c>
      <c r="U15" s="706">
        <f t="shared" si="1"/>
        <v>100</v>
      </c>
      <c r="V15" s="705" t="s">
        <v>14</v>
      </c>
      <c r="W15" s="706">
        <f t="shared" si="2"/>
        <v>100</v>
      </c>
      <c r="X15" s="1354"/>
      <c r="Y15" s="3725" t="s">
        <v>1691</v>
      </c>
      <c r="Z15" s="1355" t="str">
        <f t="shared" si="7"/>
        <v>办公集聚程度</v>
      </c>
      <c r="AA15" s="1352">
        <f t="shared" si="3"/>
        <v>1</v>
      </c>
      <c r="AB15" s="1352">
        <f t="shared" si="4"/>
        <v>1</v>
      </c>
      <c r="AC15" s="1959">
        <f t="shared" si="5"/>
        <v>1</v>
      </c>
    </row>
    <row r="16" spans="1:29" ht="15">
      <c r="A16" s="379"/>
      <c r="B16" s="578"/>
      <c r="C16" s="1901"/>
      <c r="D16" s="399"/>
      <c r="E16" s="398"/>
      <c r="F16" s="399"/>
      <c r="G16" s="1901"/>
      <c r="H16" s="401"/>
      <c r="I16" s="398"/>
      <c r="J16" s="399"/>
      <c r="K16" s="564"/>
      <c r="L16" s="2717"/>
      <c r="M16" s="2711"/>
      <c r="N16" s="2711"/>
      <c r="O16" s="2711"/>
      <c r="P16" s="3733"/>
      <c r="Q16" s="1351"/>
      <c r="R16" s="705"/>
      <c r="S16" s="706"/>
      <c r="T16" s="705"/>
      <c r="U16" s="706"/>
      <c r="V16" s="705"/>
      <c r="W16" s="706"/>
      <c r="X16" s="1354"/>
      <c r="Y16" s="3726"/>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33"/>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959">
        <f t="shared" si="5"/>
        <v>1</v>
      </c>
    </row>
    <row r="18" spans="1:29" ht="15">
      <c r="A18" s="379"/>
      <c r="B18" s="580"/>
      <c r="C18" s="1961"/>
      <c r="D18" s="401"/>
      <c r="E18" s="1899"/>
      <c r="F18" s="401"/>
      <c r="G18" s="1900"/>
      <c r="H18" s="399"/>
      <c r="I18" s="1900"/>
      <c r="J18" s="399"/>
      <c r="K18" s="564"/>
      <c r="L18" s="2717"/>
      <c r="M18" s="2711"/>
      <c r="N18" s="2711"/>
      <c r="O18" s="2711"/>
      <c r="P18" s="3733"/>
      <c r="Q18" s="1351"/>
      <c r="R18" s="705"/>
      <c r="S18" s="706"/>
      <c r="T18" s="705"/>
      <c r="U18" s="706"/>
      <c r="V18" s="705"/>
      <c r="W18" s="706"/>
      <c r="X18" s="1354"/>
      <c r="Y18" s="3726"/>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33"/>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959">
        <f t="shared" si="5"/>
        <v>1</v>
      </c>
    </row>
    <row r="20" spans="1:29" ht="15">
      <c r="A20" s="379"/>
      <c r="B20" s="580"/>
      <c r="C20" s="1901"/>
      <c r="D20" s="399"/>
      <c r="E20" s="1894"/>
      <c r="F20" s="399"/>
      <c r="G20" s="1895"/>
      <c r="H20" s="399"/>
      <c r="I20" s="1895"/>
      <c r="J20" s="399"/>
      <c r="K20" s="564"/>
      <c r="L20" s="2717"/>
      <c r="M20" s="2711"/>
      <c r="N20" s="2711"/>
      <c r="O20" s="2711"/>
      <c r="P20" s="3733"/>
      <c r="Q20" s="1351"/>
      <c r="R20" s="705"/>
      <c r="S20" s="706"/>
      <c r="T20" s="705"/>
      <c r="U20" s="706"/>
      <c r="V20" s="705"/>
      <c r="W20" s="706"/>
      <c r="X20" s="1354"/>
      <c r="Y20" s="3726"/>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1"/>
      <c r="H22" s="399"/>
      <c r="I22" s="1901"/>
      <c r="J22" s="399"/>
      <c r="K22" s="1129"/>
      <c r="L22" s="2717"/>
      <c r="M22" s="2711"/>
      <c r="N22" s="2711"/>
      <c r="O22" s="2711"/>
      <c r="P22" s="3733"/>
      <c r="Q22" s="1351"/>
      <c r="R22" s="705"/>
      <c r="S22" s="706"/>
      <c r="T22" s="705"/>
      <c r="U22" s="706"/>
      <c r="V22" s="705"/>
      <c r="W22" s="706"/>
      <c r="X22" s="1354"/>
      <c r="Y22" s="3726"/>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33"/>
      <c r="Q23" s="1351" t="str">
        <f>B23</f>
        <v>环境质量</v>
      </c>
      <c r="R23" s="705" t="s">
        <v>14</v>
      </c>
      <c r="S23" s="706">
        <f>F23</f>
        <v>100</v>
      </c>
      <c r="T23" s="705" t="s">
        <v>14</v>
      </c>
      <c r="U23" s="706">
        <f>H23</f>
        <v>100</v>
      </c>
      <c r="V23" s="705" t="s">
        <v>14</v>
      </c>
      <c r="W23" s="706">
        <f>J23</f>
        <v>100</v>
      </c>
      <c r="X23" s="1354"/>
      <c r="Y23" s="3726"/>
      <c r="Z23" s="1355" t="str">
        <f>Q23</f>
        <v>环境质量</v>
      </c>
      <c r="AA23" s="1352">
        <f t="shared" si="3"/>
        <v>1</v>
      </c>
      <c r="AB23" s="1352">
        <f t="shared" si="4"/>
        <v>1</v>
      </c>
      <c r="AC23" s="1959">
        <f t="shared" si="5"/>
        <v>1</v>
      </c>
    </row>
    <row r="24" spans="1:29" ht="15">
      <c r="A24" s="379"/>
      <c r="B24" s="581"/>
      <c r="C24" s="1901"/>
      <c r="D24" s="399"/>
      <c r="E24" s="1894"/>
      <c r="F24" s="399"/>
      <c r="G24" s="1895"/>
      <c r="H24" s="399"/>
      <c r="I24" s="1895"/>
      <c r="J24" s="399"/>
      <c r="K24" s="564"/>
      <c r="L24" s="2717"/>
      <c r="M24" s="2711"/>
      <c r="N24" s="2711"/>
      <c r="O24" s="2711"/>
      <c r="P24" s="3733"/>
      <c r="Q24" s="1351"/>
      <c r="R24" s="705"/>
      <c r="S24" s="706"/>
      <c r="T24" s="705"/>
      <c r="U24" s="706"/>
      <c r="V24" s="705"/>
      <c r="W24" s="706"/>
      <c r="X24" s="1354"/>
      <c r="Y24" s="3726"/>
      <c r="Z24" s="1355"/>
      <c r="AA24" s="1352">
        <v>1</v>
      </c>
      <c r="AB24" s="1352">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7"/>
      <c r="M25" s="2711"/>
      <c r="N25" s="2711"/>
      <c r="O25" s="2711"/>
      <c r="P25" s="3733"/>
      <c r="Q25" s="1351" t="str">
        <f>B25</f>
        <v>毗邻道路的类型与等级</v>
      </c>
      <c r="R25" s="705" t="s">
        <v>14</v>
      </c>
      <c r="S25" s="706">
        <f>F25</f>
        <v>100</v>
      </c>
      <c r="T25" s="705" t="s">
        <v>14</v>
      </c>
      <c r="U25" s="706">
        <f>H25</f>
        <v>100</v>
      </c>
      <c r="V25" s="705" t="s">
        <v>14</v>
      </c>
      <c r="W25" s="706">
        <f>J25</f>
        <v>100</v>
      </c>
      <c r="X25" s="1354"/>
      <c r="Y25" s="3726"/>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7"/>
      <c r="M26" s="2711"/>
      <c r="N26" s="2711"/>
      <c r="O26" s="2711"/>
      <c r="P26" s="3733"/>
      <c r="Q26" s="1351"/>
      <c r="R26" s="705"/>
      <c r="S26" s="706"/>
      <c r="T26" s="705"/>
      <c r="U26" s="706"/>
      <c r="V26" s="705"/>
      <c r="W26" s="706"/>
      <c r="X26" s="1354"/>
      <c r="Y26" s="3726"/>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33"/>
      <c r="Q27" s="1351" t="str">
        <f t="shared" ref="Q27:Q47" si="11">B27</f>
        <v>楼层</v>
      </c>
      <c r="R27" s="705" t="s">
        <v>14</v>
      </c>
      <c r="S27" s="706">
        <f>F27</f>
        <v>100</v>
      </c>
      <c r="T27" s="705" t="s">
        <v>14</v>
      </c>
      <c r="U27" s="706">
        <f>H27</f>
        <v>100</v>
      </c>
      <c r="V27" s="705" t="s">
        <v>14</v>
      </c>
      <c r="W27" s="706">
        <f>J27</f>
        <v>100</v>
      </c>
      <c r="X27" s="1354"/>
      <c r="Y27" s="3726"/>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33"/>
      <c r="Q28" s="1342" t="str">
        <f t="shared" si="11"/>
        <v>朝向</v>
      </c>
      <c r="R28" s="701" t="s">
        <v>14</v>
      </c>
      <c r="S28" s="702">
        <f>F28</f>
        <v>100</v>
      </c>
      <c r="T28" s="701" t="s">
        <v>14</v>
      </c>
      <c r="U28" s="702">
        <f>H28</f>
        <v>100</v>
      </c>
      <c r="V28" s="701" t="s">
        <v>14</v>
      </c>
      <c r="W28" s="702">
        <f>J28</f>
        <v>100</v>
      </c>
      <c r="X28" s="703"/>
      <c r="Y28" s="3726"/>
      <c r="Z28" s="52" t="str">
        <f>Q28</f>
        <v>朝向</v>
      </c>
      <c r="AA28" s="1352">
        <f>D28/F28</f>
        <v>1</v>
      </c>
      <c r="AB28" s="1352">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33"/>
      <c r="Q29" s="1351">
        <f t="shared" si="11"/>
        <v>111</v>
      </c>
      <c r="R29" s="705" t="s">
        <v>14</v>
      </c>
      <c r="S29" s="706">
        <f t="shared" ref="S29:S47" si="12">F29</f>
        <v>100</v>
      </c>
      <c r="T29" s="705" t="s">
        <v>14</v>
      </c>
      <c r="U29" s="706">
        <f t="shared" ref="U29:U47" si="13">H29</f>
        <v>100</v>
      </c>
      <c r="V29" s="705" t="s">
        <v>14</v>
      </c>
      <c r="W29" s="706">
        <f t="shared" ref="W29:W47" si="14">J29</f>
        <v>100</v>
      </c>
      <c r="X29" s="1354"/>
      <c r="Y29" s="3726"/>
      <c r="Z29" s="1355">
        <f t="shared" ref="Z29:Z47" si="15">Q29</f>
        <v>111</v>
      </c>
      <c r="AA29" s="1352">
        <f t="shared" si="3"/>
        <v>1</v>
      </c>
      <c r="AB29" s="1352">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33"/>
      <c r="Q30" s="1351">
        <f t="shared" si="11"/>
        <v>111</v>
      </c>
      <c r="R30" s="705" t="s">
        <v>14</v>
      </c>
      <c r="S30" s="706">
        <f t="shared" si="12"/>
        <v>100</v>
      </c>
      <c r="T30" s="705" t="s">
        <v>14</v>
      </c>
      <c r="U30" s="706">
        <f t="shared" si="13"/>
        <v>100</v>
      </c>
      <c r="V30" s="705" t="s">
        <v>14</v>
      </c>
      <c r="W30" s="706">
        <f t="shared" si="14"/>
        <v>100</v>
      </c>
      <c r="X30" s="1354"/>
      <c r="Y30" s="3726"/>
      <c r="Z30" s="1355">
        <f t="shared" si="15"/>
        <v>111</v>
      </c>
      <c r="AA30" s="1352">
        <f t="shared" si="3"/>
        <v>1</v>
      </c>
      <c r="AB30" s="1352">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33"/>
      <c r="Q31" s="1351">
        <f t="shared" si="11"/>
        <v>111</v>
      </c>
      <c r="R31" s="705" t="s">
        <v>14</v>
      </c>
      <c r="S31" s="706">
        <f t="shared" si="12"/>
        <v>100</v>
      </c>
      <c r="T31" s="705" t="s">
        <v>14</v>
      </c>
      <c r="U31" s="706">
        <f t="shared" si="13"/>
        <v>100</v>
      </c>
      <c r="V31" s="705" t="s">
        <v>14</v>
      </c>
      <c r="W31" s="706">
        <f t="shared" si="14"/>
        <v>100</v>
      </c>
      <c r="X31" s="1354"/>
      <c r="Y31" s="3726"/>
      <c r="Z31" s="1355">
        <f t="shared" si="15"/>
        <v>111</v>
      </c>
      <c r="AA31" s="1352">
        <f t="shared" si="3"/>
        <v>1</v>
      </c>
      <c r="AB31" s="1352">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33"/>
      <c r="Q32" s="1351">
        <f t="shared" si="11"/>
        <v>111</v>
      </c>
      <c r="R32" s="705" t="s">
        <v>14</v>
      </c>
      <c r="S32" s="706">
        <f t="shared" si="12"/>
        <v>100</v>
      </c>
      <c r="T32" s="705" t="s">
        <v>14</v>
      </c>
      <c r="U32" s="706">
        <f t="shared" si="13"/>
        <v>100</v>
      </c>
      <c r="V32" s="705" t="s">
        <v>14</v>
      </c>
      <c r="W32" s="706">
        <f t="shared" si="14"/>
        <v>100</v>
      </c>
      <c r="X32" s="1354"/>
      <c r="Y32" s="3726"/>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7"/>
      <c r="M33" s="2711"/>
      <c r="N33" s="2711"/>
      <c r="O33" s="2711"/>
      <c r="P33" s="3727" t="s">
        <v>1696</v>
      </c>
      <c r="Q33" s="1351" t="str">
        <f t="shared" si="11"/>
        <v>建筑类型</v>
      </c>
      <c r="R33" s="705" t="s">
        <v>14</v>
      </c>
      <c r="S33" s="706">
        <f t="shared" si="12"/>
        <v>100</v>
      </c>
      <c r="T33" s="705" t="s">
        <v>14</v>
      </c>
      <c r="U33" s="706">
        <f t="shared" si="13"/>
        <v>100</v>
      </c>
      <c r="V33" s="705" t="s">
        <v>14</v>
      </c>
      <c r="W33" s="706">
        <f t="shared" si="14"/>
        <v>100</v>
      </c>
      <c r="X33" s="1354"/>
      <c r="Y33" s="3730"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28"/>
      <c r="Q35" s="1351" t="str">
        <f t="shared" si="11"/>
        <v>建筑结构</v>
      </c>
      <c r="R35" s="705" t="s">
        <v>14</v>
      </c>
      <c r="S35" s="706">
        <f t="shared" si="12"/>
        <v>100</v>
      </c>
      <c r="T35" s="705" t="s">
        <v>14</v>
      </c>
      <c r="U35" s="706">
        <f t="shared" si="13"/>
        <v>100</v>
      </c>
      <c r="V35" s="705" t="s">
        <v>14</v>
      </c>
      <c r="W35" s="706">
        <f t="shared" si="14"/>
        <v>100</v>
      </c>
      <c r="X35" s="1354"/>
      <c r="Y35" s="3730"/>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28"/>
      <c r="Q36" s="1351" t="str">
        <f t="shared" si="11"/>
        <v>公共部分装修</v>
      </c>
      <c r="R36" s="705" t="s">
        <v>14</v>
      </c>
      <c r="S36" s="706">
        <f t="shared" si="12"/>
        <v>100</v>
      </c>
      <c r="T36" s="705" t="s">
        <v>14</v>
      </c>
      <c r="U36" s="706">
        <f t="shared" si="13"/>
        <v>100</v>
      </c>
      <c r="V36" s="705" t="s">
        <v>14</v>
      </c>
      <c r="W36" s="706">
        <f t="shared" si="14"/>
        <v>100</v>
      </c>
      <c r="X36" s="1354"/>
      <c r="Y36" s="3730"/>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28"/>
      <c r="Q37" s="1351" t="str">
        <f t="shared" si="11"/>
        <v>成新度</v>
      </c>
      <c r="R37" s="705" t="s">
        <v>14</v>
      </c>
      <c r="S37" s="706" t="e">
        <f t="shared" si="12"/>
        <v>#N/A</v>
      </c>
      <c r="T37" s="705" t="s">
        <v>14</v>
      </c>
      <c r="U37" s="706" t="e">
        <f t="shared" si="13"/>
        <v>#N/A</v>
      </c>
      <c r="V37" s="705" t="s">
        <v>14</v>
      </c>
      <c r="W37" s="706" t="e">
        <f t="shared" si="14"/>
        <v>#N/A</v>
      </c>
      <c r="X37" s="1354"/>
      <c r="Y37" s="3730"/>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8"/>
      <c r="Q38" s="1342"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28" t="s">
        <v>1696</v>
      </c>
      <c r="Q39" s="1351" t="str">
        <f t="shared" si="11"/>
        <v>物业管理</v>
      </c>
      <c r="R39" s="705" t="s">
        <v>14</v>
      </c>
      <c r="S39" s="706">
        <f t="shared" si="12"/>
        <v>100</v>
      </c>
      <c r="T39" s="705" t="s">
        <v>14</v>
      </c>
      <c r="U39" s="706">
        <f t="shared" si="13"/>
        <v>100</v>
      </c>
      <c r="V39" s="705" t="s">
        <v>14</v>
      </c>
      <c r="W39" s="706">
        <f t="shared" si="14"/>
        <v>100</v>
      </c>
      <c r="X39" s="1354"/>
      <c r="Y39" s="3730"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28"/>
      <c r="Q40" s="1351" t="str">
        <f t="shared" si="11"/>
        <v>市政基础设施</v>
      </c>
      <c r="R40" s="705" t="s">
        <v>14</v>
      </c>
      <c r="S40" s="706">
        <f t="shared" si="12"/>
        <v>100</v>
      </c>
      <c r="T40" s="705" t="s">
        <v>14</v>
      </c>
      <c r="U40" s="706">
        <f t="shared" si="13"/>
        <v>100</v>
      </c>
      <c r="V40" s="705" t="s">
        <v>14</v>
      </c>
      <c r="W40" s="706">
        <f t="shared" si="14"/>
        <v>100</v>
      </c>
      <c r="X40" s="1354"/>
      <c r="Y40" s="3730"/>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8"/>
      <c r="Q41" s="1351" t="str">
        <f t="shared" si="11"/>
        <v>层高</v>
      </c>
      <c r="R41" s="705" t="s">
        <v>14</v>
      </c>
      <c r="S41" s="706">
        <f t="shared" si="12"/>
        <v>100</v>
      </c>
      <c r="T41" s="705" t="s">
        <v>14</v>
      </c>
      <c r="U41" s="706">
        <f t="shared" si="13"/>
        <v>100</v>
      </c>
      <c r="V41" s="705" t="s">
        <v>14</v>
      </c>
      <c r="W41" s="706">
        <f t="shared" si="14"/>
        <v>100</v>
      </c>
      <c r="X41" s="1354"/>
      <c r="Y41" s="3730"/>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28"/>
      <c r="Q43" s="1351" t="str">
        <f t="shared" si="11"/>
        <v>内部装修</v>
      </c>
      <c r="R43" s="705" t="s">
        <v>14</v>
      </c>
      <c r="S43" s="706">
        <f t="shared" si="12"/>
        <v>100</v>
      </c>
      <c r="T43" s="705" t="s">
        <v>14</v>
      </c>
      <c r="U43" s="706">
        <f t="shared" si="13"/>
        <v>100</v>
      </c>
      <c r="V43" s="705" t="s">
        <v>14</v>
      </c>
      <c r="W43" s="706">
        <f t="shared" si="14"/>
        <v>100</v>
      </c>
      <c r="X43" s="1354"/>
      <c r="Y43" s="3730"/>
      <c r="Z43" s="1355" t="str">
        <f t="shared" si="15"/>
        <v>内部装修</v>
      </c>
      <c r="AA43" s="1352">
        <f t="shared" si="3"/>
        <v>1</v>
      </c>
      <c r="AB43" s="1352">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7"/>
      <c r="M44" s="2711"/>
      <c r="N44" s="2711"/>
      <c r="O44" s="2711"/>
      <c r="P44" s="3728"/>
      <c r="Q44" s="1351" t="str">
        <f t="shared" si="11"/>
        <v>内部装修维护情况</v>
      </c>
      <c r="R44" s="705" t="s">
        <v>14</v>
      </c>
      <c r="S44" s="706">
        <f t="shared" si="12"/>
        <v>100</v>
      </c>
      <c r="T44" s="705" t="s">
        <v>14</v>
      </c>
      <c r="U44" s="706">
        <f t="shared" si="13"/>
        <v>100</v>
      </c>
      <c r="V44" s="705" t="s">
        <v>14</v>
      </c>
      <c r="W44" s="706">
        <f t="shared" si="14"/>
        <v>100</v>
      </c>
      <c r="X44" s="1354"/>
      <c r="Y44" s="3730"/>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8"/>
      <c r="Q45" s="1342">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8"/>
      <c r="Q46" s="1351">
        <f t="shared" si="11"/>
        <v>111</v>
      </c>
      <c r="R46" s="705" t="s">
        <v>14</v>
      </c>
      <c r="S46" s="706">
        <f t="shared" si="12"/>
        <v>100</v>
      </c>
      <c r="T46" s="705" t="s">
        <v>14</v>
      </c>
      <c r="U46" s="706">
        <f t="shared" si="13"/>
        <v>100</v>
      </c>
      <c r="V46" s="705" t="s">
        <v>14</v>
      </c>
      <c r="W46" s="706">
        <f t="shared" si="14"/>
        <v>100</v>
      </c>
      <c r="X46" s="1354"/>
      <c r="Y46" s="3730"/>
      <c r="Z46" s="1355">
        <f t="shared" si="15"/>
        <v>111</v>
      </c>
      <c r="AA46" s="1352">
        <f t="shared" si="3"/>
        <v>1</v>
      </c>
      <c r="AB46" s="1352">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9"/>
      <c r="Q47" s="1351">
        <f t="shared" si="11"/>
        <v>111</v>
      </c>
      <c r="R47" s="705" t="s">
        <v>14</v>
      </c>
      <c r="S47" s="706">
        <f t="shared" si="12"/>
        <v>100</v>
      </c>
      <c r="T47" s="705" t="s">
        <v>14</v>
      </c>
      <c r="U47" s="706">
        <f t="shared" si="13"/>
        <v>100</v>
      </c>
      <c r="V47" s="705" t="s">
        <v>14</v>
      </c>
      <c r="W47" s="706">
        <f t="shared" si="14"/>
        <v>100</v>
      </c>
      <c r="X47" s="1354"/>
      <c r="Y47" s="3731"/>
      <c r="Z47" s="1355">
        <f t="shared" si="15"/>
        <v>111</v>
      </c>
      <c r="AA47" s="1352">
        <f t="shared" si="3"/>
        <v>1</v>
      </c>
      <c r="AB47" s="1352">
        <f t="shared" si="4"/>
        <v>1</v>
      </c>
      <c r="AC47" s="1959">
        <f t="shared" si="5"/>
        <v>1</v>
      </c>
    </row>
    <row r="48" spans="1:29" ht="15">
      <c r="A48" s="430" t="s">
        <v>1708</v>
      </c>
      <c r="B48" s="431"/>
      <c r="C48" s="1153" t="s">
        <v>0</v>
      </c>
      <c r="D48" s="1154"/>
      <c r="E48" s="1155"/>
      <c r="F48" s="1156"/>
      <c r="G48" s="1157"/>
      <c r="H48" s="1158"/>
      <c r="I48" s="1155"/>
      <c r="J48" s="436"/>
      <c r="K48" s="714"/>
      <c r="L48" s="2719"/>
      <c r="M48" s="2711"/>
      <c r="N48" s="2711"/>
      <c r="O48" s="2711"/>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75" thickBot="1">
      <c r="A49" s="437" t="s">
        <v>1793</v>
      </c>
      <c r="B49" s="438"/>
      <c r="C49" s="1159" t="e">
        <f>R50</f>
        <v>#DIV/0!</v>
      </c>
      <c r="D49" s="2314" t="s">
        <v>2138</v>
      </c>
      <c r="E49" s="1160" t="e">
        <f>R49</f>
        <v>#DIV/0!</v>
      </c>
      <c r="F49" s="2315"/>
      <c r="G49" s="1159" t="e">
        <f>T49</f>
        <v>#DIV/0!</v>
      </c>
      <c r="H49" s="2315"/>
      <c r="I49" s="1160" t="e">
        <f>V49</f>
        <v>#DIV/0!</v>
      </c>
      <c r="J49" s="2315"/>
      <c r="K49" s="2317">
        <f>F49+H49+J49</f>
        <v>0</v>
      </c>
      <c r="L49" s="2719"/>
      <c r="M49" s="2711"/>
      <c r="N49" s="2711"/>
      <c r="O49" s="2711"/>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19"/>
      <c r="M50" s="2711"/>
      <c r="N50" s="2711"/>
      <c r="O50" s="2711"/>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2024-8</v>
      </c>
      <c r="D59" s="1184">
        <f>EDATE(C59,-1)</f>
        <v>45474</v>
      </c>
      <c r="E59" s="1184">
        <f>EDATE(D59,-1)</f>
        <v>45444</v>
      </c>
      <c r="F59" s="1184">
        <f t="shared" ref="F59:O59" si="16">EDATE(E59,-1)</f>
        <v>45413</v>
      </c>
      <c r="G59" s="1184">
        <f t="shared" si="16"/>
        <v>45383</v>
      </c>
      <c r="H59" s="1184">
        <f t="shared" si="16"/>
        <v>45352</v>
      </c>
      <c r="I59" s="1184">
        <f t="shared" si="16"/>
        <v>45323</v>
      </c>
      <c r="J59" s="1184">
        <f t="shared" si="16"/>
        <v>45292</v>
      </c>
      <c r="K59" s="1184">
        <f t="shared" si="16"/>
        <v>45261</v>
      </c>
      <c r="L59" s="1184">
        <f t="shared" si="16"/>
        <v>45231</v>
      </c>
      <c r="M59" s="1184">
        <f t="shared" si="16"/>
        <v>45200</v>
      </c>
      <c r="N59" s="1184">
        <f t="shared" si="16"/>
        <v>45170</v>
      </c>
      <c r="O59" s="1184">
        <f t="shared" si="16"/>
        <v>45139</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受贵公司委托，我公司对北京市东环北路1号进行了预评估。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估价对象为北京市东环北路1号房地产，为所有。根据《国有土地使用证》[]，估价对象（分摊）出让国有建设用地使用权面积为15462.6平方米，建筑面积为8640.14平方米。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估价对象为北京市东环北路1号房地产,属开发建设的，该项目尚在开发建设中。根据《国有土地使用证》[]，估价对象（分摊）出让国有建设用地使用权面积为15462.6平方米，规划建筑面积为8640.14平方米。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2024年8月12日（评估专业人员实地查勘之日）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8"/>
      <c r="F1" s="1876"/>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8640.14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913"/>
      <c r="M5" s="914"/>
      <c r="N5" s="914"/>
      <c r="O5" s="914"/>
      <c r="P5" s="3712"/>
      <c r="Q5" s="3713"/>
      <c r="R5" s="3695"/>
      <c r="S5" s="3696"/>
      <c r="T5" s="3695"/>
      <c r="U5" s="3696"/>
      <c r="V5" s="3718"/>
      <c r="W5" s="3718"/>
      <c r="X5" s="1354"/>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913"/>
      <c r="M6" s="914"/>
      <c r="N6" s="914"/>
      <c r="O6" s="914"/>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45516</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2"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23"/>
      <c r="Q10" s="1342"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2"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23"/>
      <c r="Q12" s="1342">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23"/>
      <c r="Q13" s="1342">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23"/>
      <c r="Q14" s="1342">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1" t="str">
        <f t="shared" si="6"/>
        <v>产业集聚程度</v>
      </c>
      <c r="R15" s="705" t="s">
        <v>14</v>
      </c>
      <c r="S15" s="706">
        <f t="shared" si="0"/>
        <v>100</v>
      </c>
      <c r="T15" s="705" t="s">
        <v>14</v>
      </c>
      <c r="U15" s="706">
        <f t="shared" si="1"/>
        <v>100</v>
      </c>
      <c r="V15" s="705" t="s">
        <v>14</v>
      </c>
      <c r="W15" s="706">
        <f t="shared" si="2"/>
        <v>100</v>
      </c>
      <c r="X15" s="1354"/>
      <c r="Y15" s="372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6"/>
      <c r="Q16" s="1351"/>
      <c r="R16" s="705"/>
      <c r="S16" s="706"/>
      <c r="T16" s="705"/>
      <c r="U16" s="706"/>
      <c r="V16" s="705"/>
      <c r="W16" s="706"/>
      <c r="X16" s="1354"/>
      <c r="Y16" s="3726"/>
      <c r="Z16" s="1355"/>
      <c r="AA16" s="1352">
        <v>1</v>
      </c>
      <c r="AB16" s="1352">
        <v>1</v>
      </c>
      <c r="AC16" s="1352">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407"/>
      <c r="C18" s="1898"/>
      <c r="D18" s="401"/>
      <c r="E18" s="1900"/>
      <c r="F18" s="404"/>
      <c r="G18" s="1899"/>
      <c r="H18" s="399"/>
      <c r="I18" s="1900"/>
      <c r="J18" s="399"/>
      <c r="K18" s="564"/>
      <c r="L18" s="923"/>
      <c r="M18" s="914"/>
      <c r="N18" s="914"/>
      <c r="O18" s="922"/>
      <c r="P18" s="3726"/>
      <c r="Q18" s="1351"/>
      <c r="R18" s="705"/>
      <c r="S18" s="706"/>
      <c r="T18" s="705"/>
      <c r="U18" s="706"/>
      <c r="V18" s="705"/>
      <c r="W18" s="706"/>
      <c r="X18" s="1354"/>
      <c r="Y18" s="3726"/>
      <c r="Z18" s="1355"/>
      <c r="AA18" s="1352">
        <v>1</v>
      </c>
      <c r="AB18" s="1352">
        <v>1</v>
      </c>
      <c r="AC18" s="1352">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352">
        <f t="shared" si="5"/>
        <v>1</v>
      </c>
    </row>
    <row r="20" spans="1:29" ht="15">
      <c r="A20" s="379"/>
      <c r="B20" s="407"/>
      <c r="C20" s="398"/>
      <c r="D20" s="399"/>
      <c r="E20" s="1895"/>
      <c r="F20" s="400"/>
      <c r="G20" s="1894"/>
      <c r="H20" s="399"/>
      <c r="I20" s="1895"/>
      <c r="J20" s="399"/>
      <c r="K20" s="564"/>
      <c r="L20" s="923"/>
      <c r="M20" s="914"/>
      <c r="N20" s="914"/>
      <c r="O20" s="922"/>
      <c r="P20" s="3726"/>
      <c r="Q20" s="1351"/>
      <c r="R20" s="705"/>
      <c r="S20" s="706"/>
      <c r="T20" s="705"/>
      <c r="U20" s="706"/>
      <c r="V20" s="705"/>
      <c r="W20" s="706"/>
      <c r="X20" s="1354"/>
      <c r="Y20" s="3726"/>
      <c r="Z20" s="1355"/>
      <c r="AA20" s="1352">
        <v>1</v>
      </c>
      <c r="AB20" s="1352">
        <v>1</v>
      </c>
      <c r="AC20" s="1352">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400"/>
      <c r="G22" s="398"/>
      <c r="H22" s="399"/>
      <c r="I22" s="398"/>
      <c r="J22" s="399"/>
      <c r="K22" s="1129"/>
      <c r="L22" s="923"/>
      <c r="M22" s="914"/>
      <c r="N22" s="914"/>
      <c r="O22" s="922"/>
      <c r="P22" s="3726"/>
      <c r="Q22" s="1351"/>
      <c r="R22" s="705"/>
      <c r="S22" s="706"/>
      <c r="T22" s="705"/>
      <c r="U22" s="706"/>
      <c r="V22" s="705"/>
      <c r="W22" s="706"/>
      <c r="X22" s="1354"/>
      <c r="Y22" s="3726"/>
      <c r="Z22" s="1355"/>
      <c r="AA22" s="1352">
        <v>1</v>
      </c>
      <c r="AB22" s="1352">
        <v>1</v>
      </c>
      <c r="AC22" s="1352">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1" t="str">
        <f>B23</f>
        <v>环境质量</v>
      </c>
      <c r="R23" s="705" t="s">
        <v>14</v>
      </c>
      <c r="S23" s="706">
        <f>F23</f>
        <v>100</v>
      </c>
      <c r="T23" s="705" t="s">
        <v>14</v>
      </c>
      <c r="U23" s="706">
        <f>H23</f>
        <v>100</v>
      </c>
      <c r="V23" s="705" t="s">
        <v>14</v>
      </c>
      <c r="W23" s="706">
        <f>J23</f>
        <v>100</v>
      </c>
      <c r="X23" s="1354"/>
      <c r="Y23" s="3726"/>
      <c r="Z23" s="1355" t="str">
        <f>Q23</f>
        <v>环境质量</v>
      </c>
      <c r="AA23" s="1352">
        <f t="shared" si="3"/>
        <v>1</v>
      </c>
      <c r="AB23" s="1352">
        <f t="shared" si="4"/>
        <v>1</v>
      </c>
      <c r="AC23" s="1352">
        <f t="shared" si="5"/>
        <v>1</v>
      </c>
    </row>
    <row r="24" spans="1:29" ht="15">
      <c r="A24" s="379"/>
      <c r="B24" s="1130"/>
      <c r="C24" s="398"/>
      <c r="D24" s="399"/>
      <c r="E24" s="1895"/>
      <c r="F24" s="400"/>
      <c r="G24" s="1894"/>
      <c r="H24" s="399"/>
      <c r="I24" s="1895"/>
      <c r="J24" s="399"/>
      <c r="K24" s="564"/>
      <c r="L24" s="923"/>
      <c r="M24" s="914"/>
      <c r="N24" s="914"/>
      <c r="O24" s="922"/>
      <c r="P24" s="3726"/>
      <c r="Q24" s="1351"/>
      <c r="R24" s="705"/>
      <c r="S24" s="706"/>
      <c r="T24" s="705"/>
      <c r="U24" s="706"/>
      <c r="V24" s="705"/>
      <c r="W24" s="706"/>
      <c r="X24" s="1354"/>
      <c r="Y24" s="372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1">
        <f>B25</f>
        <v>111</v>
      </c>
      <c r="R25" s="705" t="s">
        <v>14</v>
      </c>
      <c r="S25" s="706">
        <f>F25</f>
        <v>100</v>
      </c>
      <c r="T25" s="705" t="s">
        <v>14</v>
      </c>
      <c r="U25" s="706">
        <f>H25</f>
        <v>100</v>
      </c>
      <c r="V25" s="705" t="s">
        <v>14</v>
      </c>
      <c r="W25" s="706">
        <f>J25</f>
        <v>100</v>
      </c>
      <c r="X25" s="1354"/>
      <c r="Y25" s="372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1">
        <f t="shared" ref="Q26:Q40" si="11">B26</f>
        <v>111</v>
      </c>
      <c r="R26" s="705" t="s">
        <v>14</v>
      </c>
      <c r="S26" s="706">
        <f>F26</f>
        <v>100</v>
      </c>
      <c r="T26" s="705" t="s">
        <v>14</v>
      </c>
      <c r="U26" s="706">
        <f>H26</f>
        <v>100</v>
      </c>
      <c r="V26" s="705" t="s">
        <v>14</v>
      </c>
      <c r="W26" s="706">
        <f>J26</f>
        <v>100</v>
      </c>
      <c r="X26" s="1354"/>
      <c r="Y26" s="372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2">
        <f t="shared" si="11"/>
        <v>111</v>
      </c>
      <c r="R27" s="701" t="s">
        <v>14</v>
      </c>
      <c r="S27" s="702">
        <f>F27</f>
        <v>100</v>
      </c>
      <c r="T27" s="701" t="s">
        <v>14</v>
      </c>
      <c r="U27" s="702">
        <f>H27</f>
        <v>100</v>
      </c>
      <c r="V27" s="701" t="s">
        <v>14</v>
      </c>
      <c r="W27" s="702">
        <f>J27</f>
        <v>100</v>
      </c>
      <c r="X27" s="703"/>
      <c r="Y27" s="372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1">
        <f t="shared" si="11"/>
        <v>111</v>
      </c>
      <c r="R28" s="705" t="s">
        <v>14</v>
      </c>
      <c r="S28" s="706">
        <f t="shared" ref="S28:S40" si="12">F28</f>
        <v>100</v>
      </c>
      <c r="T28" s="705" t="s">
        <v>14</v>
      </c>
      <c r="U28" s="706">
        <f t="shared" ref="U28:U40" si="13">H28</f>
        <v>100</v>
      </c>
      <c r="V28" s="705" t="s">
        <v>14</v>
      </c>
      <c r="W28" s="706">
        <f t="shared" ref="W28:W40" si="14">J28</f>
        <v>100</v>
      </c>
      <c r="X28" s="1354"/>
      <c r="Y28" s="3726"/>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49" t="s">
        <v>1696</v>
      </c>
      <c r="Q29" s="1351" t="str">
        <f t="shared" si="11"/>
        <v>建筑类型</v>
      </c>
      <c r="R29" s="705" t="s">
        <v>14</v>
      </c>
      <c r="S29" s="706">
        <f t="shared" si="12"/>
        <v>100</v>
      </c>
      <c r="T29" s="705" t="s">
        <v>14</v>
      </c>
      <c r="U29" s="706">
        <f t="shared" si="13"/>
        <v>100</v>
      </c>
      <c r="V29" s="705" t="s">
        <v>14</v>
      </c>
      <c r="W29" s="706">
        <f t="shared" si="14"/>
        <v>100</v>
      </c>
      <c r="X29" s="1354"/>
      <c r="Y29" s="373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1" t="str">
        <f t="shared" si="11"/>
        <v>建筑结构</v>
      </c>
      <c r="R31" s="705" t="s">
        <v>14</v>
      </c>
      <c r="S31" s="706">
        <f t="shared" si="12"/>
        <v>100</v>
      </c>
      <c r="T31" s="705" t="s">
        <v>14</v>
      </c>
      <c r="U31" s="706">
        <f t="shared" si="13"/>
        <v>100</v>
      </c>
      <c r="V31" s="705" t="s">
        <v>14</v>
      </c>
      <c r="W31" s="706">
        <f t="shared" si="14"/>
        <v>100</v>
      </c>
      <c r="X31" s="1354"/>
      <c r="Y31" s="373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1" t="str">
        <f t="shared" si="11"/>
        <v>公共部分装修</v>
      </c>
      <c r="R32" s="705" t="s">
        <v>14</v>
      </c>
      <c r="S32" s="706">
        <f t="shared" si="12"/>
        <v>100</v>
      </c>
      <c r="T32" s="705" t="s">
        <v>14</v>
      </c>
      <c r="U32" s="706">
        <f t="shared" si="13"/>
        <v>100</v>
      </c>
      <c r="V32" s="705" t="s">
        <v>14</v>
      </c>
      <c r="W32" s="706">
        <f t="shared" si="14"/>
        <v>100</v>
      </c>
      <c r="X32" s="1354"/>
      <c r="Y32" s="373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1" t="str">
        <f t="shared" si="11"/>
        <v>成新度</v>
      </c>
      <c r="R33" s="705" t="s">
        <v>14</v>
      </c>
      <c r="S33" s="706" t="e">
        <f t="shared" si="12"/>
        <v>#N/A</v>
      </c>
      <c r="T33" s="705" t="s">
        <v>14</v>
      </c>
      <c r="U33" s="706" t="e">
        <f t="shared" si="13"/>
        <v>#N/A</v>
      </c>
      <c r="V33" s="705" t="s">
        <v>14</v>
      </c>
      <c r="W33" s="706" t="e">
        <f t="shared" si="14"/>
        <v>#N/A</v>
      </c>
      <c r="X33" s="1354"/>
      <c r="Y33" s="373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2"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1" t="str">
        <f t="shared" si="11"/>
        <v>市政基础设施</v>
      </c>
      <c r="R35" s="705" t="s">
        <v>14</v>
      </c>
      <c r="S35" s="706">
        <f t="shared" si="12"/>
        <v>100</v>
      </c>
      <c r="T35" s="705" t="s">
        <v>14</v>
      </c>
      <c r="U35" s="706">
        <f t="shared" si="13"/>
        <v>100</v>
      </c>
      <c r="V35" s="705" t="s">
        <v>14</v>
      </c>
      <c r="W35" s="706">
        <f t="shared" si="14"/>
        <v>100</v>
      </c>
      <c r="X35" s="1354"/>
      <c r="Y35" s="373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1" t="str">
        <f t="shared" si="11"/>
        <v>内部装修</v>
      </c>
      <c r="R36" s="705" t="s">
        <v>14</v>
      </c>
      <c r="S36" s="706">
        <f t="shared" si="12"/>
        <v>100</v>
      </c>
      <c r="T36" s="705" t="s">
        <v>14</v>
      </c>
      <c r="U36" s="706">
        <f t="shared" si="13"/>
        <v>100</v>
      </c>
      <c r="V36" s="705" t="s">
        <v>14</v>
      </c>
      <c r="W36" s="706">
        <f t="shared" si="14"/>
        <v>100</v>
      </c>
      <c r="X36" s="1354"/>
      <c r="Y36" s="373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1" t="str">
        <f t="shared" si="11"/>
        <v>内部装修状况</v>
      </c>
      <c r="R37" s="705" t="s">
        <v>14</v>
      </c>
      <c r="S37" s="706">
        <f t="shared" si="12"/>
        <v>100</v>
      </c>
      <c r="T37" s="705" t="s">
        <v>14</v>
      </c>
      <c r="U37" s="706">
        <f t="shared" si="13"/>
        <v>100</v>
      </c>
      <c r="V37" s="705" t="s">
        <v>14</v>
      </c>
      <c r="W37" s="706">
        <f t="shared" si="14"/>
        <v>100</v>
      </c>
      <c r="X37" s="1354"/>
      <c r="Y37" s="373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1">
        <f t="shared" si="11"/>
        <v>111</v>
      </c>
      <c r="R39" s="705" t="s">
        <v>14</v>
      </c>
      <c r="S39" s="706">
        <f t="shared" si="12"/>
        <v>100</v>
      </c>
      <c r="T39" s="705" t="s">
        <v>14</v>
      </c>
      <c r="U39" s="706">
        <f t="shared" si="13"/>
        <v>100</v>
      </c>
      <c r="V39" s="705" t="s">
        <v>14</v>
      </c>
      <c r="W39" s="706">
        <f t="shared" si="14"/>
        <v>100</v>
      </c>
      <c r="X39" s="1354"/>
      <c r="Y39" s="3730"/>
      <c r="Z39" s="1355">
        <f t="shared" si="15"/>
        <v>111</v>
      </c>
      <c r="AA39" s="1352">
        <f t="shared" si="3"/>
        <v>1</v>
      </c>
      <c r="AB39" s="1352">
        <f t="shared" si="4"/>
        <v>1</v>
      </c>
      <c r="AC39" s="1352">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1">
        <f t="shared" si="11"/>
        <v>111</v>
      </c>
      <c r="R40" s="705" t="s">
        <v>14</v>
      </c>
      <c r="S40" s="706">
        <f t="shared" si="12"/>
        <v>100</v>
      </c>
      <c r="T40" s="705" t="s">
        <v>14</v>
      </c>
      <c r="U40" s="706">
        <f t="shared" si="13"/>
        <v>100</v>
      </c>
      <c r="V40" s="705" t="s">
        <v>14</v>
      </c>
      <c r="W40" s="706">
        <f t="shared" si="14"/>
        <v>100</v>
      </c>
      <c r="X40" s="1354"/>
      <c r="Y40" s="373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1793</v>
      </c>
      <c r="B42" s="438"/>
      <c r="C42" s="1159" t="e">
        <f>R43</f>
        <v>#DIV/0!</v>
      </c>
      <c r="D42" s="2314" t="s">
        <v>2138</v>
      </c>
      <c r="E42" s="1160" t="e">
        <f>R42</f>
        <v>#DIV/0!</v>
      </c>
      <c r="F42" s="2315"/>
      <c r="G42" s="1159" t="e">
        <f>T42</f>
        <v>#DIV/0!</v>
      </c>
      <c r="H42" s="2315"/>
      <c r="I42" s="1160" t="e">
        <f>V42</f>
        <v>#DIV/0!</v>
      </c>
      <c r="J42" s="2315"/>
      <c r="K42" s="2317">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2024-8</v>
      </c>
      <c r="D52" s="1184">
        <f>EDATE(C52,-1)</f>
        <v>45474</v>
      </c>
      <c r="E52" s="1184">
        <f t="shared" ref="E52:O52" si="16">EDATE(D52,-1)</f>
        <v>45444</v>
      </c>
      <c r="F52" s="1184">
        <f t="shared" si="16"/>
        <v>45413</v>
      </c>
      <c r="G52" s="1184">
        <f t="shared" si="16"/>
        <v>45383</v>
      </c>
      <c r="H52" s="1184">
        <f t="shared" si="16"/>
        <v>45352</v>
      </c>
      <c r="I52" s="1184">
        <f t="shared" si="16"/>
        <v>45323</v>
      </c>
      <c r="J52" s="1184">
        <f t="shared" si="16"/>
        <v>45292</v>
      </c>
      <c r="K52" s="1184">
        <f t="shared" si="16"/>
        <v>45261</v>
      </c>
      <c r="L52" s="1184">
        <f t="shared" si="16"/>
        <v>45231</v>
      </c>
      <c r="M52" s="1184">
        <f t="shared" si="16"/>
        <v>45200</v>
      </c>
      <c r="N52" s="1184">
        <f t="shared" si="16"/>
        <v>45170</v>
      </c>
      <c r="O52" s="1184">
        <f t="shared" si="16"/>
        <v>45139</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28"/>
      <c r="F1" s="1876"/>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4"/>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0"/>
      <c r="M5" s="2711"/>
      <c r="N5" s="2711"/>
      <c r="O5" s="2711"/>
      <c r="P5" s="3712"/>
      <c r="Q5" s="3713"/>
      <c r="R5" s="3695"/>
      <c r="S5" s="3696"/>
      <c r="T5" s="3695"/>
      <c r="U5" s="3696"/>
      <c r="V5" s="3718"/>
      <c r="W5" s="3718"/>
      <c r="X5" s="1354"/>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0"/>
      <c r="M6" s="2711"/>
      <c r="N6" s="2711"/>
      <c r="O6" s="2711"/>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45516</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1" t="s">
        <v>1683</v>
      </c>
      <c r="Q8" s="3692"/>
      <c r="R8" s="701" t="s">
        <v>14</v>
      </c>
      <c r="S8" s="702">
        <f t="shared" si="0"/>
        <v>100</v>
      </c>
      <c r="T8" s="701" t="s">
        <v>14</v>
      </c>
      <c r="U8" s="702">
        <f t="shared" si="1"/>
        <v>100</v>
      </c>
      <c r="V8" s="701" t="s">
        <v>14</v>
      </c>
      <c r="W8" s="702">
        <f t="shared" si="2"/>
        <v>100</v>
      </c>
      <c r="X8" s="703"/>
      <c r="Y8" s="3691" t="s">
        <v>1683</v>
      </c>
      <c r="Z8" s="369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23" t="s">
        <v>1686</v>
      </c>
      <c r="Q9" s="1342"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23"/>
      <c r="Q10" s="1342"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23"/>
      <c r="Q11" s="1342">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23"/>
      <c r="Q12" s="1342">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23"/>
      <c r="Q13" s="1342">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25" t="s">
        <v>1691</v>
      </c>
      <c r="Q14" s="1351" t="str">
        <f t="shared" si="6"/>
        <v>交通便捷度</v>
      </c>
      <c r="R14" s="705" t="s">
        <v>14</v>
      </c>
      <c r="S14" s="706">
        <f t="shared" si="0"/>
        <v>100</v>
      </c>
      <c r="T14" s="705" t="s">
        <v>14</v>
      </c>
      <c r="U14" s="706">
        <f t="shared" si="1"/>
        <v>100</v>
      </c>
      <c r="V14" s="705" t="s">
        <v>14</v>
      </c>
      <c r="W14" s="706">
        <f t="shared" si="2"/>
        <v>100</v>
      </c>
      <c r="X14" s="1354"/>
      <c r="Y14" s="372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26"/>
      <c r="Q15" s="1351"/>
      <c r="R15" s="705"/>
      <c r="S15" s="706"/>
      <c r="T15" s="705"/>
      <c r="U15" s="706"/>
      <c r="V15" s="705"/>
      <c r="W15" s="706"/>
      <c r="X15" s="1354"/>
      <c r="Y15" s="3726"/>
      <c r="Z15" s="1355"/>
      <c r="AA15" s="1352">
        <v>1</v>
      </c>
      <c r="AB15" s="1352">
        <v>1</v>
      </c>
      <c r="AC15" s="1352">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26"/>
      <c r="Q16" s="1351" t="str">
        <f>B16</f>
        <v>公共配套设施</v>
      </c>
      <c r="R16" s="705" t="s">
        <v>14</v>
      </c>
      <c r="S16" s="706">
        <f>F16</f>
        <v>100</v>
      </c>
      <c r="T16" s="705" t="s">
        <v>14</v>
      </c>
      <c r="U16" s="706">
        <f>H16</f>
        <v>100</v>
      </c>
      <c r="V16" s="705" t="s">
        <v>14</v>
      </c>
      <c r="W16" s="706">
        <f>J16</f>
        <v>100</v>
      </c>
      <c r="X16" s="1354"/>
      <c r="Y16" s="3726"/>
      <c r="Z16" s="1355" t="str">
        <f>Q16</f>
        <v>公共配套设施</v>
      </c>
      <c r="AA16" s="1352">
        <f t="shared" si="3"/>
        <v>1</v>
      </c>
      <c r="AB16" s="1352">
        <f t="shared" si="4"/>
        <v>1</v>
      </c>
      <c r="AC16" s="1352">
        <f t="shared" si="5"/>
        <v>1</v>
      </c>
    </row>
    <row r="17" spans="1:29" ht="15">
      <c r="A17" s="358"/>
      <c r="B17" s="580"/>
      <c r="C17" s="1898"/>
      <c r="D17" s="399"/>
      <c r="E17" s="398"/>
      <c r="F17" s="400"/>
      <c r="G17" s="398"/>
      <c r="H17" s="399"/>
      <c r="I17" s="398"/>
      <c r="J17" s="399"/>
      <c r="K17" s="564"/>
      <c r="L17" s="2717"/>
      <c r="M17" s="2711"/>
      <c r="N17" s="2711"/>
      <c r="O17" s="2711"/>
      <c r="P17" s="3726"/>
      <c r="Q17" s="1351"/>
      <c r="R17" s="705"/>
      <c r="S17" s="706"/>
      <c r="T17" s="705"/>
      <c r="U17" s="706"/>
      <c r="V17" s="705"/>
      <c r="W17" s="706"/>
      <c r="X17" s="1354"/>
      <c r="Y17" s="3726"/>
      <c r="Z17" s="1355"/>
      <c r="AA17" s="1352">
        <v>1</v>
      </c>
      <c r="AB17" s="1352">
        <v>1</v>
      </c>
      <c r="AC17" s="1352">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26"/>
      <c r="Q18" s="1351" t="str">
        <f>B18</f>
        <v>基础设施水平</v>
      </c>
      <c r="R18" s="705" t="s">
        <v>14</v>
      </c>
      <c r="S18" s="706">
        <f>F18</f>
        <v>100</v>
      </c>
      <c r="T18" s="705" t="s">
        <v>14</v>
      </c>
      <c r="U18" s="706">
        <f>H18</f>
        <v>100</v>
      </c>
      <c r="V18" s="705" t="s">
        <v>14</v>
      </c>
      <c r="W18" s="706">
        <f>J18</f>
        <v>100</v>
      </c>
      <c r="X18" s="1354"/>
      <c r="Y18" s="3726"/>
      <c r="Z18" s="1355" t="str">
        <f>Q18</f>
        <v>基础设施水平</v>
      </c>
      <c r="AA18" s="1352">
        <f t="shared" ref="AA18" si="8">D18/F18</f>
        <v>1</v>
      </c>
      <c r="AB18" s="1352">
        <f t="shared" ref="AB18" si="9">D18/H18</f>
        <v>1</v>
      </c>
      <c r="AC18" s="1352">
        <f t="shared" ref="AC18" si="10">D18/J18</f>
        <v>1</v>
      </c>
    </row>
    <row r="19" spans="1:29" ht="15">
      <c r="A19" s="358"/>
      <c r="B19" s="581"/>
      <c r="C19" s="1898"/>
      <c r="D19" s="401"/>
      <c r="E19" s="1898"/>
      <c r="F19" s="404"/>
      <c r="G19" s="1898"/>
      <c r="H19" s="399"/>
      <c r="I19" s="398"/>
      <c r="J19" s="399"/>
      <c r="K19" s="1129"/>
      <c r="L19" s="2717"/>
      <c r="M19" s="2711"/>
      <c r="N19" s="2711"/>
      <c r="O19" s="2711"/>
      <c r="P19" s="3726"/>
      <c r="Q19" s="1351"/>
      <c r="R19" s="705"/>
      <c r="S19" s="706"/>
      <c r="T19" s="705"/>
      <c r="U19" s="706"/>
      <c r="V19" s="705"/>
      <c r="W19" s="706"/>
      <c r="X19" s="1354"/>
      <c r="Y19" s="3726"/>
      <c r="Z19" s="1355"/>
      <c r="AA19" s="1352">
        <v>1</v>
      </c>
      <c r="AB19" s="1352">
        <v>1</v>
      </c>
      <c r="AC19" s="1352">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26"/>
      <c r="Q20" s="1351" t="str">
        <f>B20</f>
        <v>自然及人文环境</v>
      </c>
      <c r="R20" s="705" t="s">
        <v>14</v>
      </c>
      <c r="S20" s="706">
        <f>F20</f>
        <v>100</v>
      </c>
      <c r="T20" s="705" t="s">
        <v>14</v>
      </c>
      <c r="U20" s="706">
        <f>H20</f>
        <v>100</v>
      </c>
      <c r="V20" s="705" t="s">
        <v>14</v>
      </c>
      <c r="W20" s="706">
        <f>J20</f>
        <v>100</v>
      </c>
      <c r="X20" s="1354"/>
      <c r="Y20" s="372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26"/>
      <c r="Q21" s="1351"/>
      <c r="R21" s="705"/>
      <c r="S21" s="706"/>
      <c r="T21" s="705"/>
      <c r="U21" s="706"/>
      <c r="V21" s="705"/>
      <c r="W21" s="706"/>
      <c r="X21" s="1354"/>
      <c r="Y21" s="372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6"/>
      <c r="Q22" s="1351" t="str">
        <f>B22</f>
        <v>楼层</v>
      </c>
      <c r="R22" s="705" t="s">
        <v>14</v>
      </c>
      <c r="S22" s="706">
        <f>F22</f>
        <v>100</v>
      </c>
      <c r="T22" s="705" t="s">
        <v>14</v>
      </c>
      <c r="U22" s="706">
        <f>H22</f>
        <v>100</v>
      </c>
      <c r="V22" s="705" t="s">
        <v>14</v>
      </c>
      <c r="W22" s="706">
        <f>J22</f>
        <v>100</v>
      </c>
      <c r="X22" s="1354"/>
      <c r="Y22" s="372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6"/>
      <c r="Q23" s="1351">
        <f>B23</f>
        <v>111</v>
      </c>
      <c r="R23" s="705" t="s">
        <v>14</v>
      </c>
      <c r="S23" s="706">
        <f>F23</f>
        <v>100</v>
      </c>
      <c r="T23" s="705" t="s">
        <v>14</v>
      </c>
      <c r="U23" s="706">
        <f>H23</f>
        <v>100</v>
      </c>
      <c r="V23" s="705" t="s">
        <v>14</v>
      </c>
      <c r="W23" s="706">
        <f>J23</f>
        <v>100</v>
      </c>
      <c r="X23" s="1354"/>
      <c r="Y23" s="372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6"/>
      <c r="Q24" s="1351">
        <f t="shared" ref="Q24:Q36" si="11">B24</f>
        <v>111</v>
      </c>
      <c r="R24" s="705" t="s">
        <v>14</v>
      </c>
      <c r="S24" s="706">
        <f>F24</f>
        <v>100</v>
      </c>
      <c r="T24" s="705" t="s">
        <v>14</v>
      </c>
      <c r="U24" s="706">
        <f>H24</f>
        <v>100</v>
      </c>
      <c r="V24" s="705" t="s">
        <v>14</v>
      </c>
      <c r="W24" s="706">
        <f>J24</f>
        <v>100</v>
      </c>
      <c r="X24" s="1354"/>
      <c r="Y24" s="372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6"/>
      <c r="Q25" s="1342">
        <f t="shared" si="11"/>
        <v>111</v>
      </c>
      <c r="R25" s="701" t="s">
        <v>14</v>
      </c>
      <c r="S25" s="702">
        <f>F25</f>
        <v>100</v>
      </c>
      <c r="T25" s="701" t="s">
        <v>14</v>
      </c>
      <c r="U25" s="702">
        <f>H25</f>
        <v>100</v>
      </c>
      <c r="V25" s="701" t="s">
        <v>14</v>
      </c>
      <c r="W25" s="702">
        <f>J25</f>
        <v>100</v>
      </c>
      <c r="X25" s="703"/>
      <c r="Y25" s="3726"/>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0"/>
      <c r="Q28" s="1351" t="str">
        <f t="shared" si="11"/>
        <v>公共部分装修</v>
      </c>
      <c r="R28" s="705" t="s">
        <v>14</v>
      </c>
      <c r="S28" s="706">
        <f t="shared" si="12"/>
        <v>100</v>
      </c>
      <c r="T28" s="705" t="s">
        <v>14</v>
      </c>
      <c r="U28" s="706">
        <f t="shared" si="13"/>
        <v>100</v>
      </c>
      <c r="V28" s="705" t="s">
        <v>14</v>
      </c>
      <c r="W28" s="706">
        <f t="shared" si="14"/>
        <v>100</v>
      </c>
      <c r="X28" s="1354"/>
      <c r="Y28" s="373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0"/>
      <c r="Q29" s="1351" t="str">
        <f t="shared" si="11"/>
        <v>成新率</v>
      </c>
      <c r="R29" s="705" t="s">
        <v>14</v>
      </c>
      <c r="S29" s="706" t="e">
        <f t="shared" si="12"/>
        <v>#N/A</v>
      </c>
      <c r="T29" s="705" t="s">
        <v>14</v>
      </c>
      <c r="U29" s="706" t="e">
        <f t="shared" si="13"/>
        <v>#N/A</v>
      </c>
      <c r="V29" s="705" t="s">
        <v>14</v>
      </c>
      <c r="W29" s="706" t="e">
        <f t="shared" si="14"/>
        <v>#N/A</v>
      </c>
      <c r="X29" s="1354"/>
      <c r="Y29" s="373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30"/>
      <c r="Q30" s="1351" t="str">
        <f t="shared" si="11"/>
        <v>物业等级</v>
      </c>
      <c r="R30" s="705" t="s">
        <v>14</v>
      </c>
      <c r="S30" s="706">
        <f t="shared" si="12"/>
        <v>100</v>
      </c>
      <c r="T30" s="705" t="s">
        <v>14</v>
      </c>
      <c r="U30" s="706">
        <f t="shared" si="13"/>
        <v>100</v>
      </c>
      <c r="V30" s="705" t="s">
        <v>14</v>
      </c>
      <c r="W30" s="706">
        <f t="shared" si="14"/>
        <v>100</v>
      </c>
      <c r="X30" s="1354"/>
      <c r="Y30" s="373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0"/>
      <c r="Q31" s="1342"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0" t="s">
        <v>1696</v>
      </c>
      <c r="Q32" s="1351" t="str">
        <f t="shared" si="11"/>
        <v>车位类型</v>
      </c>
      <c r="R32" s="705" t="s">
        <v>14</v>
      </c>
      <c r="S32" s="706">
        <f t="shared" si="12"/>
        <v>100</v>
      </c>
      <c r="T32" s="705" t="s">
        <v>14</v>
      </c>
      <c r="U32" s="706">
        <f t="shared" si="13"/>
        <v>100</v>
      </c>
      <c r="V32" s="705" t="s">
        <v>14</v>
      </c>
      <c r="W32" s="706">
        <f t="shared" si="14"/>
        <v>100</v>
      </c>
      <c r="X32" s="1354"/>
      <c r="Y32" s="373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0"/>
      <c r="Q33" s="1351" t="str">
        <f t="shared" si="11"/>
        <v>是否直接入户</v>
      </c>
      <c r="R33" s="705" t="s">
        <v>14</v>
      </c>
      <c r="S33" s="706">
        <f t="shared" si="12"/>
        <v>100</v>
      </c>
      <c r="T33" s="705" t="s">
        <v>14</v>
      </c>
      <c r="U33" s="706">
        <f t="shared" si="13"/>
        <v>100</v>
      </c>
      <c r="V33" s="705" t="s">
        <v>14</v>
      </c>
      <c r="W33" s="706">
        <f t="shared" si="14"/>
        <v>100</v>
      </c>
      <c r="X33" s="1354"/>
      <c r="Y33" s="373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0"/>
      <c r="Q34" s="1351">
        <f t="shared" si="11"/>
        <v>111</v>
      </c>
      <c r="R34" s="705" t="s">
        <v>14</v>
      </c>
      <c r="S34" s="706">
        <f t="shared" si="12"/>
        <v>100</v>
      </c>
      <c r="T34" s="705" t="s">
        <v>14</v>
      </c>
      <c r="U34" s="706">
        <f t="shared" si="13"/>
        <v>100</v>
      </c>
      <c r="V34" s="705" t="s">
        <v>14</v>
      </c>
      <c r="W34" s="706">
        <f t="shared" si="14"/>
        <v>100</v>
      </c>
      <c r="X34" s="1354"/>
      <c r="Y34" s="373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0"/>
      <c r="Q36" s="1351">
        <f t="shared" si="11"/>
        <v>111</v>
      </c>
      <c r="R36" s="705" t="s">
        <v>14</v>
      </c>
      <c r="S36" s="706">
        <f t="shared" si="12"/>
        <v>100</v>
      </c>
      <c r="T36" s="705" t="s">
        <v>14</v>
      </c>
      <c r="U36" s="706">
        <f t="shared" si="13"/>
        <v>100</v>
      </c>
      <c r="V36" s="705" t="s">
        <v>14</v>
      </c>
      <c r="W36" s="706">
        <f t="shared" si="14"/>
        <v>100</v>
      </c>
      <c r="X36" s="1354"/>
      <c r="Y36" s="3730"/>
      <c r="Z36" s="1355">
        <f t="shared" si="15"/>
        <v>111</v>
      </c>
      <c r="AA36" s="1352">
        <f t="shared" si="3"/>
        <v>1</v>
      </c>
      <c r="AB36" s="1352">
        <f t="shared" si="4"/>
        <v>1</v>
      </c>
      <c r="AC36" s="1352">
        <f t="shared" si="5"/>
        <v>1</v>
      </c>
    </row>
    <row r="37" spans="1:29" ht="15">
      <c r="A37" s="430" t="s">
        <v>1844</v>
      </c>
      <c r="B37" s="1970" t="s">
        <v>3356</v>
      </c>
      <c r="C37" s="1153" t="s">
        <v>0</v>
      </c>
      <c r="D37" s="1154"/>
      <c r="E37" s="1155"/>
      <c r="F37" s="1156"/>
      <c r="G37" s="1157"/>
      <c r="H37" s="1158"/>
      <c r="I37" s="1155"/>
      <c r="J37" s="1158"/>
      <c r="K37" s="568"/>
      <c r="L37" s="2719"/>
      <c r="M37" s="2720"/>
      <c r="N37" s="2711"/>
      <c r="O37" s="2720"/>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59" t="e">
        <f>R39</f>
        <v>#DIV/0!</v>
      </c>
      <c r="D38" s="2314" t="s">
        <v>2138</v>
      </c>
      <c r="E38" s="1160" t="e">
        <f>R38</f>
        <v>#DIV/0!</v>
      </c>
      <c r="F38" s="2315"/>
      <c r="G38" s="1159" t="e">
        <f>T38</f>
        <v>#DIV/0!</v>
      </c>
      <c r="H38" s="2315"/>
      <c r="I38" s="1160" t="e">
        <f>V38</f>
        <v>#DIV/0!</v>
      </c>
      <c r="J38" s="2315"/>
      <c r="K38" s="2317">
        <f>F38+H38+J38</f>
        <v>0</v>
      </c>
      <c r="L38" s="2719"/>
      <c r="M38" s="2720"/>
      <c r="N38" s="2720"/>
      <c r="O38" s="2720"/>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19"/>
      <c r="M39" s="2720"/>
      <c r="N39" s="2720"/>
      <c r="O39" s="2720"/>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1850</v>
      </c>
      <c r="B47" s="927"/>
      <c r="C47" s="940"/>
      <c r="D47" s="940"/>
      <c r="E47" s="940"/>
      <c r="F47" s="1166"/>
      <c r="G47" s="1166"/>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2024-8</v>
      </c>
      <c r="D48" s="1184">
        <f>EDATE(C48,-1)</f>
        <v>45474</v>
      </c>
      <c r="E48" s="1184">
        <f t="shared" ref="E48:O48" si="16">EDATE(D48,-1)</f>
        <v>45444</v>
      </c>
      <c r="F48" s="1184">
        <f t="shared" si="16"/>
        <v>45413</v>
      </c>
      <c r="G48" s="1184">
        <f t="shared" si="16"/>
        <v>45383</v>
      </c>
      <c r="H48" s="1184">
        <f t="shared" si="16"/>
        <v>45352</v>
      </c>
      <c r="I48" s="1184">
        <f t="shared" si="16"/>
        <v>45323</v>
      </c>
      <c r="J48" s="1184">
        <f t="shared" si="16"/>
        <v>45292</v>
      </c>
      <c r="K48" s="1184">
        <f t="shared" si="16"/>
        <v>45261</v>
      </c>
      <c r="L48" s="1184">
        <f t="shared" si="16"/>
        <v>45231</v>
      </c>
      <c r="M48" s="1184">
        <f t="shared" si="16"/>
        <v>45200</v>
      </c>
      <c r="N48" s="1184">
        <f t="shared" si="16"/>
        <v>45170</v>
      </c>
      <c r="O48" s="1184">
        <f t="shared" si="16"/>
        <v>45139</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28"/>
      <c r="F1" s="1876"/>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0"/>
      <c r="M5" s="2711"/>
      <c r="N5" s="2711"/>
      <c r="O5" s="2711"/>
      <c r="P5" s="3712"/>
      <c r="Q5" s="3713"/>
      <c r="R5" s="3695"/>
      <c r="S5" s="3696"/>
      <c r="T5" s="3695"/>
      <c r="U5" s="3696"/>
      <c r="V5" s="3718"/>
      <c r="W5" s="3718"/>
      <c r="X5" s="1354"/>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0"/>
      <c r="M6" s="2711"/>
      <c r="N6" s="2711"/>
      <c r="O6" s="2711"/>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45516</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1" t="s">
        <v>1683</v>
      </c>
      <c r="Q8" s="3692"/>
      <c r="R8" s="701" t="s">
        <v>14</v>
      </c>
      <c r="S8" s="702">
        <f t="shared" si="0"/>
        <v>100</v>
      </c>
      <c r="T8" s="701" t="s">
        <v>14</v>
      </c>
      <c r="U8" s="702">
        <f t="shared" si="1"/>
        <v>100</v>
      </c>
      <c r="V8" s="701" t="s">
        <v>14</v>
      </c>
      <c r="W8" s="702">
        <f t="shared" si="2"/>
        <v>100</v>
      </c>
      <c r="X8" s="703"/>
      <c r="Y8" s="3691" t="s">
        <v>1683</v>
      </c>
      <c r="Z8" s="369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23" t="s">
        <v>1686</v>
      </c>
      <c r="Q9" s="1342"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23"/>
      <c r="Q10" s="1342"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23"/>
      <c r="Q11" s="1342">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23"/>
      <c r="Q12" s="1342">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723"/>
      <c r="Q13" s="1342">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25" t="s">
        <v>1691</v>
      </c>
      <c r="Q14" s="1351" t="str">
        <f t="shared" si="6"/>
        <v>交通便捷度</v>
      </c>
      <c r="R14" s="705" t="s">
        <v>14</v>
      </c>
      <c r="S14" s="706">
        <f t="shared" si="0"/>
        <v>100</v>
      </c>
      <c r="T14" s="705" t="s">
        <v>14</v>
      </c>
      <c r="U14" s="706">
        <f t="shared" si="1"/>
        <v>100</v>
      </c>
      <c r="V14" s="705" t="s">
        <v>14</v>
      </c>
      <c r="W14" s="706">
        <f t="shared" si="2"/>
        <v>100</v>
      </c>
      <c r="X14" s="1354"/>
      <c r="Y14" s="372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26"/>
      <c r="Q15" s="1351"/>
      <c r="R15" s="705"/>
      <c r="S15" s="706"/>
      <c r="T15" s="705"/>
      <c r="U15" s="706"/>
      <c r="V15" s="705"/>
      <c r="W15" s="706"/>
      <c r="X15" s="1354"/>
      <c r="Y15" s="3726"/>
      <c r="Z15" s="1355"/>
      <c r="AA15" s="1352">
        <v>1</v>
      </c>
      <c r="AB15" s="1352">
        <v>1</v>
      </c>
      <c r="AC15" s="1352">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6"/>
      <c r="Q16" s="1351" t="str">
        <f>B16</f>
        <v>公共配套设施</v>
      </c>
      <c r="R16" s="705" t="s">
        <v>14</v>
      </c>
      <c r="S16" s="706">
        <f>F16</f>
        <v>100</v>
      </c>
      <c r="T16" s="705" t="s">
        <v>14</v>
      </c>
      <c r="U16" s="706">
        <f>H16</f>
        <v>100</v>
      </c>
      <c r="V16" s="705" t="s">
        <v>14</v>
      </c>
      <c r="W16" s="706">
        <f>J16</f>
        <v>100</v>
      </c>
      <c r="X16" s="1354"/>
      <c r="Y16" s="3726"/>
      <c r="Z16" s="1355" t="str">
        <f>Q16</f>
        <v>公共配套设施</v>
      </c>
      <c r="AA16" s="1352">
        <f t="shared" si="3"/>
        <v>1</v>
      </c>
      <c r="AB16" s="1352">
        <f t="shared" si="4"/>
        <v>1</v>
      </c>
      <c r="AC16" s="1352">
        <f t="shared" si="5"/>
        <v>1</v>
      </c>
    </row>
    <row r="17" spans="1:29" ht="15">
      <c r="A17" s="379"/>
      <c r="B17" s="407"/>
      <c r="C17" s="1898"/>
      <c r="D17" s="399"/>
      <c r="E17" s="398"/>
      <c r="F17" s="400"/>
      <c r="G17" s="398"/>
      <c r="H17" s="399"/>
      <c r="I17" s="398"/>
      <c r="J17" s="399"/>
      <c r="K17" s="564"/>
      <c r="L17" s="2717"/>
      <c r="M17" s="2711"/>
      <c r="N17" s="2711"/>
      <c r="O17" s="2769"/>
      <c r="P17" s="3726"/>
      <c r="Q17" s="1351"/>
      <c r="R17" s="705"/>
      <c r="S17" s="706"/>
      <c r="T17" s="705"/>
      <c r="U17" s="706"/>
      <c r="V17" s="705"/>
      <c r="W17" s="706"/>
      <c r="X17" s="1354"/>
      <c r="Y17" s="3726"/>
      <c r="Z17" s="1355"/>
      <c r="AA17" s="1352">
        <v>1</v>
      </c>
      <c r="AB17" s="1352">
        <v>1</v>
      </c>
      <c r="AC17" s="1352">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6"/>
      <c r="Q18" s="1351" t="str">
        <f>B18</f>
        <v>基础设施水平</v>
      </c>
      <c r="R18" s="705" t="s">
        <v>14</v>
      </c>
      <c r="S18" s="706">
        <f>F18</f>
        <v>100</v>
      </c>
      <c r="T18" s="705" t="s">
        <v>14</v>
      </c>
      <c r="U18" s="706">
        <f>H18</f>
        <v>100</v>
      </c>
      <c r="V18" s="705" t="s">
        <v>14</v>
      </c>
      <c r="W18" s="706">
        <f>J18</f>
        <v>100</v>
      </c>
      <c r="X18" s="1354"/>
      <c r="Y18" s="3726"/>
      <c r="Z18" s="1355" t="str">
        <f>Q18</f>
        <v>基础设施水平</v>
      </c>
      <c r="AA18" s="1352">
        <f t="shared" ref="AA18" si="8">D18/F18</f>
        <v>1</v>
      </c>
      <c r="AB18" s="1352">
        <f t="shared" ref="AB18" si="9">D18/H18</f>
        <v>1</v>
      </c>
      <c r="AC18" s="1352">
        <f t="shared" ref="AC18" si="10">D18/J18</f>
        <v>1</v>
      </c>
    </row>
    <row r="19" spans="1:29" ht="15">
      <c r="A19" s="379"/>
      <c r="B19" s="1130"/>
      <c r="C19" s="1898"/>
      <c r="D19" s="401"/>
      <c r="E19" s="1898"/>
      <c r="F19" s="404"/>
      <c r="G19" s="1898"/>
      <c r="H19" s="399"/>
      <c r="I19" s="398"/>
      <c r="J19" s="399"/>
      <c r="K19" s="1129"/>
      <c r="L19" s="2717"/>
      <c r="M19" s="2711"/>
      <c r="N19" s="2711"/>
      <c r="O19" s="2769"/>
      <c r="P19" s="3726"/>
      <c r="Q19" s="1351"/>
      <c r="R19" s="705"/>
      <c r="S19" s="706"/>
      <c r="T19" s="705"/>
      <c r="U19" s="706"/>
      <c r="V19" s="705"/>
      <c r="W19" s="706"/>
      <c r="X19" s="1354"/>
      <c r="Y19" s="3726"/>
      <c r="Z19" s="1355"/>
      <c r="AA19" s="1352">
        <v>1</v>
      </c>
      <c r="AB19" s="1352">
        <v>1</v>
      </c>
      <c r="AC19" s="1352">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6"/>
      <c r="Q20" s="1351" t="str">
        <f>B20</f>
        <v>自然及人文环境</v>
      </c>
      <c r="R20" s="705" t="s">
        <v>14</v>
      </c>
      <c r="S20" s="706">
        <f>F20</f>
        <v>100</v>
      </c>
      <c r="T20" s="705" t="s">
        <v>14</v>
      </c>
      <c r="U20" s="706">
        <f>H20</f>
        <v>100</v>
      </c>
      <c r="V20" s="705" t="s">
        <v>14</v>
      </c>
      <c r="W20" s="706">
        <f>J20</f>
        <v>100</v>
      </c>
      <c r="X20" s="1354"/>
      <c r="Y20" s="372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26"/>
      <c r="Q21" s="1351"/>
      <c r="R21" s="705"/>
      <c r="S21" s="706"/>
      <c r="T21" s="705"/>
      <c r="U21" s="706"/>
      <c r="V21" s="705"/>
      <c r="W21" s="706"/>
      <c r="X21" s="1354"/>
      <c r="Y21" s="372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6"/>
      <c r="Q22" s="1351" t="str">
        <f>B22</f>
        <v>楼层</v>
      </c>
      <c r="R22" s="705" t="s">
        <v>14</v>
      </c>
      <c r="S22" s="706">
        <f>F22</f>
        <v>100</v>
      </c>
      <c r="T22" s="705" t="s">
        <v>14</v>
      </c>
      <c r="U22" s="706">
        <f>H22</f>
        <v>100</v>
      </c>
      <c r="V22" s="705" t="s">
        <v>14</v>
      </c>
      <c r="W22" s="706">
        <f>J22</f>
        <v>100</v>
      </c>
      <c r="X22" s="1354"/>
      <c r="Y22" s="3726"/>
      <c r="Z22" s="1355" t="str">
        <f>Q22</f>
        <v>楼层</v>
      </c>
      <c r="AA22" s="1352">
        <f t="shared" si="3"/>
        <v>1</v>
      </c>
      <c r="AB22" s="1352">
        <f t="shared" si="4"/>
        <v>1</v>
      </c>
      <c r="AC22" s="1352">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6"/>
      <c r="Q23" s="1351">
        <f>B23</f>
        <v>111</v>
      </c>
      <c r="R23" s="705" t="s">
        <v>14</v>
      </c>
      <c r="S23" s="706">
        <f>F23</f>
        <v>100</v>
      </c>
      <c r="T23" s="705" t="s">
        <v>14</v>
      </c>
      <c r="U23" s="706">
        <f>H23</f>
        <v>100</v>
      </c>
      <c r="V23" s="705" t="s">
        <v>14</v>
      </c>
      <c r="W23" s="706">
        <f>J23</f>
        <v>100</v>
      </c>
      <c r="X23" s="1354"/>
      <c r="Y23" s="3726"/>
      <c r="Z23" s="1355">
        <f>Q23</f>
        <v>111</v>
      </c>
      <c r="AA23" s="1352">
        <f t="shared" si="3"/>
        <v>1</v>
      </c>
      <c r="AB23" s="1352">
        <f t="shared" si="4"/>
        <v>1</v>
      </c>
      <c r="AC23" s="1352">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6"/>
      <c r="Q24" s="1351">
        <f t="shared" ref="Q24:Q34" si="11">B24</f>
        <v>111</v>
      </c>
      <c r="R24" s="705" t="s">
        <v>14</v>
      </c>
      <c r="S24" s="706">
        <f>F24</f>
        <v>100</v>
      </c>
      <c r="T24" s="705" t="s">
        <v>14</v>
      </c>
      <c r="U24" s="706">
        <f>H24</f>
        <v>100</v>
      </c>
      <c r="V24" s="705" t="s">
        <v>14</v>
      </c>
      <c r="W24" s="706">
        <f>J24</f>
        <v>100</v>
      </c>
      <c r="X24" s="1354"/>
      <c r="Y24" s="3726"/>
      <c r="Z24" s="1355">
        <f>Q24</f>
        <v>111</v>
      </c>
      <c r="AA24" s="1352">
        <f t="shared" si="3"/>
        <v>1</v>
      </c>
      <c r="AB24" s="1352">
        <f t="shared" si="4"/>
        <v>1</v>
      </c>
      <c r="AC24" s="1352">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726"/>
      <c r="Q25" s="1342">
        <f t="shared" si="11"/>
        <v>111</v>
      </c>
      <c r="R25" s="701" t="s">
        <v>14</v>
      </c>
      <c r="S25" s="702">
        <f>F25</f>
        <v>100</v>
      </c>
      <c r="T25" s="701" t="s">
        <v>14</v>
      </c>
      <c r="U25" s="702">
        <f>H25</f>
        <v>100</v>
      </c>
      <c r="V25" s="701" t="s">
        <v>14</v>
      </c>
      <c r="W25" s="702">
        <f>J25</f>
        <v>100</v>
      </c>
      <c r="X25" s="703"/>
      <c r="Y25" s="3726"/>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74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30"/>
      <c r="Q28" s="1351" t="str">
        <f t="shared" si="11"/>
        <v>物业等级</v>
      </c>
      <c r="R28" s="705" t="s">
        <v>14</v>
      </c>
      <c r="S28" s="706">
        <f t="shared" si="12"/>
        <v>100</v>
      </c>
      <c r="T28" s="705" t="s">
        <v>14</v>
      </c>
      <c r="U28" s="706">
        <f t="shared" si="13"/>
        <v>100</v>
      </c>
      <c r="V28" s="705" t="s">
        <v>14</v>
      </c>
      <c r="W28" s="706">
        <f t="shared" si="14"/>
        <v>100</v>
      </c>
      <c r="X28" s="1354"/>
      <c r="Y28" s="373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30"/>
      <c r="Q29" s="1351" t="str">
        <f t="shared" si="11"/>
        <v>有无电梯</v>
      </c>
      <c r="R29" s="705" t="s">
        <v>14</v>
      </c>
      <c r="S29" s="706">
        <f t="shared" si="12"/>
        <v>100</v>
      </c>
      <c r="T29" s="705" t="s">
        <v>14</v>
      </c>
      <c r="U29" s="706">
        <f t="shared" si="13"/>
        <v>100</v>
      </c>
      <c r="V29" s="705" t="s">
        <v>14</v>
      </c>
      <c r="W29" s="706">
        <f t="shared" si="14"/>
        <v>100</v>
      </c>
      <c r="X29" s="1354"/>
      <c r="Y29" s="373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30"/>
      <c r="Q30" s="1351" t="str">
        <f t="shared" si="11"/>
        <v>建筑面积</v>
      </c>
      <c r="R30" s="705" t="s">
        <v>14</v>
      </c>
      <c r="S30" s="706" t="e">
        <f t="shared" si="12"/>
        <v>#N/A</v>
      </c>
      <c r="T30" s="705" t="s">
        <v>14</v>
      </c>
      <c r="U30" s="706" t="e">
        <f t="shared" si="13"/>
        <v>#N/A</v>
      </c>
      <c r="V30" s="705" t="s">
        <v>14</v>
      </c>
      <c r="W30" s="706" t="e">
        <f t="shared" si="14"/>
        <v>#N/A</v>
      </c>
      <c r="X30" s="1354"/>
      <c r="Y30" s="373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30"/>
      <c r="Q31" s="1342"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30" t="s">
        <v>1696</v>
      </c>
      <c r="Q32" s="1351">
        <f t="shared" si="11"/>
        <v>111</v>
      </c>
      <c r="R32" s="705" t="s">
        <v>14</v>
      </c>
      <c r="S32" s="706">
        <f t="shared" si="12"/>
        <v>100</v>
      </c>
      <c r="T32" s="705" t="s">
        <v>14</v>
      </c>
      <c r="U32" s="706">
        <f t="shared" si="13"/>
        <v>100</v>
      </c>
      <c r="V32" s="705" t="s">
        <v>14</v>
      </c>
      <c r="W32" s="706">
        <f t="shared" si="14"/>
        <v>100</v>
      </c>
      <c r="X32" s="1354"/>
      <c r="Y32" s="3730" t="s">
        <v>1696</v>
      </c>
      <c r="Z32" s="1355">
        <f t="shared" si="15"/>
        <v>111</v>
      </c>
      <c r="AA32" s="1352">
        <f t="shared" si="3"/>
        <v>1</v>
      </c>
      <c r="AB32" s="1352">
        <f t="shared" si="4"/>
        <v>1</v>
      </c>
      <c r="AC32" s="1352">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30"/>
      <c r="Q33" s="1351">
        <f t="shared" si="11"/>
        <v>111</v>
      </c>
      <c r="R33" s="705" t="s">
        <v>14</v>
      </c>
      <c r="S33" s="706">
        <f t="shared" si="12"/>
        <v>100</v>
      </c>
      <c r="T33" s="705" t="s">
        <v>14</v>
      </c>
      <c r="U33" s="706">
        <f t="shared" si="13"/>
        <v>100</v>
      </c>
      <c r="V33" s="705" t="s">
        <v>14</v>
      </c>
      <c r="W33" s="706">
        <f t="shared" si="14"/>
        <v>100</v>
      </c>
      <c r="X33" s="1354"/>
      <c r="Y33" s="3730"/>
      <c r="Z33" s="1355">
        <f t="shared" si="15"/>
        <v>111</v>
      </c>
      <c r="AA33" s="1352">
        <f t="shared" si="3"/>
        <v>1</v>
      </c>
      <c r="AB33" s="1352">
        <f t="shared" si="4"/>
        <v>1</v>
      </c>
      <c r="AC33" s="1352">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30"/>
      <c r="Q34" s="1351">
        <f t="shared" si="11"/>
        <v>111</v>
      </c>
      <c r="R34" s="705" t="s">
        <v>14</v>
      </c>
      <c r="S34" s="706">
        <f t="shared" si="12"/>
        <v>100</v>
      </c>
      <c r="T34" s="705" t="s">
        <v>14</v>
      </c>
      <c r="U34" s="706">
        <f t="shared" si="13"/>
        <v>100</v>
      </c>
      <c r="V34" s="705" t="s">
        <v>14</v>
      </c>
      <c r="W34" s="706">
        <f t="shared" si="14"/>
        <v>100</v>
      </c>
      <c r="X34" s="1354"/>
      <c r="Y34" s="373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19"/>
      <c r="M35" s="2720"/>
      <c r="N35" s="2711"/>
      <c r="O35" s="2720"/>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1793</v>
      </c>
      <c r="B36" s="438"/>
      <c r="C36" s="1159" t="e">
        <f>R37</f>
        <v>#DIV/0!</v>
      </c>
      <c r="D36" s="2314" t="s">
        <v>2138</v>
      </c>
      <c r="E36" s="1160" t="e">
        <f>R36</f>
        <v>#DIV/0!</v>
      </c>
      <c r="F36" s="2315"/>
      <c r="G36" s="1159" t="e">
        <f>T36</f>
        <v>#DIV/0!</v>
      </c>
      <c r="H36" s="2315"/>
      <c r="I36" s="1160" t="e">
        <f>V36</f>
        <v>#DIV/0!</v>
      </c>
      <c r="J36" s="2315"/>
      <c r="K36" s="2317">
        <f>F36+H36+J36</f>
        <v>0</v>
      </c>
      <c r="L36" s="2719"/>
      <c r="M36" s="2720"/>
      <c r="N36" s="2711"/>
      <c r="O36" s="2720"/>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19"/>
      <c r="M37" s="2720"/>
      <c r="N37" s="2720"/>
      <c r="O37" s="2720"/>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2024-8</v>
      </c>
      <c r="D46" s="1184">
        <f>EDATE(C46,-1)</f>
        <v>45474</v>
      </c>
      <c r="E46" s="1184">
        <f t="shared" ref="E46:O46" si="16">EDATE(D46,-1)</f>
        <v>45444</v>
      </c>
      <c r="F46" s="1184">
        <f t="shared" si="16"/>
        <v>45413</v>
      </c>
      <c r="G46" s="1184">
        <f t="shared" si="16"/>
        <v>45383</v>
      </c>
      <c r="H46" s="1184">
        <f t="shared" si="16"/>
        <v>45352</v>
      </c>
      <c r="I46" s="1184">
        <f t="shared" si="16"/>
        <v>45323</v>
      </c>
      <c r="J46" s="1184">
        <f t="shared" si="16"/>
        <v>45292</v>
      </c>
      <c r="K46" s="1184">
        <f t="shared" si="16"/>
        <v>45261</v>
      </c>
      <c r="L46" s="1184">
        <f t="shared" si="16"/>
        <v>45231</v>
      </c>
      <c r="M46" s="1184">
        <f t="shared" si="16"/>
        <v>45200</v>
      </c>
      <c r="N46" s="1184">
        <f t="shared" si="16"/>
        <v>45170</v>
      </c>
      <c r="O46" s="1184">
        <f t="shared" si="16"/>
        <v>45139</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30" ht="15">
      <c r="A5" s="358"/>
      <c r="B5" s="359"/>
      <c r="C5" s="3699" t="s">
        <v>1673</v>
      </c>
      <c r="D5" s="3700"/>
      <c r="E5" s="3697" t="s">
        <v>1674</v>
      </c>
      <c r="F5" s="3698"/>
      <c r="G5" s="3699" t="s">
        <v>1675</v>
      </c>
      <c r="H5" s="3700"/>
      <c r="I5" s="3699" t="s">
        <v>1676</v>
      </c>
      <c r="J5" s="3700"/>
      <c r="K5" s="559"/>
      <c r="L5" s="2710"/>
      <c r="M5" s="2711"/>
      <c r="N5" s="2711"/>
      <c r="O5" s="2711"/>
      <c r="P5" s="3712"/>
      <c r="Q5" s="3713"/>
      <c r="R5" s="3695"/>
      <c r="S5" s="3696"/>
      <c r="T5" s="3695"/>
      <c r="U5" s="3696"/>
      <c r="V5" s="3718"/>
      <c r="W5" s="3718"/>
      <c r="X5" s="1354"/>
      <c r="Y5" s="3695"/>
      <c r="Z5" s="3696"/>
      <c r="AA5" s="3689"/>
      <c r="AB5" s="3689"/>
      <c r="AC5" s="3689"/>
    </row>
    <row r="6" spans="1:30" ht="15.75" thickBot="1">
      <c r="A6" s="360"/>
      <c r="B6" s="361"/>
      <c r="C6" s="3701" t="s">
        <v>1677</v>
      </c>
      <c r="D6" s="3702"/>
      <c r="E6" s="3703" t="s">
        <v>1677</v>
      </c>
      <c r="F6" s="3704"/>
      <c r="G6" s="3701" t="s">
        <v>1677</v>
      </c>
      <c r="H6" s="3702"/>
      <c r="I6" s="3701" t="s">
        <v>1677</v>
      </c>
      <c r="J6" s="3702"/>
      <c r="K6" s="559" t="s">
        <v>1678</v>
      </c>
      <c r="L6" s="2710"/>
      <c r="M6" s="2711"/>
      <c r="N6" s="2711"/>
      <c r="O6" s="2711"/>
      <c r="P6" s="3714"/>
      <c r="Q6" s="3715"/>
      <c r="R6" s="3695"/>
      <c r="S6" s="3696"/>
      <c r="T6" s="3716"/>
      <c r="U6" s="3717"/>
      <c r="V6" s="3718"/>
      <c r="W6" s="3718"/>
      <c r="X6" s="1354"/>
      <c r="Y6" s="3716"/>
      <c r="Z6" s="3717"/>
      <c r="AA6" s="3690"/>
      <c r="AB6" s="3690"/>
      <c r="AC6" s="3690"/>
    </row>
    <row r="7" spans="1:30" s="108" customFormat="1" ht="15.75" thickBot="1">
      <c r="A7" s="362" t="s">
        <v>1679</v>
      </c>
      <c r="B7" s="363"/>
      <c r="C7" s="364">
        <f>'数据-取费表'!B2</f>
        <v>45516</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1" t="s">
        <v>1683</v>
      </c>
      <c r="Q8" s="3692"/>
      <c r="R8" s="701" t="s">
        <v>14</v>
      </c>
      <c r="S8" s="702">
        <f t="shared" si="0"/>
        <v>0</v>
      </c>
      <c r="T8" s="701" t="s">
        <v>14</v>
      </c>
      <c r="U8" s="702">
        <f t="shared" si="1"/>
        <v>0</v>
      </c>
      <c r="V8" s="701" t="s">
        <v>14</v>
      </c>
      <c r="W8" s="702">
        <f t="shared" si="2"/>
        <v>0</v>
      </c>
      <c r="X8" s="703"/>
      <c r="Y8" s="3691" t="s">
        <v>1683</v>
      </c>
      <c r="Z8" s="3692"/>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723" t="s">
        <v>1686</v>
      </c>
      <c r="Q9" s="1342"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4"/>
      <c r="M10" s="2715"/>
      <c r="N10" s="2715"/>
      <c r="O10" s="2768"/>
      <c r="P10" s="3723"/>
      <c r="Q10" s="1342" t="str">
        <f t="shared" si="6"/>
        <v>土地使用年限（年）</v>
      </c>
      <c r="R10" s="701" t="s">
        <v>14</v>
      </c>
      <c r="S10" s="702">
        <f t="shared" si="0"/>
        <v>109</v>
      </c>
      <c r="T10" s="701" t="s">
        <v>14</v>
      </c>
      <c r="U10" s="702">
        <f t="shared" si="1"/>
        <v>109</v>
      </c>
      <c r="V10" s="701" t="s">
        <v>14</v>
      </c>
      <c r="W10" s="702">
        <f t="shared" si="2"/>
        <v>109</v>
      </c>
      <c r="X10" s="703"/>
      <c r="Y10" s="3616"/>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23"/>
      <c r="Q11" s="1342"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23"/>
      <c r="Q12" s="1342"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23"/>
      <c r="Q13" s="1342">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23"/>
      <c r="Q14" s="1342">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25" t="s">
        <v>1691</v>
      </c>
      <c r="Q15" s="1351" t="str">
        <f t="shared" si="6"/>
        <v>居住社区成熟度</v>
      </c>
      <c r="R15" s="705" t="s">
        <v>14</v>
      </c>
      <c r="S15" s="706">
        <f t="shared" si="0"/>
        <v>100</v>
      </c>
      <c r="T15" s="705" t="s">
        <v>14</v>
      </c>
      <c r="U15" s="706">
        <f t="shared" si="1"/>
        <v>100</v>
      </c>
      <c r="V15" s="705" t="s">
        <v>14</v>
      </c>
      <c r="W15" s="706">
        <f t="shared" si="2"/>
        <v>100</v>
      </c>
      <c r="X15" s="1354"/>
      <c r="Y15" s="3725" t="s">
        <v>1691</v>
      </c>
      <c r="Z15" s="1355" t="str">
        <f t="shared" si="7"/>
        <v>居住社区成熟度</v>
      </c>
      <c r="AA15" s="1352">
        <f t="shared" si="3"/>
        <v>1</v>
      </c>
      <c r="AB15" s="1352">
        <f t="shared" si="4"/>
        <v>1</v>
      </c>
      <c r="AC15" s="1352">
        <f t="shared" si="5"/>
        <v>1</v>
      </c>
    </row>
    <row r="16" spans="1:30" ht="15">
      <c r="A16" s="379"/>
      <c r="B16" s="397"/>
      <c r="C16" s="398"/>
      <c r="D16" s="399"/>
      <c r="E16" s="1895"/>
      <c r="F16" s="399"/>
      <c r="G16" s="1895"/>
      <c r="H16" s="401"/>
      <c r="I16" s="1894"/>
      <c r="J16" s="399"/>
      <c r="K16" s="620"/>
      <c r="L16" s="2717"/>
      <c r="M16" s="2711"/>
      <c r="N16" s="2711"/>
      <c r="O16" s="2769"/>
      <c r="P16" s="3726"/>
      <c r="Q16" s="1351"/>
      <c r="R16" s="705"/>
      <c r="S16" s="706"/>
      <c r="T16" s="705"/>
      <c r="U16" s="706"/>
      <c r="V16" s="705"/>
      <c r="W16" s="706"/>
      <c r="X16" s="1354"/>
      <c r="Y16" s="3726"/>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26"/>
      <c r="Q17" s="1351" t="str">
        <f>B17</f>
        <v>商业繁华度</v>
      </c>
      <c r="R17" s="705" t="s">
        <v>14</v>
      </c>
      <c r="S17" s="706">
        <f>F17</f>
        <v>100</v>
      </c>
      <c r="T17" s="705" t="s">
        <v>14</v>
      </c>
      <c r="U17" s="706">
        <f>H17</f>
        <v>100</v>
      </c>
      <c r="V17" s="705" t="s">
        <v>14</v>
      </c>
      <c r="W17" s="706">
        <f>J17</f>
        <v>100</v>
      </c>
      <c r="X17" s="1354"/>
      <c r="Y17" s="3726"/>
      <c r="Z17" s="1355" t="str">
        <f>Q17</f>
        <v>商业繁华度</v>
      </c>
      <c r="AA17" s="1352">
        <f t="shared" si="3"/>
        <v>1</v>
      </c>
      <c r="AB17" s="1352">
        <f t="shared" si="4"/>
        <v>1</v>
      </c>
      <c r="AC17" s="1352">
        <f t="shared" si="5"/>
        <v>1</v>
      </c>
    </row>
    <row r="18" spans="1:29" ht="15">
      <c r="A18" s="379"/>
      <c r="B18" s="407"/>
      <c r="C18" s="1898"/>
      <c r="D18" s="401"/>
      <c r="E18" s="1900"/>
      <c r="F18" s="401"/>
      <c r="G18" s="1900"/>
      <c r="H18" s="399"/>
      <c r="I18" s="1899"/>
      <c r="J18" s="399"/>
      <c r="K18" s="620"/>
      <c r="L18" s="2717"/>
      <c r="M18" s="2711"/>
      <c r="N18" s="2711"/>
      <c r="O18" s="2769"/>
      <c r="P18" s="3726"/>
      <c r="Q18" s="1351"/>
      <c r="R18" s="705"/>
      <c r="S18" s="706"/>
      <c r="T18" s="705"/>
      <c r="U18" s="706"/>
      <c r="V18" s="705"/>
      <c r="W18" s="706"/>
      <c r="X18" s="1354"/>
      <c r="Y18" s="3726"/>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26"/>
      <c r="Q19" s="1351" t="str">
        <f>B19</f>
        <v>办公集聚程度</v>
      </c>
      <c r="R19" s="705" t="s">
        <v>14</v>
      </c>
      <c r="S19" s="706">
        <f>F19</f>
        <v>100</v>
      </c>
      <c r="T19" s="705" t="s">
        <v>14</v>
      </c>
      <c r="U19" s="706">
        <f>H19</f>
        <v>100</v>
      </c>
      <c r="V19" s="705" t="s">
        <v>14</v>
      </c>
      <c r="W19" s="706">
        <f>J19</f>
        <v>100</v>
      </c>
      <c r="X19" s="1354"/>
      <c r="Y19" s="3726"/>
      <c r="Z19" s="1355" t="str">
        <f>Q19</f>
        <v>办公集聚程度</v>
      </c>
      <c r="AA19" s="1352">
        <f t="shared" si="3"/>
        <v>1</v>
      </c>
      <c r="AB19" s="1352">
        <f t="shared" si="4"/>
        <v>1</v>
      </c>
      <c r="AC19" s="1352">
        <f t="shared" si="5"/>
        <v>1</v>
      </c>
    </row>
    <row r="20" spans="1:29" ht="15">
      <c r="A20" s="379"/>
      <c r="B20" s="407"/>
      <c r="C20" s="398"/>
      <c r="D20" s="399"/>
      <c r="E20" s="1895"/>
      <c r="F20" s="399"/>
      <c r="G20" s="1895"/>
      <c r="H20" s="399"/>
      <c r="I20" s="1894"/>
      <c r="J20" s="399"/>
      <c r="K20" s="620"/>
      <c r="L20" s="2717"/>
      <c r="M20" s="2711"/>
      <c r="N20" s="2711"/>
      <c r="O20" s="2769"/>
      <c r="P20" s="3726"/>
      <c r="Q20" s="1351"/>
      <c r="R20" s="705"/>
      <c r="S20" s="706"/>
      <c r="T20" s="705"/>
      <c r="U20" s="706"/>
      <c r="V20" s="705"/>
      <c r="W20" s="706"/>
      <c r="X20" s="1354"/>
      <c r="Y20" s="3726"/>
      <c r="Z20" s="1355"/>
      <c r="AA20" s="1352">
        <v>1</v>
      </c>
      <c r="AB20" s="1352">
        <v>1</v>
      </c>
      <c r="AC20" s="1352">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26"/>
      <c r="Q21" s="1351" t="str">
        <f>B21</f>
        <v>交通便捷度</v>
      </c>
      <c r="R21" s="705" t="s">
        <v>14</v>
      </c>
      <c r="S21" s="706">
        <f>F21</f>
        <v>100</v>
      </c>
      <c r="T21" s="705" t="s">
        <v>14</v>
      </c>
      <c r="U21" s="706">
        <f>H21</f>
        <v>100</v>
      </c>
      <c r="V21" s="705" t="s">
        <v>14</v>
      </c>
      <c r="W21" s="706">
        <f>J21</f>
        <v>100</v>
      </c>
      <c r="X21" s="1354"/>
      <c r="Y21" s="3726"/>
      <c r="Z21" s="1355" t="str">
        <f>Q21</f>
        <v>交通便捷度</v>
      </c>
      <c r="AA21" s="1352">
        <f t="shared" si="3"/>
        <v>1</v>
      </c>
      <c r="AB21" s="1352">
        <f t="shared" si="4"/>
        <v>1</v>
      </c>
      <c r="AC21" s="1352">
        <f t="shared" si="5"/>
        <v>1</v>
      </c>
    </row>
    <row r="22" spans="1:29" ht="15">
      <c r="A22" s="379"/>
      <c r="B22" s="1130"/>
      <c r="C22" s="398"/>
      <c r="D22" s="401"/>
      <c r="E22" s="1895"/>
      <c r="F22" s="399"/>
      <c r="G22" s="1895"/>
      <c r="H22" s="399"/>
      <c r="I22" s="1894"/>
      <c r="J22" s="399"/>
      <c r="K22" s="620"/>
      <c r="L22" s="2717"/>
      <c r="M22" s="2711"/>
      <c r="N22" s="2711"/>
      <c r="O22" s="2769"/>
      <c r="P22" s="3726"/>
      <c r="Q22" s="1351"/>
      <c r="R22" s="705"/>
      <c r="S22" s="706"/>
      <c r="T22" s="705"/>
      <c r="U22" s="706"/>
      <c r="V22" s="705"/>
      <c r="W22" s="706"/>
      <c r="X22" s="1354"/>
      <c r="Y22" s="372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26"/>
      <c r="Q23" s="1351" t="str">
        <f t="shared" ref="Q23:Q37" si="8">B23</f>
        <v>区域土地利用方向</v>
      </c>
      <c r="R23" s="705" t="s">
        <v>14</v>
      </c>
      <c r="S23" s="706">
        <f>F23</f>
        <v>100</v>
      </c>
      <c r="T23" s="705" t="s">
        <v>14</v>
      </c>
      <c r="U23" s="706">
        <f>H23</f>
        <v>100</v>
      </c>
      <c r="V23" s="705" t="s">
        <v>14</v>
      </c>
      <c r="W23" s="706">
        <f>J23</f>
        <v>100</v>
      </c>
      <c r="X23" s="1354"/>
      <c r="Y23" s="3726"/>
      <c r="Z23" s="1355" t="str">
        <f>Q23</f>
        <v>区域土地利用方向</v>
      </c>
      <c r="AA23" s="1352">
        <f t="shared" si="3"/>
        <v>1</v>
      </c>
      <c r="AB23" s="1352">
        <f t="shared" si="4"/>
        <v>1</v>
      </c>
      <c r="AC23" s="1352">
        <f t="shared" si="5"/>
        <v>1</v>
      </c>
    </row>
    <row r="24" spans="1:29" ht="15">
      <c r="A24" s="358"/>
      <c r="B24" s="407"/>
      <c r="C24" s="565"/>
      <c r="D24" s="399"/>
      <c r="E24" s="1895"/>
      <c r="F24" s="399"/>
      <c r="G24" s="1894"/>
      <c r="H24" s="399"/>
      <c r="I24" s="1894"/>
      <c r="J24" s="399"/>
      <c r="K24" s="740"/>
      <c r="L24" s="2717"/>
      <c r="M24" s="2711"/>
      <c r="N24" s="2711"/>
      <c r="O24" s="2769"/>
      <c r="P24" s="3726"/>
      <c r="Q24" s="1351"/>
      <c r="R24" s="705"/>
      <c r="S24" s="706"/>
      <c r="T24" s="705"/>
      <c r="U24" s="706"/>
      <c r="V24" s="705"/>
      <c r="W24" s="706"/>
      <c r="X24" s="1354"/>
      <c r="Y24" s="3726"/>
      <c r="Z24" s="1355"/>
      <c r="AA24" s="1352"/>
      <c r="AB24" s="1352"/>
      <c r="AC24" s="1352"/>
    </row>
    <row r="25" spans="1:29" ht="57">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26"/>
      <c r="Q25" s="1351" t="str">
        <f t="shared" si="8"/>
        <v>自然及人文环境状况</v>
      </c>
      <c r="R25" s="705" t="s">
        <v>14</v>
      </c>
      <c r="S25" s="706">
        <f>F25</f>
        <v>100</v>
      </c>
      <c r="T25" s="705" t="s">
        <v>14</v>
      </c>
      <c r="U25" s="706">
        <f>H25</f>
        <v>100</v>
      </c>
      <c r="V25" s="705" t="s">
        <v>14</v>
      </c>
      <c r="W25" s="706">
        <f>J25</f>
        <v>100</v>
      </c>
      <c r="X25" s="1354"/>
      <c r="Y25" s="3726"/>
      <c r="Z25" s="1355" t="str">
        <f>Q25</f>
        <v>自然及人文环境状况</v>
      </c>
      <c r="AA25" s="1352">
        <f t="shared" si="3"/>
        <v>1</v>
      </c>
      <c r="AB25" s="1352">
        <f t="shared" si="4"/>
        <v>1</v>
      </c>
      <c r="AC25" s="1352">
        <f t="shared" si="5"/>
        <v>1</v>
      </c>
    </row>
    <row r="26" spans="1:29" ht="15">
      <c r="A26" s="358"/>
      <c r="B26" s="407"/>
      <c r="C26" s="398"/>
      <c r="D26" s="399"/>
      <c r="E26" s="1901"/>
      <c r="F26" s="399"/>
      <c r="G26" s="1901"/>
      <c r="H26" s="399"/>
      <c r="I26" s="398"/>
      <c r="J26" s="399"/>
      <c r="K26" s="620"/>
      <c r="L26" s="2717"/>
      <c r="M26" s="2711"/>
      <c r="N26" s="2711"/>
      <c r="O26" s="2769"/>
      <c r="P26" s="3726"/>
      <c r="Q26" s="1351"/>
      <c r="R26" s="705"/>
      <c r="S26" s="706"/>
      <c r="T26" s="705"/>
      <c r="U26" s="706"/>
      <c r="V26" s="705"/>
      <c r="W26" s="706"/>
      <c r="X26" s="1354"/>
      <c r="Y26" s="3726"/>
      <c r="Z26" s="1355"/>
      <c r="AA26" s="1352">
        <v>1</v>
      </c>
      <c r="AB26" s="1352">
        <v>1</v>
      </c>
      <c r="AC26" s="1352">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26"/>
      <c r="Q27" s="1342" t="str">
        <f t="shared" si="8"/>
        <v>公共配套设施</v>
      </c>
      <c r="R27" s="701" t="s">
        <v>14</v>
      </c>
      <c r="S27" s="702">
        <f>F27</f>
        <v>100</v>
      </c>
      <c r="T27" s="701" t="s">
        <v>14</v>
      </c>
      <c r="U27" s="702">
        <f>H27</f>
        <v>100</v>
      </c>
      <c r="V27" s="701" t="s">
        <v>14</v>
      </c>
      <c r="W27" s="702">
        <f>J27</f>
        <v>100</v>
      </c>
      <c r="X27" s="703"/>
      <c r="Y27" s="3726"/>
      <c r="Z27" s="52" t="str">
        <f>Q27</f>
        <v>公共配套设施</v>
      </c>
      <c r="AA27" s="1352">
        <f>D27/F27</f>
        <v>1</v>
      </c>
      <c r="AB27" s="1352">
        <f>D27/H27</f>
        <v>1</v>
      </c>
      <c r="AC27" s="1352">
        <f>D27/J27</f>
        <v>1</v>
      </c>
    </row>
    <row r="28" spans="1:29" s="108" customFormat="1" ht="15">
      <c r="A28" s="597"/>
      <c r="B28" s="407"/>
      <c r="C28" s="1975"/>
      <c r="D28" s="399"/>
      <c r="E28" s="1901"/>
      <c r="F28" s="399"/>
      <c r="G28" s="1901"/>
      <c r="H28" s="399"/>
      <c r="I28" s="398"/>
      <c r="J28" s="399"/>
      <c r="K28" s="620"/>
      <c r="L28" s="2712"/>
      <c r="M28" s="2713"/>
      <c r="N28" s="2713"/>
      <c r="O28" s="2767"/>
      <c r="P28" s="3726"/>
      <c r="Q28" s="1342"/>
      <c r="R28" s="701"/>
      <c r="S28" s="702"/>
      <c r="T28" s="701"/>
      <c r="U28" s="702"/>
      <c r="V28" s="701"/>
      <c r="W28" s="702"/>
      <c r="X28" s="703"/>
      <c r="Y28" s="3726"/>
      <c r="Z28" s="52"/>
      <c r="AA28" s="1352">
        <v>1</v>
      </c>
      <c r="AB28" s="1352">
        <v>1</v>
      </c>
      <c r="AC28" s="1352">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26"/>
      <c r="Q29" s="1342"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2"/>
      <c r="M30" s="2713"/>
      <c r="N30" s="2713"/>
      <c r="O30" s="2767"/>
      <c r="P30" s="3726"/>
      <c r="Q30" s="1342"/>
      <c r="R30" s="701"/>
      <c r="S30" s="702"/>
      <c r="T30" s="701"/>
      <c r="U30" s="702"/>
      <c r="V30" s="701"/>
      <c r="W30" s="702"/>
      <c r="X30" s="703"/>
      <c r="Y30" s="372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2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26"/>
      <c r="Q32" s="1351" t="str">
        <f t="shared" si="8"/>
        <v>毗邻道路的类型与等级</v>
      </c>
      <c r="R32" s="705" t="s">
        <v>14</v>
      </c>
      <c r="S32" s="706">
        <f t="shared" si="10"/>
        <v>100</v>
      </c>
      <c r="T32" s="705" t="s">
        <v>14</v>
      </c>
      <c r="U32" s="706">
        <f t="shared" si="11"/>
        <v>100</v>
      </c>
      <c r="V32" s="705" t="s">
        <v>14</v>
      </c>
      <c r="W32" s="706">
        <f t="shared" si="12"/>
        <v>100</v>
      </c>
      <c r="X32" s="1354"/>
      <c r="Y32" s="3726"/>
      <c r="Z32" s="1355" t="str">
        <f t="shared" si="13"/>
        <v>毗邻道路的类型与等级</v>
      </c>
      <c r="AA32" s="1352">
        <f t="shared" si="3"/>
        <v>1</v>
      </c>
      <c r="AB32" s="1352">
        <f t="shared" si="4"/>
        <v>1</v>
      </c>
      <c r="AC32" s="1352">
        <f t="shared" si="5"/>
        <v>1</v>
      </c>
    </row>
    <row r="33" spans="1:29" ht="15">
      <c r="A33" s="379"/>
      <c r="B33" s="407"/>
      <c r="C33" s="398"/>
      <c r="D33" s="399"/>
      <c r="E33" s="1901"/>
      <c r="F33" s="399"/>
      <c r="G33" s="1901"/>
      <c r="H33" s="399"/>
      <c r="I33" s="398"/>
      <c r="J33" s="399"/>
      <c r="K33" s="562"/>
      <c r="L33" s="2717"/>
      <c r="M33" s="2711"/>
      <c r="N33" s="2711"/>
      <c r="O33" s="2769"/>
      <c r="P33" s="3726"/>
      <c r="Q33" s="1351"/>
      <c r="R33" s="705"/>
      <c r="S33" s="706"/>
      <c r="T33" s="705"/>
      <c r="U33" s="706"/>
      <c r="V33" s="705"/>
      <c r="W33" s="706"/>
      <c r="X33" s="1354"/>
      <c r="Y33" s="372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26"/>
      <c r="Q34" s="1351" t="str">
        <f t="shared" si="8"/>
        <v>土地级别</v>
      </c>
      <c r="R34" s="705" t="s">
        <v>14</v>
      </c>
      <c r="S34" s="706">
        <f t="shared" si="10"/>
        <v>100</v>
      </c>
      <c r="T34" s="705" t="s">
        <v>14</v>
      </c>
      <c r="U34" s="706">
        <f t="shared" si="11"/>
        <v>100</v>
      </c>
      <c r="V34" s="705" t="s">
        <v>14</v>
      </c>
      <c r="W34" s="706">
        <f t="shared" si="12"/>
        <v>100</v>
      </c>
      <c r="X34" s="1354"/>
      <c r="Y34" s="372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26"/>
      <c r="Q35" s="1351">
        <f t="shared" si="8"/>
        <v>111</v>
      </c>
      <c r="R35" s="705" t="s">
        <v>14</v>
      </c>
      <c r="S35" s="706">
        <f t="shared" si="10"/>
        <v>100</v>
      </c>
      <c r="T35" s="705" t="s">
        <v>14</v>
      </c>
      <c r="U35" s="706">
        <f t="shared" si="11"/>
        <v>100</v>
      </c>
      <c r="V35" s="705" t="s">
        <v>14</v>
      </c>
      <c r="W35" s="706">
        <f t="shared" si="12"/>
        <v>100</v>
      </c>
      <c r="X35" s="1354"/>
      <c r="Y35" s="372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9" t="s">
        <v>1696</v>
      </c>
      <c r="Q36" s="1351">
        <f t="shared" si="8"/>
        <v>111</v>
      </c>
      <c r="R36" s="705" t="s">
        <v>14</v>
      </c>
      <c r="S36" s="706">
        <f t="shared" si="10"/>
        <v>100</v>
      </c>
      <c r="T36" s="705" t="s">
        <v>14</v>
      </c>
      <c r="U36" s="706">
        <f t="shared" si="11"/>
        <v>100</v>
      </c>
      <c r="V36" s="705" t="s">
        <v>14</v>
      </c>
      <c r="W36" s="706">
        <f t="shared" si="12"/>
        <v>100</v>
      </c>
      <c r="X36" s="1354"/>
      <c r="Y36" s="373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30"/>
      <c r="Q37" s="1351">
        <f t="shared" si="8"/>
        <v>111</v>
      </c>
      <c r="R37" s="708" t="s">
        <v>14</v>
      </c>
      <c r="S37" s="709">
        <f t="shared" si="10"/>
        <v>100</v>
      </c>
      <c r="T37" s="708" t="s">
        <v>14</v>
      </c>
      <c r="U37" s="709">
        <f t="shared" si="11"/>
        <v>100</v>
      </c>
      <c r="V37" s="708" t="s">
        <v>14</v>
      </c>
      <c r="W37" s="709">
        <f t="shared" si="12"/>
        <v>100</v>
      </c>
      <c r="X37" s="710"/>
      <c r="Y37" s="373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30"/>
      <c r="Q38" s="1351" t="str">
        <f>B38</f>
        <v>宗地面积</v>
      </c>
      <c r="R38" s="705" t="s">
        <v>14</v>
      </c>
      <c r="S38" s="706" t="e">
        <f t="shared" si="10"/>
        <v>#N/A</v>
      </c>
      <c r="T38" s="705" t="s">
        <v>14</v>
      </c>
      <c r="U38" s="706" t="e">
        <f t="shared" si="11"/>
        <v>#N/A</v>
      </c>
      <c r="V38" s="705" t="s">
        <v>14</v>
      </c>
      <c r="W38" s="706" t="e">
        <f t="shared" si="12"/>
        <v>#N/A</v>
      </c>
      <c r="X38" s="1354"/>
      <c r="Y38" s="3730"/>
      <c r="Z38" s="1355" t="str">
        <f t="shared" si="13"/>
        <v>宗地面积</v>
      </c>
      <c r="AA38" s="1352" t="e">
        <f t="shared" si="3"/>
        <v>#N/A</v>
      </c>
      <c r="AB38" s="1352" t="e">
        <f t="shared" si="4"/>
        <v>#N/A</v>
      </c>
      <c r="AC38" s="1352"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30"/>
      <c r="Q39" s="1351" t="str">
        <f t="shared" ref="Q39:Q45" si="14">B39</f>
        <v>宗地形状</v>
      </c>
      <c r="R39" s="705" t="s">
        <v>14</v>
      </c>
      <c r="S39" s="706">
        <f t="shared" si="10"/>
        <v>100</v>
      </c>
      <c r="T39" s="705" t="s">
        <v>14</v>
      </c>
      <c r="U39" s="706">
        <f t="shared" si="11"/>
        <v>100</v>
      </c>
      <c r="V39" s="705" t="s">
        <v>14</v>
      </c>
      <c r="W39" s="706">
        <f t="shared" si="12"/>
        <v>100</v>
      </c>
      <c r="X39" s="1354"/>
      <c r="Y39" s="3730"/>
      <c r="Z39" s="1355" t="str">
        <f t="shared" si="13"/>
        <v>宗地形状</v>
      </c>
      <c r="AA39" s="1352">
        <f t="shared" si="3"/>
        <v>1</v>
      </c>
      <c r="AB39" s="1352">
        <f t="shared" si="4"/>
        <v>1</v>
      </c>
      <c r="AC39" s="1352">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30"/>
      <c r="Q40" s="1351" t="str">
        <f t="shared" si="14"/>
        <v>临街宽度及深度</v>
      </c>
      <c r="R40" s="705" t="s">
        <v>14</v>
      </c>
      <c r="S40" s="706">
        <f t="shared" si="10"/>
        <v>100</v>
      </c>
      <c r="T40" s="705" t="s">
        <v>14</v>
      </c>
      <c r="U40" s="706">
        <f t="shared" si="11"/>
        <v>100</v>
      </c>
      <c r="V40" s="705" t="s">
        <v>14</v>
      </c>
      <c r="W40" s="706">
        <f t="shared" si="12"/>
        <v>100</v>
      </c>
      <c r="X40" s="1354"/>
      <c r="Y40" s="3730"/>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30"/>
      <c r="Q41" s="1351"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30" t="s">
        <v>1696</v>
      </c>
      <c r="Q42" s="1351" t="str">
        <f t="shared" si="14"/>
        <v>工程地质条件</v>
      </c>
      <c r="R42" s="705" t="s">
        <v>14</v>
      </c>
      <c r="S42" s="706">
        <f t="shared" si="10"/>
        <v>100</v>
      </c>
      <c r="T42" s="705" t="s">
        <v>14</v>
      </c>
      <c r="U42" s="706">
        <f t="shared" si="11"/>
        <v>100</v>
      </c>
      <c r="V42" s="705" t="s">
        <v>14</v>
      </c>
      <c r="W42" s="706">
        <f t="shared" si="12"/>
        <v>100</v>
      </c>
      <c r="X42" s="1354"/>
      <c r="Y42" s="373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30"/>
      <c r="Q43" s="1351">
        <f t="shared" si="14"/>
        <v>111</v>
      </c>
      <c r="R43" s="705" t="s">
        <v>14</v>
      </c>
      <c r="S43" s="706">
        <f t="shared" si="10"/>
        <v>100</v>
      </c>
      <c r="T43" s="705" t="s">
        <v>14</v>
      </c>
      <c r="U43" s="706">
        <f t="shared" si="11"/>
        <v>100</v>
      </c>
      <c r="V43" s="705" t="s">
        <v>14</v>
      </c>
      <c r="W43" s="706">
        <f t="shared" si="12"/>
        <v>100</v>
      </c>
      <c r="X43" s="1354"/>
      <c r="Y43" s="373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30"/>
      <c r="Q44" s="1351">
        <f t="shared" si="14"/>
        <v>111</v>
      </c>
      <c r="R44" s="705" t="s">
        <v>14</v>
      </c>
      <c r="S44" s="706">
        <f t="shared" si="10"/>
        <v>100</v>
      </c>
      <c r="T44" s="705" t="s">
        <v>14</v>
      </c>
      <c r="U44" s="706">
        <f t="shared" si="11"/>
        <v>100</v>
      </c>
      <c r="V44" s="705" t="s">
        <v>14</v>
      </c>
      <c r="W44" s="706">
        <f t="shared" si="12"/>
        <v>100</v>
      </c>
      <c r="X44" s="1354"/>
      <c r="Y44" s="3730"/>
      <c r="Z44" s="1355">
        <f t="shared" si="13"/>
        <v>111</v>
      </c>
      <c r="AA44" s="1352">
        <f t="shared" si="3"/>
        <v>1</v>
      </c>
      <c r="AB44" s="1352">
        <f t="shared" si="4"/>
        <v>1</v>
      </c>
      <c r="AC44" s="1352">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30"/>
      <c r="Q45" s="1351">
        <f t="shared" si="14"/>
        <v>111</v>
      </c>
      <c r="R45" s="708" t="s">
        <v>14</v>
      </c>
      <c r="S45" s="709">
        <f t="shared" si="10"/>
        <v>100</v>
      </c>
      <c r="T45" s="708" t="s">
        <v>14</v>
      </c>
      <c r="U45" s="709">
        <f t="shared" si="11"/>
        <v>100</v>
      </c>
      <c r="V45" s="708" t="s">
        <v>14</v>
      </c>
      <c r="W45" s="709">
        <f t="shared" si="12"/>
        <v>100</v>
      </c>
      <c r="X45" s="710"/>
      <c r="Y45" s="3730"/>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19"/>
      <c r="M46" s="2720"/>
      <c r="N46" s="2711"/>
      <c r="O46" s="2720"/>
      <c r="P46" s="3723" t="str">
        <f>A46</f>
        <v>成交单价</v>
      </c>
      <c r="Q46" s="3723"/>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9"/>
      <c r="M47" s="2720"/>
      <c r="N47" s="2720"/>
      <c r="O47" s="2720"/>
      <c r="P47" s="3723" t="str">
        <f>A47</f>
        <v>比较价值（元/平方米）</v>
      </c>
      <c r="Q47" s="372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20" t="str">
        <f>A48</f>
        <v>估价对象XX用房的比较价值（楼面单价，元/平方米）</v>
      </c>
      <c r="Q48" s="3721"/>
      <c r="R48" s="3752" t="e">
        <f>ROUND(IF(D47="简单平均",AVERAGE(R47:W47),R47*F47+T47*H47+V47*J47),0)</f>
        <v>#DIV/0!</v>
      </c>
      <c r="S48" s="3752"/>
      <c r="T48" s="3752"/>
      <c r="U48" s="3752"/>
      <c r="V48" s="3752"/>
      <c r="W48" s="375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0" t="s">
        <v>1883</v>
      </c>
      <c r="D55" s="1981" t="s">
        <v>1884</v>
      </c>
      <c r="E55" s="634" t="s">
        <v>1885</v>
      </c>
      <c r="F55" s="890" t="s">
        <v>1886</v>
      </c>
      <c r="G55" s="3706" t="s">
        <v>1887</v>
      </c>
      <c r="H55" s="3753"/>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8640.14</v>
      </c>
      <c r="F56" s="886" t="e">
        <f t="shared" ref="F56:F64" si="15">ROUND(B56*E56/10000,0)</f>
        <v>#DIV/0!</v>
      </c>
      <c r="G56" s="3705"/>
      <c r="H56" s="372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8640.14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4"/>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0"/>
      <c r="M5" s="2711"/>
      <c r="N5" s="2711"/>
      <c r="O5" s="2711"/>
      <c r="P5" s="3712"/>
      <c r="Q5" s="3713"/>
      <c r="R5" s="3695"/>
      <c r="S5" s="3696"/>
      <c r="T5" s="3695"/>
      <c r="U5" s="3696"/>
      <c r="V5" s="3718"/>
      <c r="W5" s="3718"/>
      <c r="X5" s="1354"/>
      <c r="Y5" s="3695"/>
      <c r="Z5" s="3696"/>
      <c r="AA5" s="3689"/>
      <c r="AB5" s="3689"/>
      <c r="AC5" s="3689"/>
    </row>
    <row r="6" spans="1:29" ht="15.75" thickBot="1">
      <c r="A6" s="360"/>
      <c r="B6" s="361"/>
      <c r="C6" s="3754" t="s">
        <v>1919</v>
      </c>
      <c r="D6" s="3755"/>
      <c r="E6" s="3756" t="s">
        <v>1919</v>
      </c>
      <c r="F6" s="3757"/>
      <c r="G6" s="3754" t="s">
        <v>1919</v>
      </c>
      <c r="H6" s="3755"/>
      <c r="I6" s="3754" t="s">
        <v>1919</v>
      </c>
      <c r="J6" s="3755"/>
      <c r="K6" s="559" t="s">
        <v>1678</v>
      </c>
      <c r="L6" s="2710"/>
      <c r="M6" s="2711"/>
      <c r="N6" s="2711"/>
      <c r="O6" s="2711"/>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45516</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1" t="s">
        <v>1683</v>
      </c>
      <c r="Q8" s="3692"/>
      <c r="R8" s="701" t="s">
        <v>14</v>
      </c>
      <c r="S8" s="702">
        <f t="shared" si="0"/>
        <v>0</v>
      </c>
      <c r="T8" s="701" t="s">
        <v>14</v>
      </c>
      <c r="U8" s="702">
        <f t="shared" si="1"/>
        <v>0</v>
      </c>
      <c r="V8" s="701" t="s">
        <v>14</v>
      </c>
      <c r="W8" s="702">
        <f t="shared" si="2"/>
        <v>0</v>
      </c>
      <c r="X8" s="703"/>
      <c r="Y8" s="3691" t="s">
        <v>1683</v>
      </c>
      <c r="Z8" s="3692"/>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723" t="s">
        <v>1686</v>
      </c>
      <c r="Q9" s="1342"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4"/>
      <c r="M10" s="2715"/>
      <c r="N10" s="2715"/>
      <c r="O10" s="2768"/>
      <c r="P10" s="3723"/>
      <c r="Q10" s="1342" t="str">
        <f t="shared" si="6"/>
        <v>土地使用年限（年）</v>
      </c>
      <c r="R10" s="701" t="s">
        <v>14</v>
      </c>
      <c r="S10" s="702">
        <f t="shared" si="0"/>
        <v>109</v>
      </c>
      <c r="T10" s="701" t="s">
        <v>14</v>
      </c>
      <c r="U10" s="702">
        <f t="shared" si="1"/>
        <v>109</v>
      </c>
      <c r="V10" s="701" t="s">
        <v>14</v>
      </c>
      <c r="W10" s="702">
        <f t="shared" si="2"/>
        <v>109</v>
      </c>
      <c r="X10" s="703"/>
      <c r="Y10" s="3616"/>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23"/>
      <c r="Q11" s="1342"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23"/>
      <c r="Q12" s="1342">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23"/>
      <c r="Q13" s="1342">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23"/>
      <c r="Q14" s="1342">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25" t="s">
        <v>1691</v>
      </c>
      <c r="Q15" s="1351" t="str">
        <f t="shared" si="6"/>
        <v>产业集聚程度</v>
      </c>
      <c r="R15" s="705" t="s">
        <v>14</v>
      </c>
      <c r="S15" s="706">
        <f t="shared" si="0"/>
        <v>100</v>
      </c>
      <c r="T15" s="705" t="s">
        <v>14</v>
      </c>
      <c r="U15" s="706">
        <f t="shared" si="1"/>
        <v>100</v>
      </c>
      <c r="V15" s="705" t="s">
        <v>14</v>
      </c>
      <c r="W15" s="706">
        <f t="shared" si="2"/>
        <v>100</v>
      </c>
      <c r="X15" s="1354"/>
      <c r="Y15" s="3725" t="s">
        <v>1691</v>
      </c>
      <c r="Z15" s="1355" t="str">
        <f t="shared" si="7"/>
        <v>产业集聚程度</v>
      </c>
      <c r="AA15" s="1352">
        <f t="shared" si="3"/>
        <v>1</v>
      </c>
      <c r="AB15" s="1352">
        <f t="shared" si="4"/>
        <v>1</v>
      </c>
      <c r="AC15" s="1352">
        <f t="shared" si="5"/>
        <v>1</v>
      </c>
    </row>
    <row r="16" spans="1:29" ht="15">
      <c r="A16" s="379"/>
      <c r="B16" s="578"/>
      <c r="C16" s="398"/>
      <c r="D16" s="399"/>
      <c r="E16" s="1901"/>
      <c r="F16" s="399"/>
      <c r="G16" s="1901"/>
      <c r="H16" s="401"/>
      <c r="I16" s="1901"/>
      <c r="J16" s="399"/>
      <c r="K16" s="620"/>
      <c r="L16" s="2717"/>
      <c r="M16" s="2711"/>
      <c r="N16" s="2711"/>
      <c r="O16" s="2769"/>
      <c r="P16" s="3726"/>
      <c r="Q16" s="1351"/>
      <c r="R16" s="705"/>
      <c r="S16" s="706"/>
      <c r="T16" s="705"/>
      <c r="U16" s="706"/>
      <c r="V16" s="705"/>
      <c r="W16" s="706"/>
      <c r="X16" s="1354"/>
      <c r="Y16" s="3726"/>
      <c r="Z16" s="1355"/>
      <c r="AA16" s="1352">
        <v>1</v>
      </c>
      <c r="AB16" s="1352">
        <v>1</v>
      </c>
      <c r="AC16" s="1352">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26"/>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580"/>
      <c r="C18" s="398"/>
      <c r="D18" s="399"/>
      <c r="E18" s="1895"/>
      <c r="F18" s="399"/>
      <c r="G18" s="1895"/>
      <c r="H18" s="399"/>
      <c r="I18" s="1894"/>
      <c r="J18" s="399"/>
      <c r="K18" s="620"/>
      <c r="L18" s="2717"/>
      <c r="M18" s="2711"/>
      <c r="N18" s="2711"/>
      <c r="O18" s="2769"/>
      <c r="P18" s="3726"/>
      <c r="Q18" s="1351"/>
      <c r="R18" s="705"/>
      <c r="S18" s="706"/>
      <c r="T18" s="705"/>
      <c r="U18" s="706"/>
      <c r="V18" s="705"/>
      <c r="W18" s="706"/>
      <c r="X18" s="1354"/>
      <c r="Y18" s="3726"/>
      <c r="Z18" s="1355"/>
      <c r="AA18" s="1352">
        <v>1</v>
      </c>
      <c r="AB18" s="1352">
        <v>1</v>
      </c>
      <c r="AC18" s="1352">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26"/>
      <c r="Q19" s="1351" t="str">
        <f t="shared" ref="Q19:Q33" si="8">B19</f>
        <v>区域土地利用方向</v>
      </c>
      <c r="R19" s="705" t="s">
        <v>14</v>
      </c>
      <c r="S19" s="706">
        <f>F19</f>
        <v>100</v>
      </c>
      <c r="T19" s="705" t="s">
        <v>14</v>
      </c>
      <c r="U19" s="706">
        <f>H19</f>
        <v>100</v>
      </c>
      <c r="V19" s="705" t="s">
        <v>14</v>
      </c>
      <c r="W19" s="706">
        <f>J19</f>
        <v>100</v>
      </c>
      <c r="X19" s="1354"/>
      <c r="Y19" s="3726"/>
      <c r="Z19" s="1355" t="str">
        <f>Q19</f>
        <v>区域土地利用方向</v>
      </c>
      <c r="AA19" s="1352">
        <f t="shared" si="3"/>
        <v>1</v>
      </c>
      <c r="AB19" s="1352">
        <f t="shared" si="4"/>
        <v>1</v>
      </c>
      <c r="AC19" s="1352">
        <f t="shared" si="5"/>
        <v>1</v>
      </c>
    </row>
    <row r="20" spans="1:29" ht="15">
      <c r="A20" s="358"/>
      <c r="B20" s="580"/>
      <c r="C20" s="398"/>
      <c r="D20" s="399"/>
      <c r="E20" s="1895"/>
      <c r="F20" s="399"/>
      <c r="G20" s="1895"/>
      <c r="H20" s="399"/>
      <c r="I20" s="1895"/>
      <c r="J20" s="399"/>
      <c r="K20" s="740"/>
      <c r="L20" s="2717"/>
      <c r="M20" s="2711"/>
      <c r="N20" s="2711"/>
      <c r="O20" s="2769"/>
      <c r="P20" s="3726"/>
      <c r="Q20" s="1351"/>
      <c r="R20" s="705"/>
      <c r="S20" s="706"/>
      <c r="T20" s="705"/>
      <c r="U20" s="706"/>
      <c r="V20" s="705"/>
      <c r="W20" s="706"/>
      <c r="X20" s="1354"/>
      <c r="Y20" s="3726"/>
      <c r="Z20" s="1355"/>
      <c r="AA20" s="1352"/>
      <c r="AB20" s="1352"/>
      <c r="AC20" s="1352"/>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26"/>
      <c r="Q21" s="1351" t="str">
        <f t="shared" si="8"/>
        <v>环境状况</v>
      </c>
      <c r="R21" s="705" t="s">
        <v>14</v>
      </c>
      <c r="S21" s="706">
        <f>F21</f>
        <v>100</v>
      </c>
      <c r="T21" s="705" t="s">
        <v>14</v>
      </c>
      <c r="U21" s="706">
        <f>H21</f>
        <v>100</v>
      </c>
      <c r="V21" s="705" t="s">
        <v>14</v>
      </c>
      <c r="W21" s="706">
        <f>J21</f>
        <v>100</v>
      </c>
      <c r="X21" s="1354"/>
      <c r="Y21" s="3726"/>
      <c r="Z21" s="1355" t="str">
        <f>Q21</f>
        <v>环境状况</v>
      </c>
      <c r="AA21" s="1352">
        <f t="shared" si="3"/>
        <v>1</v>
      </c>
      <c r="AB21" s="1352">
        <f t="shared" si="4"/>
        <v>1</v>
      </c>
      <c r="AC21" s="1352">
        <f t="shared" si="5"/>
        <v>1</v>
      </c>
    </row>
    <row r="22" spans="1:29" ht="15">
      <c r="A22" s="358"/>
      <c r="B22" s="580"/>
      <c r="C22" s="398"/>
      <c r="D22" s="399"/>
      <c r="E22" s="1901"/>
      <c r="F22" s="399"/>
      <c r="G22" s="1901"/>
      <c r="H22" s="399"/>
      <c r="I22" s="398"/>
      <c r="J22" s="399"/>
      <c r="K22" s="620"/>
      <c r="L22" s="2717"/>
      <c r="M22" s="2711"/>
      <c r="N22" s="2711"/>
      <c r="O22" s="2769"/>
      <c r="P22" s="3726"/>
      <c r="Q22" s="1351"/>
      <c r="R22" s="705"/>
      <c r="S22" s="706"/>
      <c r="T22" s="705"/>
      <c r="U22" s="706"/>
      <c r="V22" s="705"/>
      <c r="W22" s="706"/>
      <c r="X22" s="1354"/>
      <c r="Y22" s="3726"/>
      <c r="Z22" s="1355"/>
      <c r="AA22" s="1352">
        <v>1</v>
      </c>
      <c r="AB22" s="1352">
        <v>1</v>
      </c>
      <c r="AC22" s="1352">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26"/>
      <c r="Q23" s="1342" t="str">
        <f t="shared" si="8"/>
        <v>公共配套设施</v>
      </c>
      <c r="R23" s="701" t="s">
        <v>14</v>
      </c>
      <c r="S23" s="702">
        <f>F23</f>
        <v>100</v>
      </c>
      <c r="T23" s="701" t="s">
        <v>14</v>
      </c>
      <c r="U23" s="702">
        <f>H23</f>
        <v>100</v>
      </c>
      <c r="V23" s="701" t="s">
        <v>14</v>
      </c>
      <c r="W23" s="702">
        <f>J23</f>
        <v>100</v>
      </c>
      <c r="X23" s="703"/>
      <c r="Y23" s="3726"/>
      <c r="Z23" s="52" t="str">
        <f>Q23</f>
        <v>公共配套设施</v>
      </c>
      <c r="AA23" s="1352">
        <f>D23/F23</f>
        <v>1</v>
      </c>
      <c r="AB23" s="1352">
        <f>D23/H23</f>
        <v>1</v>
      </c>
      <c r="AC23" s="1352">
        <f>D23/J23</f>
        <v>1</v>
      </c>
    </row>
    <row r="24" spans="1:29" s="108" customFormat="1" ht="15">
      <c r="A24" s="597"/>
      <c r="B24" s="580"/>
      <c r="C24" s="1975"/>
      <c r="D24" s="399"/>
      <c r="E24" s="1901"/>
      <c r="F24" s="399"/>
      <c r="G24" s="1901"/>
      <c r="H24" s="399"/>
      <c r="I24" s="398"/>
      <c r="J24" s="399"/>
      <c r="K24" s="620"/>
      <c r="L24" s="2712"/>
      <c r="M24" s="2713"/>
      <c r="N24" s="2713"/>
      <c r="O24" s="2767"/>
      <c r="P24" s="3726"/>
      <c r="Q24" s="1342"/>
      <c r="R24" s="701"/>
      <c r="S24" s="702"/>
      <c r="T24" s="701"/>
      <c r="U24" s="702"/>
      <c r="V24" s="701"/>
      <c r="W24" s="702"/>
      <c r="X24" s="703"/>
      <c r="Y24" s="3726"/>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26"/>
      <c r="Q25" s="1342"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2"/>
      <c r="M26" s="2713"/>
      <c r="N26" s="2713"/>
      <c r="O26" s="2767"/>
      <c r="P26" s="3726"/>
      <c r="Q26" s="1342"/>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2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6"/>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26"/>
      <c r="Q28" s="1351" t="str">
        <f t="shared" si="8"/>
        <v>毗邻道路的类型与等级</v>
      </c>
      <c r="R28" s="705" t="s">
        <v>14</v>
      </c>
      <c r="S28" s="706">
        <f t="shared" si="10"/>
        <v>100</v>
      </c>
      <c r="T28" s="705" t="s">
        <v>14</v>
      </c>
      <c r="U28" s="706">
        <f t="shared" si="11"/>
        <v>100</v>
      </c>
      <c r="V28" s="705" t="s">
        <v>14</v>
      </c>
      <c r="W28" s="706">
        <f t="shared" si="12"/>
        <v>100</v>
      </c>
      <c r="X28" s="1354"/>
      <c r="Y28" s="3726"/>
      <c r="Z28" s="1355" t="str">
        <f t="shared" si="13"/>
        <v>毗邻道路的类型与等级</v>
      </c>
      <c r="AA28" s="1352">
        <f t="shared" si="3"/>
        <v>1</v>
      </c>
      <c r="AB28" s="1352">
        <f t="shared" si="4"/>
        <v>1</v>
      </c>
      <c r="AC28" s="1352">
        <f t="shared" si="5"/>
        <v>1</v>
      </c>
    </row>
    <row r="29" spans="1:29" ht="15">
      <c r="A29" s="379"/>
      <c r="B29" s="580"/>
      <c r="C29" s="398"/>
      <c r="D29" s="399"/>
      <c r="E29" s="1901"/>
      <c r="F29" s="399"/>
      <c r="G29" s="1901"/>
      <c r="H29" s="399"/>
      <c r="I29" s="1901"/>
      <c r="J29" s="399"/>
      <c r="K29" s="562"/>
      <c r="L29" s="2717"/>
      <c r="M29" s="2711"/>
      <c r="N29" s="2711"/>
      <c r="O29" s="2769"/>
      <c r="P29" s="3726"/>
      <c r="Q29" s="1351"/>
      <c r="R29" s="705"/>
      <c r="S29" s="706"/>
      <c r="T29" s="705"/>
      <c r="U29" s="706"/>
      <c r="V29" s="705"/>
      <c r="W29" s="706"/>
      <c r="X29" s="1354"/>
      <c r="Y29" s="372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26"/>
      <c r="Q30" s="1351" t="str">
        <f t="shared" si="8"/>
        <v>土地级别</v>
      </c>
      <c r="R30" s="705" t="s">
        <v>14</v>
      </c>
      <c r="S30" s="706">
        <f t="shared" si="10"/>
        <v>100</v>
      </c>
      <c r="T30" s="705" t="s">
        <v>14</v>
      </c>
      <c r="U30" s="706">
        <f t="shared" si="11"/>
        <v>100</v>
      </c>
      <c r="V30" s="705" t="s">
        <v>14</v>
      </c>
      <c r="W30" s="706">
        <f t="shared" si="12"/>
        <v>100</v>
      </c>
      <c r="X30" s="1354"/>
      <c r="Y30" s="3726"/>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6"/>
      <c r="Q31" s="1351">
        <f t="shared" si="8"/>
        <v>111</v>
      </c>
      <c r="R31" s="705" t="s">
        <v>14</v>
      </c>
      <c r="S31" s="706">
        <f t="shared" si="10"/>
        <v>100</v>
      </c>
      <c r="T31" s="705" t="s">
        <v>14</v>
      </c>
      <c r="U31" s="706">
        <f t="shared" si="11"/>
        <v>100</v>
      </c>
      <c r="V31" s="705" t="s">
        <v>14</v>
      </c>
      <c r="W31" s="706">
        <f t="shared" si="12"/>
        <v>100</v>
      </c>
      <c r="X31" s="1354"/>
      <c r="Y31" s="3726"/>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9" t="s">
        <v>1696</v>
      </c>
      <c r="Q32" s="1351">
        <f t="shared" si="8"/>
        <v>111</v>
      </c>
      <c r="R32" s="705" t="s">
        <v>14</v>
      </c>
      <c r="S32" s="706">
        <f t="shared" si="10"/>
        <v>100</v>
      </c>
      <c r="T32" s="705" t="s">
        <v>14</v>
      </c>
      <c r="U32" s="706">
        <f t="shared" si="11"/>
        <v>100</v>
      </c>
      <c r="V32" s="705" t="s">
        <v>14</v>
      </c>
      <c r="W32" s="706">
        <f t="shared" si="12"/>
        <v>100</v>
      </c>
      <c r="X32" s="1354"/>
      <c r="Y32" s="3730"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30"/>
      <c r="Q33" s="1351">
        <f t="shared" si="8"/>
        <v>111</v>
      </c>
      <c r="R33" s="708" t="s">
        <v>14</v>
      </c>
      <c r="S33" s="709">
        <f t="shared" si="10"/>
        <v>100</v>
      </c>
      <c r="T33" s="708" t="s">
        <v>14</v>
      </c>
      <c r="U33" s="709">
        <f t="shared" si="11"/>
        <v>100</v>
      </c>
      <c r="V33" s="708" t="s">
        <v>14</v>
      </c>
      <c r="W33" s="709">
        <f t="shared" si="12"/>
        <v>100</v>
      </c>
      <c r="X33" s="710"/>
      <c r="Y33" s="373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30"/>
      <c r="Q34" s="1351" t="str">
        <f>B34</f>
        <v>宗地面积</v>
      </c>
      <c r="R34" s="705" t="s">
        <v>14</v>
      </c>
      <c r="S34" s="706" t="e">
        <f t="shared" si="10"/>
        <v>#N/A</v>
      </c>
      <c r="T34" s="705" t="s">
        <v>14</v>
      </c>
      <c r="U34" s="706" t="e">
        <f t="shared" si="11"/>
        <v>#N/A</v>
      </c>
      <c r="V34" s="705" t="s">
        <v>14</v>
      </c>
      <c r="W34" s="706" t="e">
        <f t="shared" si="12"/>
        <v>#N/A</v>
      </c>
      <c r="X34" s="1354"/>
      <c r="Y34" s="3730"/>
      <c r="Z34" s="1355" t="str">
        <f t="shared" si="13"/>
        <v>宗地面积</v>
      </c>
      <c r="AA34" s="1352" t="e">
        <f t="shared" si="3"/>
        <v>#N/A</v>
      </c>
      <c r="AB34" s="1352" t="e">
        <f t="shared" si="4"/>
        <v>#N/A</v>
      </c>
      <c r="AC34" s="1352"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30"/>
      <c r="Q35" s="1351" t="str">
        <f t="shared" ref="Q35:Q40" si="14">B35</f>
        <v>宗地形状</v>
      </c>
      <c r="R35" s="705" t="s">
        <v>14</v>
      </c>
      <c r="S35" s="706">
        <f t="shared" si="10"/>
        <v>100</v>
      </c>
      <c r="T35" s="705" t="s">
        <v>14</v>
      </c>
      <c r="U35" s="706">
        <f t="shared" si="11"/>
        <v>100</v>
      </c>
      <c r="V35" s="705" t="s">
        <v>14</v>
      </c>
      <c r="W35" s="706">
        <f t="shared" si="12"/>
        <v>100</v>
      </c>
      <c r="X35" s="1354"/>
      <c r="Y35" s="3730"/>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30"/>
      <c r="Q36" s="1351"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30" t="s">
        <v>1696</v>
      </c>
      <c r="Q37" s="1351" t="str">
        <f t="shared" si="14"/>
        <v>工程地质条件</v>
      </c>
      <c r="R37" s="705" t="s">
        <v>14</v>
      </c>
      <c r="S37" s="706">
        <f t="shared" si="10"/>
        <v>100</v>
      </c>
      <c r="T37" s="705" t="s">
        <v>14</v>
      </c>
      <c r="U37" s="706">
        <f t="shared" si="11"/>
        <v>100</v>
      </c>
      <c r="V37" s="705" t="s">
        <v>14</v>
      </c>
      <c r="W37" s="706">
        <f t="shared" si="12"/>
        <v>100</v>
      </c>
      <c r="X37" s="1354"/>
      <c r="Y37" s="373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30"/>
      <c r="Q38" s="1351">
        <f t="shared" si="14"/>
        <v>111</v>
      </c>
      <c r="R38" s="705" t="s">
        <v>14</v>
      </c>
      <c r="S38" s="706">
        <f t="shared" si="10"/>
        <v>100</v>
      </c>
      <c r="T38" s="705" t="s">
        <v>14</v>
      </c>
      <c r="U38" s="706">
        <f t="shared" si="11"/>
        <v>100</v>
      </c>
      <c r="V38" s="705" t="s">
        <v>14</v>
      </c>
      <c r="W38" s="706">
        <f t="shared" si="12"/>
        <v>100</v>
      </c>
      <c r="X38" s="1354"/>
      <c r="Y38" s="373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30"/>
      <c r="Q39" s="1351">
        <f t="shared" si="14"/>
        <v>111</v>
      </c>
      <c r="R39" s="705" t="s">
        <v>14</v>
      </c>
      <c r="S39" s="706">
        <f t="shared" si="10"/>
        <v>100</v>
      </c>
      <c r="T39" s="705" t="s">
        <v>14</v>
      </c>
      <c r="U39" s="706">
        <f t="shared" si="11"/>
        <v>100</v>
      </c>
      <c r="V39" s="705" t="s">
        <v>14</v>
      </c>
      <c r="W39" s="706">
        <f t="shared" si="12"/>
        <v>100</v>
      </c>
      <c r="X39" s="1354"/>
      <c r="Y39" s="3730"/>
      <c r="Z39" s="1355">
        <f t="shared" si="13"/>
        <v>111</v>
      </c>
      <c r="AA39" s="1352">
        <f t="shared" si="3"/>
        <v>1</v>
      </c>
      <c r="AB39" s="1352">
        <f t="shared" si="4"/>
        <v>1</v>
      </c>
      <c r="AC39" s="1352">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30"/>
      <c r="Q40" s="1351">
        <f t="shared" si="14"/>
        <v>111</v>
      </c>
      <c r="R40" s="708" t="s">
        <v>14</v>
      </c>
      <c r="S40" s="709">
        <f t="shared" si="10"/>
        <v>100</v>
      </c>
      <c r="T40" s="708" t="s">
        <v>14</v>
      </c>
      <c r="U40" s="709">
        <f t="shared" si="11"/>
        <v>100</v>
      </c>
      <c r="V40" s="708" t="s">
        <v>14</v>
      </c>
      <c r="W40" s="709">
        <f t="shared" si="12"/>
        <v>100</v>
      </c>
      <c r="X40" s="710"/>
      <c r="Y40" s="3730"/>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19"/>
      <c r="M41" s="2711"/>
      <c r="N41" s="2711"/>
      <c r="O41" s="2720"/>
      <c r="P41" s="3723" t="str">
        <f>A41</f>
        <v>成交单价</v>
      </c>
      <c r="Q41" s="3723"/>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9"/>
      <c r="M42" s="2711"/>
      <c r="N42" s="2711"/>
      <c r="O42" s="2720"/>
      <c r="P42" s="3723" t="str">
        <f>A42</f>
        <v>比较价值（元/平方米）</v>
      </c>
      <c r="Q42" s="3723"/>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20" t="str">
        <f>A43</f>
        <v>估价对象XX用房的比较价值（楼面单价，元/平方米）</v>
      </c>
      <c r="Q43" s="3721"/>
      <c r="R43" s="3752" t="e">
        <f>ROUND(IF(D42="简单平均",AVERAGE(R42:W42),R42*F42+T42*H42+V42*J42),0)</f>
        <v>#DIV/0!</v>
      </c>
      <c r="S43" s="3752"/>
      <c r="T43" s="3752"/>
      <c r="U43" s="3752"/>
      <c r="V43" s="3752"/>
      <c r="W43" s="375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0" t="s">
        <v>1883</v>
      </c>
      <c r="D50" s="1981" t="s">
        <v>1884</v>
      </c>
      <c r="E50" s="634" t="s">
        <v>1885</v>
      </c>
      <c r="F50" s="635" t="s">
        <v>1886</v>
      </c>
      <c r="G50" s="3706" t="s">
        <v>1887</v>
      </c>
      <c r="H50" s="3753"/>
      <c r="I50" s="1355" t="s">
        <v>1923</v>
      </c>
      <c r="J50" s="1355">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8640.14</v>
      </c>
      <c r="F51" s="639" t="e">
        <f t="shared" ref="F51:F60" si="15">ROUND(B51*E51/10000,0)</f>
        <v>#DIV/0!</v>
      </c>
      <c r="G51" s="3705"/>
      <c r="H51" s="372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15462.6</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9">
        <f ca="1">SUMIF(B6:B13,"&lt;&gt;#ref!",B6:B13)</f>
        <v>3793</v>
      </c>
      <c r="C2" s="2142" t="s">
        <v>2074</v>
      </c>
      <c r="D2" s="2142" t="s">
        <v>2075</v>
      </c>
      <c r="E2" s="2609">
        <f ca="1">SUMIF(E6:E13,"&lt;&gt;#ref!",E6:E13)</f>
        <v>15462.6</v>
      </c>
      <c r="F2" s="2788"/>
      <c r="G2" s="2788"/>
      <c r="H2" s="2788"/>
      <c r="I2" s="2788"/>
      <c r="J2" s="2788"/>
      <c r="K2" s="2788"/>
      <c r="L2" s="2788"/>
      <c r="M2" s="2788"/>
      <c r="N2" s="2788"/>
      <c r="O2" s="2788"/>
      <c r="P2" s="2788"/>
    </row>
    <row r="3" spans="1:16" ht="15.75">
      <c r="A3" s="2142" t="s">
        <v>2076</v>
      </c>
      <c r="B3" s="2599">
        <f ca="1">ROUND(B2*10000/E2,0)</f>
        <v>2453</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5" t="s">
        <v>2077</v>
      </c>
      <c r="B5" s="2607" t="s">
        <v>2078</v>
      </c>
      <c r="C5" s="2143"/>
      <c r="D5" s="2788"/>
      <c r="E5" s="2608" t="s">
        <v>2079</v>
      </c>
      <c r="F5" s="2788"/>
      <c r="G5" s="2788"/>
      <c r="H5" s="2788"/>
      <c r="I5" s="2788"/>
      <c r="J5" s="2788"/>
      <c r="K5" s="2788"/>
      <c r="L5" s="2788"/>
      <c r="M5" s="2788"/>
      <c r="N5" s="2788"/>
      <c r="O5" s="2788"/>
      <c r="P5" s="2788"/>
    </row>
    <row r="6" spans="1:16" ht="15.75">
      <c r="A6" s="2606" t="s">
        <v>2080</v>
      </c>
      <c r="B6" s="2599">
        <f ca="1">SUMIF(INDIRECT("'"&amp;A6&amp;"'"&amp;"!A:A"),"总价",INDIRECT("'"&amp;A6&amp;"'"&amp;"!B:B"))</f>
        <v>3793</v>
      </c>
      <c r="C6" s="2142" t="s">
        <v>2074</v>
      </c>
      <c r="D6" s="2788"/>
      <c r="E6" s="2609">
        <f ca="1">SUMIF(INDIRECT("'"&amp;A6&amp;"'"&amp;"!C:C"),"建筑面积",INDIRECT("'"&amp;A6&amp;"'"&amp;"!D:D"))</f>
        <v>15462.6</v>
      </c>
      <c r="F6" s="2788"/>
      <c r="G6" s="2788"/>
      <c r="H6" s="2788"/>
      <c r="I6" s="2788"/>
      <c r="J6" s="2788"/>
      <c r="K6" s="2788"/>
      <c r="L6" s="2788"/>
      <c r="M6" s="2788"/>
      <c r="N6" s="2788"/>
      <c r="O6" s="2788"/>
      <c r="P6" s="2788"/>
    </row>
    <row r="7" spans="1:16" ht="15.75">
      <c r="A7" s="2606"/>
      <c r="B7" s="2599" t="e">
        <f ca="1">SUMIF(INDIRECT("'"&amp;A7&amp;"'"&amp;"!A:A"),"总价",INDIRECT("'"&amp;A7&amp;"'"&amp;"!B:B"))</f>
        <v>#REF!</v>
      </c>
      <c r="C7" s="2142" t="s">
        <v>2074</v>
      </c>
      <c r="D7" s="2788"/>
      <c r="E7" s="2609" t="e">
        <f t="shared" ref="E7:E13" ca="1" si="0">SUMIF(INDIRECT("'"&amp;A7&amp;"'"&amp;"!C:C"),"建筑面积",INDIRECT("'"&amp;A7&amp;"'"&amp;"!D:D"))</f>
        <v>#REF!</v>
      </c>
      <c r="F7" s="2788"/>
      <c r="G7" s="2788"/>
      <c r="H7" s="2788"/>
      <c r="I7" s="2788"/>
      <c r="J7" s="2788"/>
      <c r="K7" s="2788"/>
      <c r="L7" s="2788"/>
      <c r="M7" s="2788"/>
      <c r="N7" s="2788"/>
      <c r="O7" s="2788"/>
      <c r="P7" s="2788"/>
    </row>
    <row r="8" spans="1:16" ht="15.75">
      <c r="A8" s="2606"/>
      <c r="B8" s="2599" t="e">
        <f t="shared" ref="B8:B13" ca="1" si="1">SUMIF(INDIRECT("'"&amp;A8&amp;"'"&amp;"!A:A"),"总价",INDIRECT("'"&amp;A8&amp;"'"&amp;"!B:B"))</f>
        <v>#REF!</v>
      </c>
      <c r="C8" s="2142" t="s">
        <v>2074</v>
      </c>
      <c r="D8" s="2788"/>
      <c r="E8" s="2609" t="e">
        <f t="shared" ca="1" si="0"/>
        <v>#REF!</v>
      </c>
      <c r="F8" s="2788"/>
      <c r="G8" s="2788"/>
      <c r="H8" s="2788"/>
      <c r="I8" s="2788"/>
      <c r="J8" s="2788"/>
      <c r="K8" s="2788"/>
      <c r="L8" s="2788"/>
      <c r="M8" s="2788"/>
      <c r="N8" s="2788"/>
      <c r="O8" s="2788"/>
      <c r="P8" s="2788"/>
    </row>
    <row r="9" spans="1:16" ht="15.75">
      <c r="A9" s="2606"/>
      <c r="B9" s="2599" t="e">
        <f t="shared" ca="1" si="1"/>
        <v>#REF!</v>
      </c>
      <c r="C9" s="2142" t="s">
        <v>2074</v>
      </c>
      <c r="D9" s="2788"/>
      <c r="E9" s="2609" t="e">
        <f t="shared" ca="1" si="0"/>
        <v>#REF!</v>
      </c>
      <c r="F9" s="2788"/>
      <c r="G9" s="2788"/>
      <c r="H9" s="2788"/>
      <c r="I9" s="2788"/>
      <c r="J9" s="2788"/>
      <c r="K9" s="2788"/>
      <c r="L9" s="2788"/>
      <c r="M9" s="2788"/>
      <c r="N9" s="2788"/>
      <c r="O9" s="2788"/>
      <c r="P9" s="2788"/>
    </row>
    <row r="10" spans="1:16" ht="15.75">
      <c r="A10" s="2606"/>
      <c r="B10" s="2599" t="e">
        <f t="shared" ca="1" si="1"/>
        <v>#REF!</v>
      </c>
      <c r="C10" s="2142" t="s">
        <v>2074</v>
      </c>
      <c r="D10" s="2788"/>
      <c r="E10" s="2609" t="e">
        <f t="shared" ca="1" si="0"/>
        <v>#REF!</v>
      </c>
      <c r="F10" s="2788"/>
      <c r="G10" s="2788"/>
      <c r="H10" s="2788"/>
      <c r="I10" s="2788"/>
      <c r="J10" s="2788"/>
      <c r="K10" s="2788"/>
      <c r="L10" s="2788"/>
      <c r="M10" s="2788"/>
      <c r="N10" s="2788"/>
      <c r="O10" s="2788"/>
      <c r="P10" s="2788"/>
    </row>
    <row r="11" spans="1:16" ht="15.75">
      <c r="A11" s="2606"/>
      <c r="B11" s="2599" t="e">
        <f t="shared" ca="1" si="1"/>
        <v>#REF!</v>
      </c>
      <c r="C11" s="2142" t="s">
        <v>2074</v>
      </c>
      <c r="D11" s="2788"/>
      <c r="E11" s="2609" t="e">
        <f t="shared" ca="1" si="0"/>
        <v>#REF!</v>
      </c>
      <c r="F11" s="2788"/>
      <c r="G11" s="2788"/>
      <c r="H11" s="2788"/>
      <c r="I11" s="2788"/>
      <c r="J11" s="2788"/>
      <c r="K11" s="2788"/>
      <c r="L11" s="2788"/>
      <c r="M11" s="2788"/>
      <c r="N11" s="2788"/>
      <c r="O11" s="2788"/>
      <c r="P11" s="2788"/>
    </row>
    <row r="12" spans="1:16" ht="15.75">
      <c r="A12" s="2606"/>
      <c r="B12" s="2599" t="e">
        <f t="shared" ca="1" si="1"/>
        <v>#REF!</v>
      </c>
      <c r="C12" s="2142" t="s">
        <v>2074</v>
      </c>
      <c r="D12" s="2788"/>
      <c r="E12" s="2609" t="e">
        <f t="shared" ca="1" si="0"/>
        <v>#REF!</v>
      </c>
      <c r="F12" s="2788"/>
      <c r="G12" s="2788"/>
      <c r="H12" s="2788"/>
      <c r="I12" s="2788"/>
      <c r="J12" s="2788"/>
      <c r="K12" s="2788"/>
      <c r="L12" s="2788"/>
      <c r="M12" s="2788"/>
      <c r="N12" s="2788"/>
      <c r="O12" s="2788"/>
      <c r="P12" s="2788"/>
    </row>
    <row r="13" spans="1:16" ht="15.75">
      <c r="A13" s="2606"/>
      <c r="B13" s="2599" t="e">
        <f t="shared" ca="1" si="1"/>
        <v>#REF!</v>
      </c>
      <c r="C13" s="2142" t="s">
        <v>2074</v>
      </c>
      <c r="D13" s="2788"/>
      <c r="E13" s="2609"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771" t="s">
        <v>2609</v>
      </c>
      <c r="B20" s="3764" t="s">
        <v>2630</v>
      </c>
      <c r="C20" s="3098" t="s">
        <v>2441</v>
      </c>
      <c r="D20" s="3099"/>
      <c r="E20" s="3100">
        <v>1</v>
      </c>
      <c r="F20" s="3101" t="s">
        <v>2442</v>
      </c>
      <c r="G20" s="3101"/>
    </row>
    <row r="21" spans="1:13" ht="19.5" customHeight="1">
      <c r="A21" s="3772"/>
      <c r="B21" s="3765"/>
      <c r="C21" s="3102" t="s">
        <v>2443</v>
      </c>
      <c r="D21" s="3103"/>
      <c r="E21" s="3104">
        <v>1</v>
      </c>
      <c r="F21" s="3101" t="s">
        <v>2444</v>
      </c>
      <c r="G21" s="3101"/>
    </row>
    <row r="22" spans="1:13" ht="19.5" customHeight="1">
      <c r="A22" s="3772"/>
      <c r="B22" s="3765"/>
      <c r="C22" s="3102" t="s">
        <v>2445</v>
      </c>
      <c r="D22" s="3103"/>
      <c r="E22" s="3104">
        <v>0.9</v>
      </c>
      <c r="F22" s="3101" t="s">
        <v>2446</v>
      </c>
      <c r="G22" s="3101"/>
    </row>
    <row r="23" spans="1:13" ht="19.5" customHeight="1">
      <c r="A23" s="3772"/>
      <c r="B23" s="3765"/>
      <c r="C23" s="3102" t="s">
        <v>2447</v>
      </c>
      <c r="D23" s="3103"/>
      <c r="E23" s="3104">
        <v>0.9</v>
      </c>
      <c r="F23" s="3101" t="s">
        <v>2448</v>
      </c>
      <c r="G23" s="3101"/>
    </row>
    <row r="24" spans="1:13" ht="19.5" customHeight="1">
      <c r="A24" s="3772"/>
      <c r="B24" s="3765"/>
      <c r="C24" s="3102" t="s">
        <v>2449</v>
      </c>
      <c r="D24" s="3103"/>
      <c r="E24" s="3104">
        <v>0.8</v>
      </c>
      <c r="F24" s="3101" t="s">
        <v>2450</v>
      </c>
      <c r="G24" s="3101"/>
    </row>
    <row r="25" spans="1:13" ht="19.5" customHeight="1" thickBot="1">
      <c r="A25" s="3773"/>
      <c r="B25" s="3766"/>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767" t="s">
        <v>2633</v>
      </c>
      <c r="B27" s="3764" t="s">
        <v>2614</v>
      </c>
      <c r="C27" s="3098" t="s">
        <v>2454</v>
      </c>
      <c r="D27" s="3099"/>
      <c r="E27" s="3100">
        <v>1</v>
      </c>
      <c r="F27" s="3101" t="s">
        <v>2455</v>
      </c>
      <c r="G27" s="3101"/>
    </row>
    <row r="28" spans="1:13" ht="19.5" customHeight="1">
      <c r="A28" s="3768"/>
      <c r="B28" s="3765"/>
      <c r="C28" s="3102" t="s">
        <v>2456</v>
      </c>
      <c r="D28" s="3103"/>
      <c r="E28" s="3104">
        <v>1</v>
      </c>
      <c r="F28" s="3101" t="s">
        <v>2457</v>
      </c>
      <c r="G28" s="3101"/>
    </row>
    <row r="29" spans="1:13" ht="19.5" customHeight="1">
      <c r="A29" s="3768"/>
      <c r="B29" s="3765"/>
      <c r="C29" s="3102" t="s">
        <v>2458</v>
      </c>
      <c r="D29" s="3103"/>
      <c r="E29" s="3104">
        <v>0.8</v>
      </c>
      <c r="F29" s="3101" t="s">
        <v>2459</v>
      </c>
      <c r="G29" s="3101"/>
    </row>
    <row r="30" spans="1:13" ht="19.5" customHeight="1">
      <c r="A30" s="3768"/>
      <c r="B30" s="3765"/>
      <c r="C30" s="3102" t="s">
        <v>2460</v>
      </c>
      <c r="D30" s="3103"/>
      <c r="E30" s="3104">
        <v>0.8</v>
      </c>
      <c r="F30" s="3101" t="s">
        <v>2461</v>
      </c>
      <c r="G30" s="3101"/>
    </row>
    <row r="31" spans="1:13" ht="19.5" customHeight="1">
      <c r="A31" s="3768"/>
      <c r="B31" s="3765"/>
      <c r="C31" s="3102" t="s">
        <v>2462</v>
      </c>
      <c r="D31" s="3103"/>
      <c r="E31" s="3104">
        <v>0.8</v>
      </c>
      <c r="F31" s="3101" t="s">
        <v>2463</v>
      </c>
      <c r="G31" s="3101"/>
    </row>
    <row r="32" spans="1:13" ht="19.5" customHeight="1">
      <c r="A32" s="3768"/>
      <c r="B32" s="3765"/>
      <c r="C32" s="3102" t="s">
        <v>2464</v>
      </c>
      <c r="D32" s="3103"/>
      <c r="E32" s="3104">
        <v>0.7</v>
      </c>
      <c r="F32" s="3101" t="s">
        <v>2465</v>
      </c>
      <c r="G32" s="3101"/>
    </row>
    <row r="33" spans="1:7" ht="19.5" customHeight="1">
      <c r="A33" s="3768"/>
      <c r="B33" s="3765"/>
      <c r="C33" s="3102" t="s">
        <v>2466</v>
      </c>
      <c r="D33" s="3103"/>
      <c r="E33" s="3104">
        <v>0.8</v>
      </c>
      <c r="F33" s="3101" t="s">
        <v>2467</v>
      </c>
      <c r="G33" s="3101"/>
    </row>
    <row r="34" spans="1:7" ht="19.5" customHeight="1">
      <c r="A34" s="3768"/>
      <c r="B34" s="3765"/>
      <c r="C34" s="3102" t="s">
        <v>2468</v>
      </c>
      <c r="D34" s="3103"/>
      <c r="E34" s="3104">
        <v>0.6</v>
      </c>
      <c r="F34" s="3101" t="s">
        <v>2469</v>
      </c>
      <c r="G34" s="3101"/>
    </row>
    <row r="35" spans="1:7" ht="19.5" customHeight="1">
      <c r="A35" s="3768"/>
      <c r="B35" s="3765"/>
      <c r="C35" s="3102" t="s">
        <v>2470</v>
      </c>
      <c r="D35" s="3103"/>
      <c r="E35" s="3104">
        <v>0.2</v>
      </c>
      <c r="F35" s="3101" t="s">
        <v>2471</v>
      </c>
      <c r="G35" s="3101"/>
    </row>
    <row r="36" spans="1:7" ht="19.5" customHeight="1">
      <c r="A36" s="3768"/>
      <c r="B36" s="3765"/>
      <c r="C36" s="3102" t="s">
        <v>2472</v>
      </c>
      <c r="D36" s="3103"/>
      <c r="E36" s="3104">
        <v>0.2</v>
      </c>
      <c r="F36" s="3101" t="s">
        <v>2473</v>
      </c>
      <c r="G36" s="3101"/>
    </row>
    <row r="37" spans="1:7" ht="19.5" customHeight="1">
      <c r="A37" s="3768"/>
      <c r="B37" s="3770" t="s">
        <v>2634</v>
      </c>
      <c r="C37" s="3102" t="s">
        <v>2474</v>
      </c>
      <c r="D37" s="3103"/>
      <c r="E37" s="3104">
        <v>0.6</v>
      </c>
      <c r="F37" s="3101" t="s">
        <v>2475</v>
      </c>
      <c r="G37" s="3101"/>
    </row>
    <row r="38" spans="1:7" ht="19.5" customHeight="1">
      <c r="A38" s="3768"/>
      <c r="B38" s="3765"/>
      <c r="C38" s="3102" t="s">
        <v>2476</v>
      </c>
      <c r="D38" s="3103"/>
      <c r="E38" s="3104">
        <v>0.6</v>
      </c>
      <c r="F38" s="3101" t="s">
        <v>2477</v>
      </c>
      <c r="G38" s="3101"/>
    </row>
    <row r="39" spans="1:7" ht="19.5" customHeight="1" thickBot="1">
      <c r="A39" s="3769"/>
      <c r="B39" s="3766"/>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771" t="s">
        <v>2612</v>
      </c>
      <c r="B41" s="3764" t="s">
        <v>2636</v>
      </c>
      <c r="C41" s="3098" t="s">
        <v>2481</v>
      </c>
      <c r="D41" s="3099"/>
      <c r="E41" s="3100">
        <v>1</v>
      </c>
      <c r="F41" s="3101" t="s">
        <v>2482</v>
      </c>
      <c r="G41" s="3101"/>
    </row>
    <row r="42" spans="1:7" ht="19.5" customHeight="1">
      <c r="A42" s="3772"/>
      <c r="B42" s="3765"/>
      <c r="C42" s="3102" t="s">
        <v>2483</v>
      </c>
      <c r="D42" s="3103"/>
      <c r="E42" s="3104">
        <v>1</v>
      </c>
      <c r="F42" s="3101" t="s">
        <v>2484</v>
      </c>
      <c r="G42" s="3101"/>
    </row>
    <row r="43" spans="1:7" ht="19.5" customHeight="1">
      <c r="A43" s="3772"/>
      <c r="B43" s="3774"/>
      <c r="C43" s="3102" t="s">
        <v>2485</v>
      </c>
      <c r="D43" s="3103"/>
      <c r="E43" s="3104">
        <v>1.5</v>
      </c>
      <c r="F43" s="3101" t="s">
        <v>2486</v>
      </c>
      <c r="G43" s="3101"/>
    </row>
    <row r="44" spans="1:7" ht="19.5" customHeight="1">
      <c r="A44" s="3772"/>
      <c r="B44" s="3113" t="s">
        <v>2637</v>
      </c>
      <c r="C44" s="3102" t="s">
        <v>2638</v>
      </c>
      <c r="D44" s="3103"/>
      <c r="E44" s="3104">
        <v>2</v>
      </c>
      <c r="F44" s="3101" t="s">
        <v>2487</v>
      </c>
      <c r="G44" s="3101"/>
    </row>
    <row r="45" spans="1:7" ht="19.5" customHeight="1">
      <c r="A45" s="3772"/>
      <c r="B45" s="3770" t="s">
        <v>2639</v>
      </c>
      <c r="C45" s="3102" t="s">
        <v>2488</v>
      </c>
      <c r="D45" s="3103"/>
      <c r="E45" s="3104">
        <v>1</v>
      </c>
      <c r="F45" s="3101" t="s">
        <v>2489</v>
      </c>
      <c r="G45" s="3101"/>
    </row>
    <row r="46" spans="1:7" ht="19.5" customHeight="1">
      <c r="A46" s="3772"/>
      <c r="B46" s="3765"/>
      <c r="C46" s="3102" t="s">
        <v>2490</v>
      </c>
      <c r="D46" s="3103"/>
      <c r="E46" s="3104">
        <v>1</v>
      </c>
      <c r="F46" s="3101" t="s">
        <v>2491</v>
      </c>
      <c r="G46" s="3101"/>
    </row>
    <row r="47" spans="1:7" ht="19.5" customHeight="1">
      <c r="A47" s="3772"/>
      <c r="B47" s="3765"/>
      <c r="C47" s="3102" t="s">
        <v>2492</v>
      </c>
      <c r="D47" s="3103"/>
      <c r="E47" s="3104">
        <v>1</v>
      </c>
      <c r="F47" s="3101" t="s">
        <v>2493</v>
      </c>
      <c r="G47" s="3101"/>
    </row>
    <row r="48" spans="1:7" ht="19.5" customHeight="1">
      <c r="A48" s="3772"/>
      <c r="B48" s="3765"/>
      <c r="C48" s="3102" t="s">
        <v>2494</v>
      </c>
      <c r="D48" s="3103"/>
      <c r="E48" s="3104">
        <v>1</v>
      </c>
      <c r="F48" s="3101" t="s">
        <v>2495</v>
      </c>
      <c r="G48" s="3101"/>
    </row>
    <row r="49" spans="1:7" ht="19.5" customHeight="1">
      <c r="A49" s="3772"/>
      <c r="B49" s="3765"/>
      <c r="C49" s="3102" t="s">
        <v>2496</v>
      </c>
      <c r="D49" s="3103"/>
      <c r="E49" s="3104">
        <v>1</v>
      </c>
      <c r="F49" s="3101" t="s">
        <v>2497</v>
      </c>
      <c r="G49" s="3101"/>
    </row>
    <row r="50" spans="1:7" ht="19.5" customHeight="1">
      <c r="A50" s="3772"/>
      <c r="B50" s="3765"/>
      <c r="C50" s="3102" t="s">
        <v>2498</v>
      </c>
      <c r="D50" s="3103"/>
      <c r="E50" s="3104">
        <v>1</v>
      </c>
      <c r="F50" s="3101" t="s">
        <v>2499</v>
      </c>
      <c r="G50" s="3101"/>
    </row>
    <row r="51" spans="1:7" ht="19.5" customHeight="1" thickBot="1">
      <c r="A51" s="3773"/>
      <c r="B51" s="3766"/>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770" t="s">
        <v>2653</v>
      </c>
      <c r="C73" s="3087" t="s">
        <v>2654</v>
      </c>
      <c r="D73" s="3087" t="s">
        <v>2655</v>
      </c>
      <c r="E73" s="3113">
        <v>0.2</v>
      </c>
      <c r="F73" s="3113">
        <v>25</v>
      </c>
    </row>
    <row r="74" spans="1:7" ht="24">
      <c r="A74" s="3113">
        <v>2</v>
      </c>
      <c r="B74" s="3765"/>
      <c r="C74" s="3087" t="s">
        <v>2656</v>
      </c>
      <c r="D74" s="3087" t="s">
        <v>2657</v>
      </c>
      <c r="E74" s="3113">
        <v>0.2</v>
      </c>
      <c r="F74" s="3113">
        <v>25</v>
      </c>
    </row>
    <row r="75" spans="1:7" ht="24">
      <c r="A75" s="3113">
        <v>3</v>
      </c>
      <c r="B75" s="3765"/>
      <c r="C75" s="3087" t="s">
        <v>2658</v>
      </c>
      <c r="D75" s="3087" t="s">
        <v>2659</v>
      </c>
      <c r="E75" s="3113">
        <v>0.2</v>
      </c>
      <c r="F75" s="3113">
        <v>25</v>
      </c>
    </row>
    <row r="76" spans="1:7" ht="13.5">
      <c r="A76" s="3113">
        <v>4</v>
      </c>
      <c r="B76" s="3765"/>
      <c r="C76" s="3087" t="s">
        <v>2660</v>
      </c>
      <c r="D76" s="3087" t="s">
        <v>2661</v>
      </c>
      <c r="E76" s="3113">
        <v>0.15</v>
      </c>
      <c r="F76" s="3113">
        <v>20</v>
      </c>
    </row>
    <row r="77" spans="1:7" ht="24">
      <c r="A77" s="3113">
        <v>5</v>
      </c>
      <c r="B77" s="3765"/>
      <c r="C77" s="3087" t="s">
        <v>2662</v>
      </c>
      <c r="D77" s="3087" t="s">
        <v>2663</v>
      </c>
      <c r="E77" s="3113">
        <v>0.15</v>
      </c>
      <c r="F77" s="3113">
        <v>20</v>
      </c>
    </row>
    <row r="78" spans="1:7" ht="24">
      <c r="A78" s="3113">
        <v>6</v>
      </c>
      <c r="B78" s="3765"/>
      <c r="C78" s="3087" t="s">
        <v>2664</v>
      </c>
      <c r="D78" s="3087" t="s">
        <v>2665</v>
      </c>
      <c r="E78" s="3113">
        <v>0.15</v>
      </c>
      <c r="F78" s="3113">
        <v>20</v>
      </c>
    </row>
    <row r="79" spans="1:7" ht="24">
      <c r="A79" s="3113">
        <v>7</v>
      </c>
      <c r="B79" s="3765"/>
      <c r="C79" s="3087" t="s">
        <v>2666</v>
      </c>
      <c r="D79" s="3087" t="s">
        <v>2667</v>
      </c>
      <c r="E79" s="3113">
        <v>0.15</v>
      </c>
      <c r="F79" s="3113">
        <v>20</v>
      </c>
    </row>
    <row r="80" spans="1:7" ht="24">
      <c r="A80" s="3113">
        <v>8</v>
      </c>
      <c r="B80" s="3765"/>
      <c r="C80" s="3087" t="s">
        <v>2668</v>
      </c>
      <c r="D80" s="3087" t="s">
        <v>2669</v>
      </c>
      <c r="E80" s="3113">
        <v>0.1</v>
      </c>
      <c r="F80" s="3113">
        <v>15</v>
      </c>
    </row>
    <row r="81" spans="1:6" ht="24">
      <c r="A81" s="3113">
        <v>9</v>
      </c>
      <c r="B81" s="3765"/>
      <c r="C81" s="3087" t="s">
        <v>2670</v>
      </c>
      <c r="D81" s="3087" t="s">
        <v>2671</v>
      </c>
      <c r="E81" s="3113">
        <v>0.1</v>
      </c>
      <c r="F81" s="3113">
        <v>15</v>
      </c>
    </row>
    <row r="82" spans="1:6" ht="24">
      <c r="A82" s="3113">
        <v>10</v>
      </c>
      <c r="B82" s="3765"/>
      <c r="C82" s="3087" t="s">
        <v>2672</v>
      </c>
      <c r="D82" s="3087" t="s">
        <v>2673</v>
      </c>
      <c r="E82" s="3113">
        <v>0.1</v>
      </c>
      <c r="F82" s="3113">
        <v>15</v>
      </c>
    </row>
    <row r="83" spans="1:6" ht="24">
      <c r="A83" s="3113">
        <v>11</v>
      </c>
      <c r="B83" s="3765"/>
      <c r="C83" s="3087" t="s">
        <v>2674</v>
      </c>
      <c r="D83" s="3087" t="s">
        <v>2675</v>
      </c>
      <c r="E83" s="3113">
        <v>0.1</v>
      </c>
      <c r="F83" s="3113">
        <v>15</v>
      </c>
    </row>
    <row r="84" spans="1:6" ht="24">
      <c r="A84" s="3113">
        <v>12</v>
      </c>
      <c r="B84" s="3765"/>
      <c r="C84" s="3087" t="s">
        <v>2676</v>
      </c>
      <c r="D84" s="3087" t="s">
        <v>2677</v>
      </c>
      <c r="E84" s="3113">
        <v>0.1</v>
      </c>
      <c r="F84" s="3113">
        <v>15</v>
      </c>
    </row>
    <row r="85" spans="1:6" ht="13.5">
      <c r="A85" s="3113">
        <v>13</v>
      </c>
      <c r="B85" s="3765"/>
      <c r="C85" s="3087" t="s">
        <v>2678</v>
      </c>
      <c r="D85" s="3087" t="s">
        <v>2679</v>
      </c>
      <c r="E85" s="3113">
        <v>0.1</v>
      </c>
      <c r="F85" s="3113">
        <v>15</v>
      </c>
    </row>
    <row r="86" spans="1:6" ht="13.5">
      <c r="A86" s="3113">
        <v>14</v>
      </c>
      <c r="B86" s="3765"/>
      <c r="C86" s="3087" t="s">
        <v>2680</v>
      </c>
      <c r="D86" s="3087" t="s">
        <v>2681</v>
      </c>
      <c r="E86" s="3113">
        <v>0.1</v>
      </c>
      <c r="F86" s="3113">
        <v>15</v>
      </c>
    </row>
    <row r="87" spans="1:6" ht="13.5">
      <c r="A87" s="3113">
        <v>15</v>
      </c>
      <c r="B87" s="3765"/>
      <c r="C87" s="3087" t="s">
        <v>2682</v>
      </c>
      <c r="D87" s="3087" t="s">
        <v>2683</v>
      </c>
      <c r="E87" s="3113">
        <v>0.1</v>
      </c>
      <c r="F87" s="3113">
        <v>15</v>
      </c>
    </row>
    <row r="88" spans="1:6" ht="24">
      <c r="A88" s="3113">
        <v>16</v>
      </c>
      <c r="B88" s="3765"/>
      <c r="C88" s="3087" t="s">
        <v>2684</v>
      </c>
      <c r="D88" s="3087" t="s">
        <v>2685</v>
      </c>
      <c r="E88" s="3113">
        <v>0.1</v>
      </c>
      <c r="F88" s="3113">
        <v>15</v>
      </c>
    </row>
    <row r="89" spans="1:6" ht="24">
      <c r="A89" s="3113">
        <v>17</v>
      </c>
      <c r="B89" s="3774"/>
      <c r="C89" s="3087" t="s">
        <v>2686</v>
      </c>
      <c r="D89" s="3087" t="s">
        <v>2687</v>
      </c>
      <c r="E89" s="3113">
        <v>0.1</v>
      </c>
      <c r="F89" s="3113">
        <v>15</v>
      </c>
    </row>
    <row r="90" spans="1:6" ht="13.5">
      <c r="A90" s="3113">
        <v>18</v>
      </c>
      <c r="B90" s="3770" t="s">
        <v>2688</v>
      </c>
      <c r="C90" s="3087" t="s">
        <v>2689</v>
      </c>
      <c r="D90" s="3087" t="s">
        <v>2690</v>
      </c>
      <c r="E90" s="3113">
        <v>0.2</v>
      </c>
      <c r="F90" s="3113">
        <v>25</v>
      </c>
    </row>
    <row r="91" spans="1:6" ht="24">
      <c r="A91" s="3113">
        <v>19</v>
      </c>
      <c r="B91" s="3765"/>
      <c r="C91" s="3087" t="s">
        <v>2691</v>
      </c>
      <c r="D91" s="3087" t="s">
        <v>2692</v>
      </c>
      <c r="E91" s="3113">
        <v>0.2</v>
      </c>
      <c r="F91" s="3113">
        <v>25</v>
      </c>
    </row>
    <row r="92" spans="1:6" ht="13.5">
      <c r="A92" s="3113">
        <v>20</v>
      </c>
      <c r="B92" s="3765"/>
      <c r="C92" s="3087" t="s">
        <v>2693</v>
      </c>
      <c r="D92" s="3087" t="s">
        <v>2694</v>
      </c>
      <c r="E92" s="3113">
        <v>0.15</v>
      </c>
      <c r="F92" s="3113">
        <v>20</v>
      </c>
    </row>
    <row r="93" spans="1:6" ht="13.5">
      <c r="A93" s="3113">
        <v>21</v>
      </c>
      <c r="B93" s="3765"/>
      <c r="C93" s="3087" t="s">
        <v>2695</v>
      </c>
      <c r="D93" s="3087" t="s">
        <v>2696</v>
      </c>
      <c r="E93" s="3113">
        <v>0.15</v>
      </c>
      <c r="F93" s="3113">
        <v>20</v>
      </c>
    </row>
    <row r="94" spans="1:6" ht="13.5">
      <c r="A94" s="3113">
        <v>22</v>
      </c>
      <c r="B94" s="3765"/>
      <c r="C94" s="3087" t="s">
        <v>2697</v>
      </c>
      <c r="D94" s="3087" t="s">
        <v>2698</v>
      </c>
      <c r="E94" s="3113">
        <v>0.15</v>
      </c>
      <c r="F94" s="3113">
        <v>20</v>
      </c>
    </row>
    <row r="95" spans="1:6" ht="36">
      <c r="A95" s="3113">
        <v>23</v>
      </c>
      <c r="B95" s="3765"/>
      <c r="C95" s="3087" t="s">
        <v>2699</v>
      </c>
      <c r="D95" s="3087" t="s">
        <v>2700</v>
      </c>
      <c r="E95" s="3113">
        <v>0.15</v>
      </c>
      <c r="F95" s="3113">
        <v>20</v>
      </c>
    </row>
    <row r="96" spans="1:6" ht="13.5">
      <c r="A96" s="3113">
        <v>24</v>
      </c>
      <c r="B96" s="3765"/>
      <c r="C96" s="3087" t="s">
        <v>2701</v>
      </c>
      <c r="D96" s="3087" t="s">
        <v>2702</v>
      </c>
      <c r="E96" s="3113">
        <v>0.1</v>
      </c>
      <c r="F96" s="3113">
        <v>15</v>
      </c>
    </row>
    <row r="97" spans="1:6" ht="13.5">
      <c r="A97" s="3113">
        <v>25</v>
      </c>
      <c r="B97" s="3765"/>
      <c r="C97" s="3087" t="s">
        <v>2703</v>
      </c>
      <c r="D97" s="3087" t="s">
        <v>2704</v>
      </c>
      <c r="E97" s="3113">
        <v>0.1</v>
      </c>
      <c r="F97" s="3113">
        <v>15</v>
      </c>
    </row>
    <row r="98" spans="1:6" ht="24">
      <c r="A98" s="3113">
        <v>26</v>
      </c>
      <c r="B98" s="3765"/>
      <c r="C98" s="3087" t="s">
        <v>2705</v>
      </c>
      <c r="D98" s="3087" t="s">
        <v>2706</v>
      </c>
      <c r="E98" s="3113">
        <v>0.1</v>
      </c>
      <c r="F98" s="3113">
        <v>15</v>
      </c>
    </row>
    <row r="99" spans="1:6" ht="24">
      <c r="A99" s="3113">
        <v>27</v>
      </c>
      <c r="B99" s="3765"/>
      <c r="C99" s="3087" t="s">
        <v>2707</v>
      </c>
      <c r="D99" s="3087" t="s">
        <v>2708</v>
      </c>
      <c r="E99" s="3113">
        <v>0.1</v>
      </c>
      <c r="F99" s="3113">
        <v>15</v>
      </c>
    </row>
    <row r="100" spans="1:6" ht="13.5">
      <c r="A100" s="3113">
        <v>28</v>
      </c>
      <c r="B100" s="3765"/>
      <c r="C100" s="3087" t="s">
        <v>2709</v>
      </c>
      <c r="D100" s="3087" t="s">
        <v>2710</v>
      </c>
      <c r="E100" s="3113">
        <v>0.1</v>
      </c>
      <c r="F100" s="3113">
        <v>15</v>
      </c>
    </row>
    <row r="101" spans="1:6" ht="13.5">
      <c r="A101" s="3113">
        <v>29</v>
      </c>
      <c r="B101" s="3765"/>
      <c r="C101" s="3087" t="s">
        <v>2711</v>
      </c>
      <c r="D101" s="3087" t="s">
        <v>2712</v>
      </c>
      <c r="E101" s="3113">
        <v>0.1</v>
      </c>
      <c r="F101" s="3113">
        <v>15</v>
      </c>
    </row>
    <row r="102" spans="1:6" ht="13.5">
      <c r="A102" s="3113">
        <v>30</v>
      </c>
      <c r="B102" s="3765"/>
      <c r="C102" s="3087" t="s">
        <v>2713</v>
      </c>
      <c r="D102" s="3087" t="s">
        <v>2714</v>
      </c>
      <c r="E102" s="3113">
        <v>0.1</v>
      </c>
      <c r="F102" s="3113">
        <v>15</v>
      </c>
    </row>
    <row r="103" spans="1:6" ht="24">
      <c r="A103" s="3113">
        <v>31</v>
      </c>
      <c r="B103" s="3765"/>
      <c r="C103" s="3087" t="s">
        <v>2715</v>
      </c>
      <c r="D103" s="3087" t="s">
        <v>2716</v>
      </c>
      <c r="E103" s="3113">
        <v>0.1</v>
      </c>
      <c r="F103" s="3113">
        <v>15</v>
      </c>
    </row>
    <row r="104" spans="1:6" ht="24">
      <c r="A104" s="3113">
        <v>32</v>
      </c>
      <c r="B104" s="3765"/>
      <c r="C104" s="3087" t="s">
        <v>2717</v>
      </c>
      <c r="D104" s="3087" t="s">
        <v>2718</v>
      </c>
      <c r="E104" s="3113">
        <v>0.1</v>
      </c>
      <c r="F104" s="3113">
        <v>15</v>
      </c>
    </row>
    <row r="105" spans="1:6" ht="24">
      <c r="A105" s="3113">
        <v>33</v>
      </c>
      <c r="B105" s="3765"/>
      <c r="C105" s="3087" t="s">
        <v>2719</v>
      </c>
      <c r="D105" s="3087" t="s">
        <v>2720</v>
      </c>
      <c r="E105" s="3113">
        <v>0.1</v>
      </c>
      <c r="F105" s="3113">
        <v>15</v>
      </c>
    </row>
    <row r="106" spans="1:6" ht="24">
      <c r="A106" s="3113">
        <v>34</v>
      </c>
      <c r="B106" s="3774"/>
      <c r="C106" s="3087" t="s">
        <v>2721</v>
      </c>
      <c r="D106" s="3087" t="s">
        <v>2722</v>
      </c>
      <c r="E106" s="3113">
        <v>0.1</v>
      </c>
      <c r="F106" s="3113">
        <v>15</v>
      </c>
    </row>
    <row r="107" spans="1:6" ht="24">
      <c r="A107" s="3113">
        <v>35</v>
      </c>
      <c r="B107" s="3770" t="s">
        <v>2723</v>
      </c>
      <c r="C107" s="3113" t="s">
        <v>2724</v>
      </c>
      <c r="D107" s="3087" t="s">
        <v>2725</v>
      </c>
      <c r="E107" s="3113">
        <v>0.15</v>
      </c>
      <c r="F107" s="3113">
        <v>20</v>
      </c>
    </row>
    <row r="108" spans="1:6" ht="13.5">
      <c r="A108" s="3113">
        <v>36</v>
      </c>
      <c r="B108" s="3765"/>
      <c r="C108" s="3113" t="s">
        <v>2726</v>
      </c>
      <c r="D108" s="3087" t="s">
        <v>2727</v>
      </c>
      <c r="E108" s="3113">
        <v>0.15</v>
      </c>
      <c r="F108" s="3113">
        <v>20</v>
      </c>
    </row>
    <row r="109" spans="1:6" ht="13.5">
      <c r="A109" s="3113">
        <v>37</v>
      </c>
      <c r="B109" s="3765"/>
      <c r="C109" s="3113" t="s">
        <v>2728</v>
      </c>
      <c r="D109" s="3087" t="s">
        <v>2729</v>
      </c>
      <c r="E109" s="3113">
        <v>0.15</v>
      </c>
      <c r="F109" s="3113">
        <v>20</v>
      </c>
    </row>
    <row r="110" spans="1:6" ht="13.5">
      <c r="A110" s="3113">
        <v>38</v>
      </c>
      <c r="B110" s="3765"/>
      <c r="C110" s="3113" t="s">
        <v>2730</v>
      </c>
      <c r="D110" s="3087" t="s">
        <v>2731</v>
      </c>
      <c r="E110" s="3113">
        <v>0.1</v>
      </c>
      <c r="F110" s="3113">
        <v>15</v>
      </c>
    </row>
    <row r="111" spans="1:6" ht="24">
      <c r="A111" s="3113">
        <v>39</v>
      </c>
      <c r="B111" s="3765"/>
      <c r="C111" s="3113" t="s">
        <v>2732</v>
      </c>
      <c r="D111" s="3087" t="s">
        <v>2733</v>
      </c>
      <c r="E111" s="3113">
        <v>0.1</v>
      </c>
      <c r="F111" s="3113">
        <v>15</v>
      </c>
    </row>
    <row r="112" spans="1:6" ht="24">
      <c r="A112" s="3113">
        <v>40</v>
      </c>
      <c r="B112" s="3774"/>
      <c r="C112" s="3113" t="s">
        <v>2734</v>
      </c>
      <c r="D112" s="3087" t="s">
        <v>2735</v>
      </c>
      <c r="E112" s="3113">
        <v>0.1</v>
      </c>
      <c r="F112" s="3113">
        <v>15</v>
      </c>
    </row>
    <row r="113" spans="1:6" ht="13.5">
      <c r="A113" s="3113">
        <v>41</v>
      </c>
      <c r="B113" s="3775" t="s">
        <v>2736</v>
      </c>
      <c r="C113" s="3113" t="s">
        <v>2737</v>
      </c>
      <c r="D113" s="3087" t="s">
        <v>2738</v>
      </c>
      <c r="E113" s="3113">
        <v>0.1</v>
      </c>
      <c r="F113" s="3113">
        <v>15</v>
      </c>
    </row>
    <row r="114" spans="1:6" ht="13.5">
      <c r="A114" s="3113">
        <v>42</v>
      </c>
      <c r="B114" s="3775"/>
      <c r="C114" s="3113" t="s">
        <v>2739</v>
      </c>
      <c r="D114" s="3087" t="s">
        <v>2740</v>
      </c>
      <c r="E114" s="3113">
        <v>0.1</v>
      </c>
      <c r="F114" s="3113">
        <v>15</v>
      </c>
    </row>
    <row r="115" spans="1:6" ht="24">
      <c r="A115" s="3113">
        <v>43</v>
      </c>
      <c r="B115" s="3775"/>
      <c r="C115" s="3113" t="s">
        <v>2741</v>
      </c>
      <c r="D115" s="3087" t="s">
        <v>2742</v>
      </c>
      <c r="E115" s="3113">
        <v>0.1</v>
      </c>
      <c r="F115" s="3113">
        <v>15</v>
      </c>
    </row>
    <row r="116" spans="1:6" ht="13.5">
      <c r="A116" s="3113">
        <v>44</v>
      </c>
      <c r="B116" s="3770" t="s">
        <v>2743</v>
      </c>
      <c r="C116" s="3113" t="s">
        <v>2744</v>
      </c>
      <c r="D116" s="3087" t="s">
        <v>2745</v>
      </c>
      <c r="E116" s="3113">
        <v>0.1</v>
      </c>
      <c r="F116" s="3113">
        <v>15</v>
      </c>
    </row>
    <row r="117" spans="1:6" ht="24">
      <c r="A117" s="3113">
        <v>45</v>
      </c>
      <c r="B117" s="3774"/>
      <c r="C117" s="3087" t="s">
        <v>2746</v>
      </c>
      <c r="D117" s="3087" t="s">
        <v>2747</v>
      </c>
      <c r="E117" s="3113">
        <v>0.1</v>
      </c>
      <c r="F117" s="3113">
        <v>15</v>
      </c>
    </row>
    <row r="118" spans="1:6" ht="24">
      <c r="A118" s="3113">
        <v>46</v>
      </c>
      <c r="B118" s="3770" t="s">
        <v>2748</v>
      </c>
      <c r="C118" s="3113" t="s">
        <v>2749</v>
      </c>
      <c r="D118" s="3087" t="s">
        <v>2750</v>
      </c>
      <c r="E118" s="3113">
        <v>0.1</v>
      </c>
      <c r="F118" s="3113">
        <v>15</v>
      </c>
    </row>
    <row r="119" spans="1:6" ht="24">
      <c r="A119" s="3113">
        <v>47</v>
      </c>
      <c r="B119" s="3774"/>
      <c r="C119" s="3113" t="s">
        <v>2751</v>
      </c>
      <c r="D119" s="3087" t="s">
        <v>2752</v>
      </c>
      <c r="E119" s="3113">
        <v>0.1</v>
      </c>
      <c r="F119" s="3113">
        <v>15</v>
      </c>
    </row>
    <row r="120" spans="1:6" ht="13.5">
      <c r="A120" s="3113">
        <v>48</v>
      </c>
      <c r="B120" s="3770" t="s">
        <v>2753</v>
      </c>
      <c r="C120" s="3113" t="s">
        <v>2754</v>
      </c>
      <c r="D120" s="3087" t="s">
        <v>2755</v>
      </c>
      <c r="E120" s="3113">
        <v>0.1</v>
      </c>
      <c r="F120" s="3113">
        <v>15</v>
      </c>
    </row>
    <row r="121" spans="1:6" ht="13.5">
      <c r="A121" s="3113">
        <v>49</v>
      </c>
      <c r="B121" s="3774"/>
      <c r="C121" s="3113" t="s">
        <v>2756</v>
      </c>
      <c r="D121" s="3087" t="s">
        <v>2757</v>
      </c>
      <c r="E121" s="3113">
        <v>0.1</v>
      </c>
      <c r="F121" s="3113">
        <v>15</v>
      </c>
    </row>
    <row r="122" spans="1:6" ht="24">
      <c r="A122" s="3113">
        <v>50</v>
      </c>
      <c r="B122" s="3775" t="s">
        <v>2758</v>
      </c>
      <c r="C122" s="3113" t="s">
        <v>2759</v>
      </c>
      <c r="D122" s="3087" t="s">
        <v>2760</v>
      </c>
      <c r="E122" s="3113">
        <v>0.1</v>
      </c>
      <c r="F122" s="3113">
        <v>15</v>
      </c>
    </row>
    <row r="123" spans="1:6" ht="24">
      <c r="A123" s="3113">
        <v>51</v>
      </c>
      <c r="B123" s="3775"/>
      <c r="C123" s="3113" t="s">
        <v>2761</v>
      </c>
      <c r="D123" s="3087" t="s">
        <v>2762</v>
      </c>
      <c r="E123" s="3113">
        <v>0.1</v>
      </c>
      <c r="F123" s="3113">
        <v>15</v>
      </c>
    </row>
    <row r="124" spans="1:6" ht="24">
      <c r="A124" s="3113">
        <v>52</v>
      </c>
      <c r="B124" s="3775" t="s">
        <v>2763</v>
      </c>
      <c r="C124" s="3113" t="s">
        <v>2764</v>
      </c>
      <c r="D124" s="3087" t="s">
        <v>2765</v>
      </c>
      <c r="E124" s="3113">
        <v>0.1</v>
      </c>
      <c r="F124" s="3113">
        <v>15</v>
      </c>
    </row>
    <row r="125" spans="1:6" ht="24">
      <c r="A125" s="3113">
        <v>53</v>
      </c>
      <c r="B125" s="3775"/>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775" t="s">
        <v>2771</v>
      </c>
      <c r="C127" s="3113" t="s">
        <v>2772</v>
      </c>
      <c r="D127" s="3087" t="s">
        <v>2773</v>
      </c>
      <c r="E127" s="3113">
        <v>0.1</v>
      </c>
      <c r="F127" s="3113">
        <v>15</v>
      </c>
    </row>
    <row r="128" spans="1:6" ht="13.5">
      <c r="A128" s="3113">
        <v>56</v>
      </c>
      <c r="B128" s="3775"/>
      <c r="C128" s="3113" t="s">
        <v>2774</v>
      </c>
      <c r="D128" s="3087" t="s">
        <v>2775</v>
      </c>
      <c r="E128" s="3113">
        <v>0.1</v>
      </c>
      <c r="F128" s="3113">
        <v>15</v>
      </c>
    </row>
    <row r="129" spans="1:6" ht="24">
      <c r="A129" s="3113">
        <v>57</v>
      </c>
      <c r="B129" s="3775"/>
      <c r="C129" s="3113" t="s">
        <v>2776</v>
      </c>
      <c r="D129" s="3087" t="s">
        <v>2777</v>
      </c>
      <c r="E129" s="3113">
        <v>0.1</v>
      </c>
      <c r="F129" s="3113">
        <v>15</v>
      </c>
    </row>
    <row r="130" spans="1:6" ht="24">
      <c r="A130" s="3113">
        <v>58</v>
      </c>
      <c r="B130" s="3775" t="s">
        <v>2778</v>
      </c>
      <c r="C130" s="3113" t="s">
        <v>2779</v>
      </c>
      <c r="D130" s="3087" t="s">
        <v>2780</v>
      </c>
      <c r="E130" s="3113">
        <v>0.1</v>
      </c>
      <c r="F130" s="3113">
        <v>15</v>
      </c>
    </row>
    <row r="131" spans="1:6" ht="13.5">
      <c r="A131" s="3113">
        <v>59</v>
      </c>
      <c r="B131" s="3775"/>
      <c r="C131" s="3113" t="s">
        <v>2781</v>
      </c>
      <c r="D131" s="3087" t="s">
        <v>2782</v>
      </c>
      <c r="E131" s="3113">
        <v>0.1</v>
      </c>
      <c r="F131" s="3113">
        <v>15</v>
      </c>
    </row>
    <row r="132" spans="1:6" ht="13.5">
      <c r="A132" s="3113">
        <v>60</v>
      </c>
      <c r="B132" s="3770" t="s">
        <v>2783</v>
      </c>
      <c r="C132" s="3113" t="s">
        <v>2784</v>
      </c>
      <c r="D132" s="3087" t="s">
        <v>2785</v>
      </c>
      <c r="E132" s="3113">
        <v>0.1</v>
      </c>
      <c r="F132" s="3113">
        <v>15</v>
      </c>
    </row>
    <row r="133" spans="1:6" ht="13.5">
      <c r="A133" s="3113">
        <v>61</v>
      </c>
      <c r="B133" s="3774"/>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775" t="s">
        <v>2791</v>
      </c>
      <c r="C135" s="3113" t="s">
        <v>2792</v>
      </c>
      <c r="D135" s="3087" t="s">
        <v>2793</v>
      </c>
      <c r="E135" s="3113">
        <v>0.1</v>
      </c>
      <c r="F135" s="3113">
        <v>15</v>
      </c>
    </row>
    <row r="136" spans="1:6" ht="13.5">
      <c r="A136" s="3113">
        <v>64</v>
      </c>
      <c r="B136" s="3775"/>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2800</v>
      </c>
      <c r="B1" s="3122"/>
      <c r="C1" s="3122"/>
      <c r="D1" s="3122"/>
      <c r="E1" s="3122"/>
      <c r="F1" s="3122"/>
      <c r="G1" s="3122"/>
      <c r="H1" s="3122"/>
      <c r="I1" s="3122"/>
      <c r="J1" s="3122"/>
      <c r="K1" s="3122"/>
      <c r="L1" s="3122"/>
      <c r="M1" s="3122"/>
      <c r="N1" s="749"/>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50">
        <f>SUMPRODUCT((A95:A184=ROUNDDOWN(基准地价修正!G3,1))*(B94:M94=基准地价修正!G2)*(B95:M184))</f>
        <v>1.2158</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50">
        <f>SUMPRODUCT((A371:A460=ROUNDDOWN(基准地价修正!G3,1))*(B370:M370=基准地价修正!G2)*(B371:M460))</f>
        <v>1.1565000000000001</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28817</v>
      </c>
      <c r="C2" s="2" t="s">
        <v>106</v>
      </c>
      <c r="D2" s="199"/>
      <c r="E2" s="199"/>
      <c r="F2" s="199"/>
      <c r="G2" s="199"/>
    </row>
    <row r="3" spans="1:7" s="200" customFormat="1" ht="18" customHeight="1" thickBot="1">
      <c r="A3" s="203" t="s">
        <v>58</v>
      </c>
      <c r="B3" s="204">
        <f ca="1">ROUND(B2*10000/'数据-汇总表'!E3,0)</f>
        <v>33352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173</v>
      </c>
      <c r="D10" s="845">
        <f>'数据-汇总表'!E6</f>
        <v>8640.14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173</v>
      </c>
      <c r="D19" s="849">
        <f>'数据-汇总表'!E3</f>
        <v>8640.14</v>
      </c>
      <c r="E19" s="211">
        <f>'数据-取费表'!B31</f>
        <v>200</v>
      </c>
      <c r="F19" s="231"/>
      <c r="G19" s="1" t="s">
        <v>436</v>
      </c>
    </row>
    <row r="20" spans="1:7" s="214" customFormat="1" ht="13.5" customHeight="1">
      <c r="A20" s="777" t="s">
        <v>419</v>
      </c>
      <c r="B20" s="210" t="s">
        <v>77</v>
      </c>
      <c r="C20" s="232">
        <f>ROUND((C5+C19)*F20,0)</f>
        <v>208</v>
      </c>
      <c r="D20" s="232"/>
      <c r="E20" s="232"/>
      <c r="F20" s="233">
        <f>'数据-取费表'!B37</f>
        <v>0.01</v>
      </c>
      <c r="G20" s="1066"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3">
        <f ca="1">ROUND(SUM(C23:C25),0)</f>
        <v>1058</v>
      </c>
      <c r="D22" s="235">
        <f ca="1">C26</f>
        <v>2.9999999999999997E-4</v>
      </c>
      <c r="E22" s="236" t="s">
        <v>99</v>
      </c>
      <c r="F22" s="237">
        <f ca="1">'数据-取费表'!B40</f>
        <v>3.3500000000000002E-2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1044</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4">
        <f ca="1">ROUND(IF('数据-取费表'!B22&lt;=1,C20*F22*'数据-取费表'!B23/2,C20*(POWER((1+F22),'数据-取费表'!B23/2)-1)),0)</f>
        <v>5</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2099</v>
      </c>
      <c r="D27" s="235">
        <f>C29</f>
        <v>1E-3</v>
      </c>
      <c r="E27" s="236" t="s">
        <v>99</v>
      </c>
      <c r="F27" s="246">
        <f>'数据-取费表'!Q16</f>
        <v>0.1</v>
      </c>
      <c r="G27" s="247" t="s">
        <v>431</v>
      </c>
    </row>
    <row r="28" spans="1:7" s="214" customFormat="1" ht="13.5" customHeight="1">
      <c r="A28" s="780" t="s">
        <v>349</v>
      </c>
      <c r="B28" s="248" t="s">
        <v>424</v>
      </c>
      <c r="C28" s="249">
        <f>ROUND((C5+C19+C20)*F27*'数据-取费表'!B21/'数据-取费表'!B20,0)</f>
        <v>2099</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3024</v>
      </c>
      <c r="D34" s="217"/>
      <c r="E34" s="220"/>
      <c r="F34" s="257">
        <f>IF('数据-取费表'!B24=0,1,'数据-取费表'!N16)</f>
        <v>1</v>
      </c>
      <c r="G34" s="219" t="s">
        <v>89</v>
      </c>
    </row>
    <row r="35" spans="1:7" ht="13.5" customHeight="1">
      <c r="A35" s="780" t="s">
        <v>351</v>
      </c>
      <c r="B35" s="215" t="s">
        <v>33</v>
      </c>
      <c r="C35" s="220">
        <f>ROUND(C34*F35,0)</f>
        <v>91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173</v>
      </c>
      <c r="D37" s="217">
        <f>'数据-汇总表'!E3</f>
        <v>8640.14</v>
      </c>
      <c r="E37" s="249">
        <f>'数据-取费表'!B35</f>
        <v>200</v>
      </c>
      <c r="F37" s="259"/>
      <c r="G37" s="261" t="s">
        <v>92</v>
      </c>
    </row>
    <row r="38" spans="1:7" ht="13.5" customHeight="1">
      <c r="A38" s="780" t="s">
        <v>354</v>
      </c>
      <c r="B38" s="215" t="s">
        <v>36</v>
      </c>
      <c r="C38" s="220">
        <f>ROUND(C34*F38,0)</f>
        <v>60</v>
      </c>
      <c r="D38" s="220"/>
      <c r="E38" s="220"/>
      <c r="F38" s="259">
        <f>'数据-取费表'!B36</f>
        <v>0.02</v>
      </c>
      <c r="G38" s="219" t="s">
        <v>90</v>
      </c>
    </row>
    <row r="39" spans="1:7" s="214" customFormat="1" ht="13.5" customHeight="1">
      <c r="A39" s="777" t="s">
        <v>338</v>
      </c>
      <c r="B39" s="210" t="s">
        <v>77</v>
      </c>
      <c r="C39" s="232">
        <f>ROUND(C33*F20,0)</f>
        <v>33</v>
      </c>
      <c r="D39" s="232"/>
      <c r="E39" s="232"/>
      <c r="F39" s="233"/>
      <c r="G39" s="1066"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85</v>
      </c>
      <c r="D41" s="235">
        <f ca="1">C44</f>
        <v>2.9999999999999997E-4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84</v>
      </c>
      <c r="D42" s="238"/>
      <c r="E42" s="238"/>
      <c r="F42" s="239"/>
      <c r="G42" s="3659" t="s">
        <v>94</v>
      </c>
    </row>
    <row r="43" spans="1:7" ht="13.5" customHeight="1">
      <c r="A43" s="780" t="s">
        <v>347</v>
      </c>
      <c r="B43" s="215" t="s">
        <v>426</v>
      </c>
      <c r="C43" s="238">
        <f ca="1">ROUND(IF('数据-取费表'!B22&lt;=1,C39*F22*'数据-取费表'!B21/2,C39*(POWER((1+F22),'数据-取费表'!B21/2)-1)),0)</f>
        <v>1</v>
      </c>
      <c r="D43" s="238"/>
      <c r="E43" s="238"/>
      <c r="F43" s="239"/>
      <c r="G43" s="3660"/>
    </row>
    <row r="44" spans="1:7" ht="13.5" customHeight="1">
      <c r="A44" s="780" t="s">
        <v>348</v>
      </c>
      <c r="B44" s="215" t="s">
        <v>428</v>
      </c>
      <c r="C44" s="238">
        <f ca="1">ROUND(IF('数据-取费表'!B22&lt;=1,C40*F22*'数据-取费表'!B21/2,C40*(POWER((1+F22),'数据-取费表'!B21/2)-1)),4)</f>
        <v>2.9999999999999997E-4</v>
      </c>
      <c r="D44" s="238"/>
      <c r="E44" s="238"/>
      <c r="F44" s="239"/>
      <c r="G44" s="3661"/>
    </row>
    <row r="45" spans="1:7" s="214" customFormat="1" ht="13.5" customHeight="1">
      <c r="A45" s="777" t="s">
        <v>341</v>
      </c>
      <c r="B45" s="244" t="s">
        <v>85</v>
      </c>
      <c r="C45" s="245">
        <f>C46</f>
        <v>338</v>
      </c>
      <c r="D45" s="235">
        <f>C47</f>
        <v>1E-3</v>
      </c>
      <c r="E45" s="236" t="s">
        <v>102</v>
      </c>
      <c r="F45" s="246"/>
      <c r="G45" s="247" t="s">
        <v>434</v>
      </c>
    </row>
    <row r="46" spans="1:7" s="214" customFormat="1" ht="13.5" customHeight="1">
      <c r="A46" s="780" t="s">
        <v>349</v>
      </c>
      <c r="B46" s="248" t="s">
        <v>427</v>
      </c>
      <c r="C46" s="249">
        <f>ROUND((C33+C39)*F27,0)</f>
        <v>338</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4063</v>
      </c>
      <c r="D49" s="232"/>
      <c r="E49" s="232"/>
      <c r="F49" s="264"/>
      <c r="G49" s="234" t="s">
        <v>435</v>
      </c>
    </row>
    <row r="50" spans="1:7" s="258" customFormat="1" ht="24">
      <c r="A50" s="777" t="s">
        <v>344</v>
      </c>
      <c r="B50" s="210" t="s">
        <v>97</v>
      </c>
      <c r="C50" s="232"/>
      <c r="D50" s="232"/>
      <c r="E50" s="232"/>
      <c r="F50" s="264">
        <f>IF('数据-取费表'!B24=0,'数据-取费表'!N16,1)</f>
        <v>0.745</v>
      </c>
      <c r="G50" s="247" t="s">
        <v>98</v>
      </c>
    </row>
    <row r="51" spans="1:7" ht="16.5" customHeight="1">
      <c r="A51" s="777" t="s">
        <v>345</v>
      </c>
      <c r="B51" s="210" t="s">
        <v>105</v>
      </c>
      <c r="C51" s="232">
        <f ca="1">ROUND(C49*F50,0)</f>
        <v>3027</v>
      </c>
      <c r="D51" s="232"/>
      <c r="E51" s="232"/>
      <c r="F51" s="264"/>
      <c r="G51" s="234" t="s">
        <v>37</v>
      </c>
    </row>
    <row r="52" spans="1:7" s="208" customFormat="1" ht="16.5" thickBot="1">
      <c r="A52" s="265" t="s">
        <v>38</v>
      </c>
      <c r="B52" s="266"/>
      <c r="C52" s="267">
        <f ca="1">C31+C51</f>
        <v>28817</v>
      </c>
      <c r="D52" s="266"/>
      <c r="E52" s="266"/>
      <c r="F52" s="266"/>
      <c r="G52" s="268"/>
    </row>
    <row r="55" spans="1:7" ht="15">
      <c r="B55" s="270" t="s">
        <v>39</v>
      </c>
      <c r="C55" s="271"/>
    </row>
    <row r="56" spans="1:7">
      <c r="B56" s="273" t="s">
        <v>40</v>
      </c>
      <c r="C56" s="274">
        <f ca="1">ROUND(C51/C52,3)</f>
        <v>0.105</v>
      </c>
    </row>
    <row r="57" spans="1:7">
      <c r="B57" s="273" t="s">
        <v>41</v>
      </c>
      <c r="C57" s="275">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2"/>
      <c r="B4" s="3461" t="s">
        <v>917</v>
      </c>
      <c r="C4" s="3461"/>
      <c r="D4" s="3461"/>
      <c r="E4" s="1492"/>
    </row>
    <row r="5" spans="1:5" ht="16.5" thickTop="1">
      <c r="A5" s="1490"/>
      <c r="B5" s="3459" t="s">
        <v>909</v>
      </c>
      <c r="C5" s="1493" t="s">
        <v>910</v>
      </c>
      <c r="D5" s="850">
        <f ca="1">结果表!H101</f>
        <v>11426</v>
      </c>
      <c r="E5" s="1490"/>
    </row>
    <row r="6" spans="1:5" ht="15.75">
      <c r="A6" s="1490"/>
      <c r="B6" s="3459"/>
      <c r="C6" s="1493" t="s">
        <v>911</v>
      </c>
      <c r="D6" s="850" t="str">
        <f ca="1">NUMBERSTRING(INT(D5*10000),2)&amp;"元整"</f>
        <v>壹亿壹仟肆佰贰拾陆万元整</v>
      </c>
      <c r="E6" s="1490"/>
    </row>
    <row r="7" spans="1:5" ht="15.75">
      <c r="A7" s="1490"/>
      <c r="B7" s="3464"/>
      <c r="C7" s="1494" t="s">
        <v>912</v>
      </c>
      <c r="D7" s="851">
        <f ca="1">结果表!H102</f>
        <v>13224</v>
      </c>
      <c r="E7" s="1490"/>
    </row>
    <row r="8" spans="1:5" ht="15.75">
      <c r="A8" s="1490"/>
      <c r="B8" s="3465" t="str">
        <f>结果表!E103</f>
        <v>2.估价师知悉的法定优先受偿款</v>
      </c>
      <c r="C8" s="1495" t="s">
        <v>913</v>
      </c>
      <c r="D8" s="851">
        <f>结果表!H103</f>
        <v>0</v>
      </c>
      <c r="E8" s="1490"/>
    </row>
    <row r="9" spans="1:5" ht="15.75">
      <c r="A9" s="1490"/>
      <c r="B9" s="346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8" t="str">
        <f>结果表!E107</f>
        <v>3.房地产抵押价值</v>
      </c>
      <c r="C13" s="1498" t="s">
        <v>910</v>
      </c>
      <c r="D13" s="853">
        <f ca="1">结果表!H107</f>
        <v>11426</v>
      </c>
      <c r="E13" s="1490"/>
    </row>
    <row r="14" spans="1:5" ht="15.75">
      <c r="A14" s="1490"/>
      <c r="B14" s="3459"/>
      <c r="C14" s="1493" t="s">
        <v>911</v>
      </c>
      <c r="D14" s="850" t="str">
        <f ca="1">NUMBERSTRING(INT(D13*10000),2)&amp;"元整"</f>
        <v>壹亿壹仟肆佰贰拾陆万元整</v>
      </c>
      <c r="E14" s="1490"/>
    </row>
    <row r="15" spans="1:5" ht="15">
      <c r="A15" s="1490"/>
      <c r="B15" s="3464"/>
      <c r="C15" s="1494" t="s">
        <v>921</v>
      </c>
      <c r="D15" s="859">
        <f ca="1">结果表!H108</f>
        <v>13224</v>
      </c>
      <c r="E15" s="1490"/>
    </row>
    <row r="16" spans="1:5" ht="15">
      <c r="A16" s="1490"/>
      <c r="B16" s="3465" t="str">
        <f>结果表!E109</f>
        <v>——</v>
      </c>
      <c r="C16" s="1498" t="s">
        <v>922</v>
      </c>
      <c r="D16" s="1499" t="str">
        <f>结果表!H109</f>
        <v>——</v>
      </c>
      <c r="E16" s="1490"/>
    </row>
    <row r="17" spans="1:5" ht="15.75">
      <c r="A17" s="1490"/>
      <c r="B17" s="3466"/>
      <c r="C17" s="1493" t="s">
        <v>923</v>
      </c>
      <c r="D17" s="850" t="e">
        <f>NUMBERSTRING(INT(D16*10000),2)&amp;"元整"</f>
        <v>#VALUE!</v>
      </c>
      <c r="E17" s="1490"/>
    </row>
    <row r="18" spans="1:5" ht="15">
      <c r="A18" s="1490"/>
      <c r="B18" s="3467"/>
      <c r="C18" s="1494" t="s">
        <v>912</v>
      </c>
      <c r="D18" s="859" t="str">
        <f>结果表!H110</f>
        <v>——</v>
      </c>
      <c r="E18" s="1490"/>
    </row>
    <row r="19" spans="1:5" ht="15.75">
      <c r="A19" s="1490"/>
      <c r="B19" s="3458" t="str">
        <f>结果表!E111</f>
        <v>——</v>
      </c>
      <c r="C19" s="1498" t="s">
        <v>910</v>
      </c>
      <c r="D19" s="851" t="str">
        <f>结果表!H111</f>
        <v>——</v>
      </c>
      <c r="E19" s="1490"/>
    </row>
    <row r="20" spans="1:5" ht="15.75">
      <c r="A20" s="1490"/>
      <c r="B20" s="3459"/>
      <c r="C20" s="1493" t="s">
        <v>923</v>
      </c>
      <c r="D20" s="850" t="e">
        <f>NUMBERSTRING(INT(D19*10000),2)&amp;"元整"</f>
        <v>#VALUE!</v>
      </c>
      <c r="E20" s="1490"/>
    </row>
    <row r="21" spans="1:5" ht="15.75" thickBot="1">
      <c r="A21" s="1490"/>
      <c r="B21" s="3460"/>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8" t="s">
        <v>2841</v>
      </c>
      <c r="B1" s="3778"/>
      <c r="C1" s="3778"/>
      <c r="D1" s="3778"/>
      <c r="E1" s="3778"/>
      <c r="F1" s="3778"/>
      <c r="G1" s="3779"/>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776" t="s">
        <v>2868</v>
      </c>
      <c r="B3" s="3225"/>
      <c r="C3" s="3226" t="s">
        <v>2813</v>
      </c>
      <c r="D3" s="3226" t="s">
        <v>2869</v>
      </c>
      <c r="E3" s="3226" t="s">
        <v>2815</v>
      </c>
      <c r="F3" s="3226" t="s">
        <v>2870</v>
      </c>
      <c r="G3" s="3226" t="s">
        <v>2633</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777"/>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0" t="s">
        <v>3183</v>
      </c>
      <c r="B1" s="3780"/>
    </row>
    <row r="2" spans="1:7" ht="14.25" thickBot="1">
      <c r="A2" s="3250"/>
      <c r="B2" s="3250"/>
    </row>
    <row r="3" spans="1:7" ht="14.25" thickBot="1">
      <c r="A3" s="3250"/>
      <c r="B3" s="3250"/>
      <c r="C3" s="3251" t="s">
        <v>2813</v>
      </c>
      <c r="D3" s="3251" t="s">
        <v>2869</v>
      </c>
      <c r="E3" s="3251" t="s">
        <v>2815</v>
      </c>
      <c r="F3" s="3251" t="s">
        <v>2870</v>
      </c>
      <c r="G3" s="3251" t="s">
        <v>2633</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1" t="s">
        <v>3234</v>
      </c>
      <c r="B1" s="3781"/>
      <c r="C1" s="3781"/>
      <c r="D1" s="3781"/>
      <c r="E1" s="3781"/>
      <c r="F1" s="3782"/>
    </row>
    <row r="2" spans="1:6">
      <c r="A2" s="3286" t="s">
        <v>3235</v>
      </c>
      <c r="B2" s="3287"/>
      <c r="C2" s="3287"/>
      <c r="D2" s="3287"/>
      <c r="E2" s="3287"/>
      <c r="F2" s="3287"/>
    </row>
    <row r="3" spans="1:6">
      <c r="A3" s="3286" t="s">
        <v>3236</v>
      </c>
      <c r="B3" s="3287"/>
      <c r="C3" s="3287"/>
      <c r="D3" s="3287"/>
      <c r="E3" s="3287"/>
      <c r="F3" s="3288" t="s">
        <v>3237</v>
      </c>
    </row>
    <row r="4" spans="1:6">
      <c r="A4" s="3289" t="s">
        <v>672</v>
      </c>
      <c r="B4" s="3289" t="s">
        <v>673</v>
      </c>
      <c r="C4" s="3289" t="s">
        <v>21</v>
      </c>
      <c r="D4" s="3289" t="s">
        <v>674</v>
      </c>
      <c r="E4" s="3289" t="s">
        <v>3</v>
      </c>
      <c r="F4" s="3289" t="s">
        <v>3238</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6">
        <f>基准地价修正!G23</f>
        <v>45516</v>
      </c>
      <c r="B1" s="3205" t="s">
        <v>3373</v>
      </c>
      <c r="C1" s="3206"/>
      <c r="D1" s="3206"/>
      <c r="E1" s="3206"/>
      <c r="F1" s="3206"/>
      <c r="G1" s="3206"/>
      <c r="H1" s="3206"/>
      <c r="I1" s="3206"/>
      <c r="J1" s="3160"/>
      <c r="K1" s="3206" t="s">
        <v>454</v>
      </c>
      <c r="L1" s="3206"/>
      <c r="M1" s="3206"/>
      <c r="N1" s="3206"/>
      <c r="O1" s="3206"/>
      <c r="P1" s="3206"/>
      <c r="Q1" s="3160"/>
      <c r="R1" s="3783" t="s">
        <v>456</v>
      </c>
      <c r="S1" s="3784"/>
      <c r="T1" s="3784"/>
      <c r="U1" s="3784"/>
      <c r="V1" s="3784"/>
      <c r="W1" s="3784"/>
      <c r="X1" s="3160"/>
      <c r="Y1" s="3783" t="s">
        <v>457</v>
      </c>
      <c r="Z1" s="3784"/>
      <c r="AA1" s="3784"/>
      <c r="AB1" s="3784"/>
      <c r="AC1" s="3784"/>
      <c r="AD1" s="3784"/>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ROUND(AVERAGEIF(D4:D19,"&lt;&gt;0"),2)</f>
        <v>0.59</v>
      </c>
      <c r="E3" s="3146">
        <f t="shared" ref="E3:H3" si="0">ROUND(AVERAGEIF(E4:E19,"&lt;&gt;0"),2)</f>
        <v>0.36</v>
      </c>
      <c r="F3" s="3146">
        <f t="shared" si="0"/>
        <v>0.06</v>
      </c>
      <c r="G3" s="3146">
        <f t="shared" si="0"/>
        <v>0.6</v>
      </c>
      <c r="H3" s="3146">
        <f t="shared" si="0"/>
        <v>0.6</v>
      </c>
      <c r="I3" s="3146">
        <f>F3</f>
        <v>0.06</v>
      </c>
      <c r="J3" s="3147"/>
      <c r="K3" s="3148">
        <f>ROUND(AVERAGEIF(K4:K19,"&lt;&gt;0"),4)</f>
        <v>5.8999999999999999E-3</v>
      </c>
      <c r="L3" s="3149">
        <f t="shared" ref="L3:O3" si="1">ROUND(AVERAGEIF(L4:L19,"&lt;&gt;0"),4)</f>
        <v>3.5999999999999999E-3</v>
      </c>
      <c r="M3" s="3149">
        <f t="shared" si="1"/>
        <v>5.9999999999999995E-4</v>
      </c>
      <c r="N3" s="3149">
        <f t="shared" si="1"/>
        <v>6.0000000000000001E-3</v>
      </c>
      <c r="O3" s="3149">
        <f t="shared" si="1"/>
        <v>6.0000000000000001E-3</v>
      </c>
      <c r="P3" s="3149">
        <f>M3</f>
        <v>5.9999999999999995E-4</v>
      </c>
      <c r="Q3" s="3147"/>
      <c r="R3" s="3150">
        <f>ROUND(SUMPRODUCT(PRODUCT(1+K4:K19)),4)</f>
        <v>1.0852999999999999</v>
      </c>
      <c r="S3" s="3151">
        <f t="shared" ref="S3:V3" si="2">ROUND(SUMPRODUCT(PRODUCT(1+L4:L19)),4)</f>
        <v>1.0513999999999999</v>
      </c>
      <c r="T3" s="3151">
        <f t="shared" si="2"/>
        <v>1.0083</v>
      </c>
      <c r="U3" s="3151">
        <f t="shared" si="2"/>
        <v>1.0871999999999999</v>
      </c>
      <c r="V3" s="3151">
        <f t="shared" si="2"/>
        <v>1.0880000000000001</v>
      </c>
      <c r="W3" s="3150">
        <f>T3</f>
        <v>1.0083</v>
      </c>
      <c r="X3" s="3147"/>
      <c r="Y3" s="3152">
        <f>ROUND(AVERAGEIF(Y6:Y19,"&lt;&gt;0"),4)</f>
        <v>8.3999999999999995E-3</v>
      </c>
      <c r="Z3" s="3153">
        <f t="shared" ref="Z3:AC3" si="3">ROUND(AVERAGEIF(Z6:Z19,"&lt;&gt;0"),4)</f>
        <v>3.5000000000000001E-3</v>
      </c>
      <c r="AA3" s="3154">
        <f t="shared" si="3"/>
        <v>8.0000000000000004E-4</v>
      </c>
      <c r="AB3" s="3152">
        <f t="shared" si="3"/>
        <v>9.1000000000000004E-3</v>
      </c>
      <c r="AC3" s="3155">
        <f t="shared" si="3"/>
        <v>6.1000000000000004E-3</v>
      </c>
      <c r="AD3" s="3152">
        <f>AA3</f>
        <v>8.0000000000000004E-4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2" t="s">
        <v>3379</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1.0748</v>
      </c>
      <c r="S5" s="3178">
        <f>ROUND(IF(项目基本情况!$B$8="出让",SUMPRODUCT(PRODUCT(1+L5:$L$19)),SUMPRODUCT(PRODUCT(1+L5:$L$18))),4)</f>
        <v>1.0498000000000001</v>
      </c>
      <c r="T5" s="3178">
        <f>ROUND(IF(项目基本情况!$B$8="出让",SUMPRODUCT(PRODUCT(1+M5:$M$19)),SUMPRODUCT(PRODUCT(1+M5:$M$18))),4)</f>
        <v>1.0107999999999999</v>
      </c>
      <c r="U5" s="3178">
        <f>ROUND(IF(项目基本情况!$B$8="出让",SUMPRODUCT(PRODUCT(1+N5:$N$19)),SUMPRODUCT(PRODUCT(1+N5:$N$18))),4)</f>
        <v>1.0752999999999999</v>
      </c>
      <c r="V5" s="3178">
        <f>ROUND(IF(项目基本情况!$B$8="出让",SUMPRODUCT(PRODUCT(1+O5:$O$19)),SUMPRODUCT(PRODUCT(1+O5:$O$18))),4)</f>
        <v>1.0841000000000001</v>
      </c>
      <c r="W5" s="3178">
        <f>T5</f>
        <v>1.0107999999999999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90" customFormat="1" ht="12.75">
      <c r="A6" s="3181" t="s">
        <v>3380</v>
      </c>
      <c r="B6" s="3182">
        <v>2024</v>
      </c>
      <c r="C6" s="3183">
        <v>2</v>
      </c>
      <c r="D6" s="3184">
        <v>-0.59</v>
      </c>
      <c r="E6" s="3184">
        <v>-0.21</v>
      </c>
      <c r="F6" s="3184">
        <v>-1.38</v>
      </c>
      <c r="G6" s="3184">
        <v>-1.24</v>
      </c>
      <c r="H6" s="3185">
        <v>0.34</v>
      </c>
      <c r="I6" s="3186">
        <f t="shared" ref="I6:I19" si="15">F6</f>
        <v>-1.38</v>
      </c>
      <c r="J6" s="3187"/>
      <c r="K6" s="3188">
        <f t="shared" ref="K6:O19" si="16">D6/100</f>
        <v>-5.8999999999999999E-3</v>
      </c>
      <c r="L6" s="3189">
        <f t="shared" si="16"/>
        <v>-2.0999999999999999E-3</v>
      </c>
      <c r="M6" s="3189">
        <f t="shared" si="16"/>
        <v>-1.38E-2</v>
      </c>
      <c r="N6" s="3189">
        <f t="shared" si="16"/>
        <v>-1.24E-2</v>
      </c>
      <c r="O6" s="3189">
        <f t="shared" si="16"/>
        <v>3.4000000000000002E-3</v>
      </c>
      <c r="P6" s="3189">
        <f>M6</f>
        <v>-1.38E-2</v>
      </c>
      <c r="Q6" s="3187"/>
      <c r="R6" s="3187">
        <f>ROUND(IF(项目基本情况!$B$8="出让",SUMPRODUCT(PRODUCT(1+K6:$K$19)),SUMPRODUCT(PRODUCT(1+K6:$K$18))),4)</f>
        <v>1.0748</v>
      </c>
      <c r="S6" s="3187">
        <f>ROUND(IF(项目基本情况!$B$8="出让",SUMPRODUCT(PRODUCT(1+L6:$L$19)),SUMPRODUCT(PRODUCT(1+L6:$L$18))),4)</f>
        <v>1.0498000000000001</v>
      </c>
      <c r="T6" s="3187">
        <f>ROUND(IF(项目基本情况!$B$8="出让",SUMPRODUCT(PRODUCT(1+M6:$M$19)),SUMPRODUCT(PRODUCT(1+M6:$M$18))),4)</f>
        <v>1.0107999999999999</v>
      </c>
      <c r="U6" s="3187">
        <f>ROUND(IF(项目基本情况!$B$8="出让",SUMPRODUCT(PRODUCT(1+N6:$N$19)),SUMPRODUCT(PRODUCT(1+N6:$N$18))),4)</f>
        <v>1.0752999999999999</v>
      </c>
      <c r="V6" s="3187">
        <f>ROUND(IF(项目基本情况!$B$8="出让",SUMPRODUCT(PRODUCT(1+O6:$O$19)),SUMPRODUCT(PRODUCT(1+O6:$O$18))),4)</f>
        <v>1.0841000000000001</v>
      </c>
      <c r="W6" s="3187">
        <f>T6</f>
        <v>1.0107999999999999</v>
      </c>
      <c r="X6" s="3187"/>
      <c r="Y6" s="3189">
        <f>IF(D6=0,0,ROUND(AVERAGE(D6:D19)/100,4))</f>
        <v>5.8999999999999999E-3</v>
      </c>
      <c r="Z6" s="3189">
        <f t="shared" ref="Z6:AC6" si="17">IF(E6=0,0,ROUND(AVERAGE(E6:E19)/100,4))</f>
        <v>3.5999999999999999E-3</v>
      </c>
      <c r="AA6" s="3189">
        <f t="shared" si="17"/>
        <v>5.9999999999999995E-4</v>
      </c>
      <c r="AB6" s="3189">
        <f t="shared" si="17"/>
        <v>6.0000000000000001E-3</v>
      </c>
      <c r="AC6" s="3189">
        <f t="shared" si="17"/>
        <v>6.0000000000000001E-3</v>
      </c>
      <c r="AD6" s="3189">
        <f t="shared" ref="AD6:AD18" si="18">AA6</f>
        <v>5.9999999999999995E-4</v>
      </c>
    </row>
    <row r="7" spans="1:30" s="3180" customFormat="1" ht="12.75">
      <c r="A7" s="3171" t="s">
        <v>3382</v>
      </c>
      <c r="B7" s="3172">
        <v>2024</v>
      </c>
      <c r="C7" s="3173">
        <v>1</v>
      </c>
      <c r="D7" s="3174">
        <v>0.08</v>
      </c>
      <c r="E7" s="3174">
        <v>0.46</v>
      </c>
      <c r="F7" s="3174">
        <v>-0.16</v>
      </c>
      <c r="G7" s="3174">
        <v>0.26</v>
      </c>
      <c r="H7" s="3191">
        <v>0.59</v>
      </c>
      <c r="I7" s="3175">
        <v>0</v>
      </c>
      <c r="J7" s="3176"/>
      <c r="K7" s="3177">
        <f t="shared" ref="K7" si="19">D7/100</f>
        <v>8.0000000000000004E-4</v>
      </c>
      <c r="L7" s="3167">
        <f t="shared" ref="L7" si="20">E7/100</f>
        <v>4.5999999999999999E-3</v>
      </c>
      <c r="M7" s="3167">
        <f t="shared" ref="M7" si="21">F7/100</f>
        <v>-1.6000000000000001E-3</v>
      </c>
      <c r="N7" s="3167">
        <f t="shared" ref="N7" si="22">G7/100</f>
        <v>2.5999999999999999E-3</v>
      </c>
      <c r="O7" s="3167">
        <f t="shared" ref="O7" si="23">H7/100</f>
        <v>5.8999999999999999E-3</v>
      </c>
      <c r="P7" s="3167">
        <f t="shared" ref="P7" si="24">M7</f>
        <v>-1.6000000000000001E-3</v>
      </c>
      <c r="Q7" s="3176"/>
      <c r="R7" s="3178">
        <f>ROUND(IF(项目基本情况!$B$8="出让",SUMPRODUCT(PRODUCT(1+K7:$K$19)),SUMPRODUCT(PRODUCT(1+K7:$K$18))),4)</f>
        <v>1.0811999999999999</v>
      </c>
      <c r="S7" s="3178">
        <f>ROUND(IF(项目基本情况!$B$8="出让",SUMPRODUCT(PRODUCT(1+L7:$L$19)),SUMPRODUCT(PRODUCT(1+L7:$L$18))),4)</f>
        <v>1.052</v>
      </c>
      <c r="T7" s="3178">
        <f>ROUND(IF(项目基本情况!$B$8="出让",SUMPRODUCT(PRODUCT(1+M7:$M$19)),SUMPRODUCT(PRODUCT(1+M7:$M$18))),4)</f>
        <v>1.0249999999999999</v>
      </c>
      <c r="U7" s="3178">
        <f>ROUND(IF(项目基本情况!$B$8="出让",SUMPRODUCT(PRODUCT(1+N7:$N$19)),SUMPRODUCT(PRODUCT(1+N7:$N$18))),4)</f>
        <v>1.0888</v>
      </c>
      <c r="V7" s="3178">
        <f>ROUND(IF(项目基本情况!$B$8="出让",SUMPRODUCT(PRODUCT(1+O7:$O$19)),SUMPRODUCT(PRODUCT(1+O7:$O$18))),4)</f>
        <v>1.0804</v>
      </c>
      <c r="W7" s="3178">
        <f t="shared" ref="W7" si="25">T7</f>
        <v>1.0249999999999999</v>
      </c>
      <c r="X7" s="3176"/>
      <c r="Y7" s="3179"/>
      <c r="Z7" s="3179"/>
      <c r="AA7" s="3179"/>
      <c r="AB7" s="3179"/>
      <c r="AC7" s="3179"/>
      <c r="AD7" s="3179"/>
    </row>
    <row r="8" spans="1:30" s="3180" customFormat="1" ht="12.75">
      <c r="A8" s="3171" t="s">
        <v>3377</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3376</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3372</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3371</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3370</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3366</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3357</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2822</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2823</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2824</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2825</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2826</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3" t="s">
        <v>3368</v>
      </c>
    </row>
    <row r="22" spans="1:30" s="3004" customFormat="1">
      <c r="I22" s="3203" t="s">
        <v>2827</v>
      </c>
    </row>
    <row r="23" spans="1:30" s="3004" customFormat="1"/>
    <row r="24" spans="1:30" s="3204" customFormat="1" ht="12.75">
      <c r="B24" s="3205" t="s">
        <v>3374</v>
      </c>
      <c r="C24" s="3206"/>
      <c r="D24" s="3206"/>
      <c r="E24" s="3206"/>
      <c r="F24" s="3206"/>
      <c r="G24" s="3206"/>
      <c r="H24" s="3206"/>
      <c r="I24" s="3206"/>
      <c r="J24" s="3160"/>
      <c r="K24" s="3206" t="s">
        <v>2828</v>
      </c>
      <c r="L24" s="3206"/>
      <c r="M24" s="3206"/>
      <c r="N24" s="3206"/>
      <c r="O24" s="3206"/>
      <c r="P24" s="3206"/>
      <c r="Q24" s="3160"/>
      <c r="R24" s="3783" t="s">
        <v>2829</v>
      </c>
      <c r="S24" s="3784"/>
      <c r="T24" s="3784"/>
      <c r="U24" s="3784"/>
      <c r="V24" s="3784"/>
      <c r="W24" s="3784"/>
      <c r="X24" s="3160"/>
      <c r="Y24" s="3783" t="s">
        <v>2830</v>
      </c>
      <c r="Z24" s="3784"/>
      <c r="AA24" s="3784"/>
      <c r="AB24" s="3784"/>
      <c r="AC24" s="3784"/>
      <c r="AD24" s="3784"/>
    </row>
    <row r="25" spans="1:30" s="3138" customFormat="1" ht="14.25" thickBot="1">
      <c r="B25" s="3139"/>
      <c r="C25" s="3140"/>
      <c r="D25" s="3141" t="s">
        <v>2831</v>
      </c>
      <c r="E25" s="3142" t="s">
        <v>2832</v>
      </c>
      <c r="F25" s="3142" t="s">
        <v>2833</v>
      </c>
      <c r="G25" s="3142" t="s">
        <v>2834</v>
      </c>
      <c r="H25" s="3142"/>
      <c r="I25" s="3142" t="s">
        <v>2835</v>
      </c>
      <c r="J25" s="3143"/>
      <c r="K25" s="3141" t="s">
        <v>2831</v>
      </c>
      <c r="L25" s="3142" t="s">
        <v>2832</v>
      </c>
      <c r="M25" s="3142" t="s">
        <v>2833</v>
      </c>
      <c r="N25" s="3142" t="s">
        <v>2834</v>
      </c>
      <c r="O25" s="3142"/>
      <c r="P25" s="3142" t="s">
        <v>2835</v>
      </c>
      <c r="Q25" s="3143"/>
      <c r="R25" s="3141" t="s">
        <v>2831</v>
      </c>
      <c r="S25" s="3142" t="s">
        <v>2832</v>
      </c>
      <c r="T25" s="3142" t="s">
        <v>2833</v>
      </c>
      <c r="U25" s="3142" t="s">
        <v>2834</v>
      </c>
      <c r="V25" s="3142"/>
      <c r="W25" s="3142" t="s">
        <v>2835</v>
      </c>
      <c r="X25" s="3143"/>
      <c r="Y25" s="3141" t="s">
        <v>2831</v>
      </c>
      <c r="Z25" s="3142" t="s">
        <v>2832</v>
      </c>
      <c r="AA25" s="3142" t="s">
        <v>2833</v>
      </c>
      <c r="AB25" s="3142" t="s">
        <v>2834</v>
      </c>
      <c r="AC25" s="3142"/>
      <c r="AD25" s="3142" t="s">
        <v>2835</v>
      </c>
    </row>
    <row r="26" spans="1:30" s="3156" customFormat="1" ht="12.75">
      <c r="A26" s="3144" t="s">
        <v>2836</v>
      </c>
      <c r="B26" s="3145"/>
      <c r="C26" s="3146"/>
      <c r="D26" s="3146"/>
      <c r="E26" s="3146">
        <f t="shared" ref="E26:G26" si="43">ROUND(AVERAGEIF(E27:E42,"&lt;&gt;0"),2)</f>
        <v>0.33</v>
      </c>
      <c r="F26" s="3146">
        <f t="shared" si="43"/>
        <v>0.24</v>
      </c>
      <c r="G26" s="3146">
        <f t="shared" si="43"/>
        <v>0.62</v>
      </c>
      <c r="H26" s="3146"/>
      <c r="I26" s="3146">
        <f>F26</f>
        <v>0.24</v>
      </c>
      <c r="J26" s="3147"/>
      <c r="K26" s="3148"/>
      <c r="L26" s="3149">
        <f t="shared" ref="L26:N26" si="44">ROUND(AVERAGEIF(L27:L42,"&lt;&gt;0"),4)</f>
        <v>3.3E-3</v>
      </c>
      <c r="M26" s="3149">
        <f t="shared" si="44"/>
        <v>2.3999999999999998E-3</v>
      </c>
      <c r="N26" s="3149">
        <f t="shared" si="44"/>
        <v>6.1999999999999998E-3</v>
      </c>
      <c r="O26" s="3149"/>
      <c r="P26" s="3149">
        <f>M26</f>
        <v>2.3999999999999998E-3</v>
      </c>
      <c r="Q26" s="3147"/>
      <c r="R26" s="3150"/>
      <c r="S26" s="3151">
        <f>ROUND(SUMPRODUCT(PRODUCT(1+L27:L42)),4)</f>
        <v>1.0468999999999999</v>
      </c>
      <c r="T26" s="3151">
        <f t="shared" ref="T26:U26" si="45">ROUND(SUMPRODUCT(PRODUCT(1+M27:M42)),4)</f>
        <v>1.0347</v>
      </c>
      <c r="U26" s="3151">
        <f t="shared" si="45"/>
        <v>1.0895999999999999</v>
      </c>
      <c r="V26" s="3151"/>
      <c r="W26" s="3150">
        <f>T26</f>
        <v>1.0347</v>
      </c>
      <c r="X26" s="3147"/>
      <c r="Y26" s="3152"/>
      <c r="Z26" s="3153">
        <f t="shared" ref="Z26:AB26" si="46">ROUND(AVERAGEIF(Z27:Z42,"&lt;&gt;0"),4)</f>
        <v>4.1999999999999997E-3</v>
      </c>
      <c r="AA26" s="3154">
        <f t="shared" si="46"/>
        <v>3.3999999999999998E-3</v>
      </c>
      <c r="AB26" s="3152">
        <f t="shared" si="46"/>
        <v>8.6E-3</v>
      </c>
      <c r="AC26" s="3155"/>
      <c r="AD26" s="3152">
        <f>AA26</f>
        <v>3.3999999999999998E-3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2" t="s">
        <v>3379</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1.0432999999999999</v>
      </c>
      <c r="T28" s="3178">
        <f>ROUND(IF(项目基本情况!$B$8="出让",SUMPRODUCT(PRODUCT(1+M28:M$42)),SUMPRODUCT(PRODUCT(1+M28:M$41))),4)</f>
        <v>1.0298</v>
      </c>
      <c r="U28" s="3178">
        <f>ROUND(IF(项目基本情况!$B$8="出让",SUMPRODUCT(PRODUCT(1+N28:N$42)),SUMPRODUCT(PRODUCT(1+N28:N$41))),4)</f>
        <v>1.079</v>
      </c>
      <c r="V28" s="3178"/>
      <c r="W28" s="3178">
        <f>T28</f>
        <v>1.0298</v>
      </c>
      <c r="X28" s="3176"/>
      <c r="Y28" s="3179"/>
      <c r="Z28" s="3207">
        <f t="shared" ref="Z28:AB29" si="51">IF(E28=0,0,ROUND(AVERAGE(E28:E41)/100,4))</f>
        <v>0</v>
      </c>
      <c r="AA28" s="3207">
        <f t="shared" si="51"/>
        <v>0</v>
      </c>
      <c r="AB28" s="3207">
        <f t="shared" si="51"/>
        <v>0</v>
      </c>
      <c r="AC28" s="3208"/>
      <c r="AD28" s="3179">
        <f>IF(I28=0,0,ROUND(AVERAGE(I28:I41)/100,4))</f>
        <v>0</v>
      </c>
    </row>
    <row r="29" spans="1:30" s="3190" customFormat="1" ht="12.75">
      <c r="A29" s="3181" t="s">
        <v>3380</v>
      </c>
      <c r="B29" s="3182">
        <v>2024</v>
      </c>
      <c r="C29" s="3183">
        <v>2</v>
      </c>
      <c r="D29" s="3184"/>
      <c r="E29" s="3184">
        <v>-0.31</v>
      </c>
      <c r="F29" s="3184">
        <v>-0.39</v>
      </c>
      <c r="G29" s="3184">
        <v>1.23</v>
      </c>
      <c r="H29" s="3185"/>
      <c r="I29" s="3186">
        <f t="shared" ref="I29:I42" si="52">F29</f>
        <v>-0.39</v>
      </c>
      <c r="J29" s="3187"/>
      <c r="K29" s="3188"/>
      <c r="L29" s="3189">
        <f t="shared" ref="L29:N42" si="53">E29/100</f>
        <v>-3.0999999999999999E-3</v>
      </c>
      <c r="M29" s="3189">
        <f t="shared" si="53"/>
        <v>-3.9000000000000003E-3</v>
      </c>
      <c r="N29" s="3189">
        <f t="shared" si="53"/>
        <v>1.23E-2</v>
      </c>
      <c r="O29" s="3189"/>
      <c r="P29" s="3189">
        <f>M29</f>
        <v>-3.9000000000000003E-3</v>
      </c>
      <c r="Q29" s="3187"/>
      <c r="R29" s="3187"/>
      <c r="S29" s="3187">
        <f>ROUND(IF(项目基本情况!$B$8="出让",SUMPRODUCT(PRODUCT(1+L29:L$42)),SUMPRODUCT(PRODUCT(1+L29:L$41))),4)</f>
        <v>1.0432999999999999</v>
      </c>
      <c r="T29" s="3187">
        <f>ROUND(IF(项目基本情况!$B$8="出让",SUMPRODUCT(PRODUCT(1+M29:M$42)),SUMPRODUCT(PRODUCT(1+M29:M$41))),4)</f>
        <v>1.0298</v>
      </c>
      <c r="U29" s="3187">
        <f>ROUND(IF(项目基本情况!$B$8="出让",SUMPRODUCT(PRODUCT(1+N29:N$42)),SUMPRODUCT(PRODUCT(1+N29:N$41))),4)</f>
        <v>1.079</v>
      </c>
      <c r="V29" s="3187"/>
      <c r="W29" s="3187">
        <f>T29</f>
        <v>1.0298</v>
      </c>
      <c r="X29" s="3187"/>
      <c r="Y29" s="3189"/>
      <c r="Z29" s="3210">
        <f t="shared" si="51"/>
        <v>3.3E-3</v>
      </c>
      <c r="AA29" s="3211">
        <f t="shared" si="51"/>
        <v>2.3999999999999998E-3</v>
      </c>
      <c r="AB29" s="3189">
        <f t="shared" si="51"/>
        <v>6.1999999999999998E-3</v>
      </c>
      <c r="AC29" s="3212"/>
      <c r="AD29" s="3189">
        <f>IF(I29=0,0,ROUND(AVERAGE(I29:I42)/100,4))</f>
        <v>2.3999999999999998E-3</v>
      </c>
    </row>
    <row r="30" spans="1:30" s="3180" customFormat="1" ht="12.75">
      <c r="A30" s="3171" t="s">
        <v>3381</v>
      </c>
      <c r="B30" s="3172">
        <v>2024</v>
      </c>
      <c r="C30" s="3173">
        <v>1</v>
      </c>
      <c r="D30" s="3174"/>
      <c r="E30" s="3174">
        <v>0.25</v>
      </c>
      <c r="F30" s="3174">
        <v>0.4</v>
      </c>
      <c r="G30" s="3174">
        <v>-0.63</v>
      </c>
      <c r="H30" s="3191"/>
      <c r="I30" s="3175">
        <f t="shared" ref="I30:I31" si="54">F30</f>
        <v>0.4</v>
      </c>
      <c r="J30" s="3176"/>
      <c r="K30" s="3177"/>
      <c r="L30" s="3167">
        <f t="shared" ref="L30" si="55">E30/100</f>
        <v>2.5000000000000001E-3</v>
      </c>
      <c r="M30" s="3167">
        <f t="shared" ref="M30" si="56">F30/100</f>
        <v>4.0000000000000001E-3</v>
      </c>
      <c r="N30" s="3167">
        <f t="shared" ref="N30" si="57">G30/100</f>
        <v>-6.3E-3</v>
      </c>
      <c r="O30" s="3167"/>
      <c r="P30" s="3167">
        <f t="shared" ref="P30" si="58">M30</f>
        <v>4.0000000000000001E-3</v>
      </c>
      <c r="Q30" s="3176"/>
      <c r="R30" s="3178"/>
      <c r="S30" s="3178">
        <f>ROUND(IF(项目基本情况!$B$8="出让",SUMPRODUCT(PRODUCT(1+L30:L$42)),SUMPRODUCT(PRODUCT(1+L30:L$41))),4)</f>
        <v>1.0465</v>
      </c>
      <c r="T30" s="3178">
        <f>ROUND(IF(项目基本情况!$B$8="出让",SUMPRODUCT(PRODUCT(1+M30:M$42)),SUMPRODUCT(PRODUCT(1+M30:M$41))),4)</f>
        <v>1.0338000000000001</v>
      </c>
      <c r="U30" s="3178">
        <f>ROUND(IF(项目基本情况!$B$8="出让",SUMPRODUCT(PRODUCT(1+N30:N$42)),SUMPRODUCT(PRODUCT(1+N30:N$41))),4)</f>
        <v>1.0659000000000001</v>
      </c>
      <c r="V30" s="3178"/>
      <c r="W30" s="3178">
        <f t="shared" ref="W30" si="59">T30</f>
        <v>1.0338000000000001</v>
      </c>
      <c r="X30" s="3176"/>
      <c r="Y30" s="3179"/>
      <c r="Z30" s="3207"/>
      <c r="AA30" s="3209"/>
      <c r="AB30" s="3179"/>
      <c r="AC30" s="3208"/>
      <c r="AD30" s="3179"/>
    </row>
    <row r="31" spans="1:30" s="3180" customFormat="1" ht="12.75">
      <c r="A31" s="3171" t="s">
        <v>3378</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3376</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3375</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3371</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3370</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3367</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3357</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2837</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2838</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2839</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2840</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2826</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45516</v>
      </c>
      <c r="D1" s="1301" t="s">
        <v>603</v>
      </c>
      <c r="E1" s="1296">
        <f>'数据-取费表'!B22</f>
        <v>1.5</v>
      </c>
      <c r="F1" s="1301" t="s">
        <v>604</v>
      </c>
      <c r="G1" s="1297">
        <f ca="1">INDIRECT("d"&amp;$K$1)/100</f>
        <v>3.3500000000000002E-2</v>
      </c>
      <c r="H1" s="1301" t="s">
        <v>634</v>
      </c>
      <c r="I1" s="1297">
        <f ca="1">F4/100</f>
        <v>1.4999999999999999E-2</v>
      </c>
      <c r="J1" s="1302">
        <f>IF(C1&gt;C13,0,MATCH(C1,C$13:C$113,-1))+IF(SUMIF(C13:C113,C1,D13:D113)=0,13,12)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45495</v>
      </c>
      <c r="D13" s="2817">
        <v>3.35</v>
      </c>
      <c r="E13" s="2817">
        <f>D13</f>
        <v>3.35</v>
      </c>
      <c r="F13" s="2817">
        <f>D13</f>
        <v>3.35</v>
      </c>
      <c r="G13" s="2817">
        <f>D13</f>
        <v>3.35</v>
      </c>
      <c r="H13" s="2817">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45342</v>
      </c>
      <c r="D14" s="2812">
        <v>3.45</v>
      </c>
      <c r="E14" s="2812">
        <f>D14</f>
        <v>3.45</v>
      </c>
      <c r="F14" s="2812">
        <f>D14</f>
        <v>3.45</v>
      </c>
      <c r="G14" s="2812">
        <f>D14</f>
        <v>3.45</v>
      </c>
      <c r="H14" s="2812">
        <v>3.95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45159</v>
      </c>
      <c r="D15" s="2812">
        <v>3.45</v>
      </c>
      <c r="E15" s="2812">
        <f>D15</f>
        <v>3.45</v>
      </c>
      <c r="F15" s="2812">
        <f>D15</f>
        <v>3.45</v>
      </c>
      <c r="G15" s="2812">
        <f>D15</f>
        <v>3.45</v>
      </c>
      <c r="H15" s="2812">
        <v>4.2</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1"/>
      <c r="C16" s="2813">
        <v>45097</v>
      </c>
      <c r="D16" s="2812">
        <v>3.55</v>
      </c>
      <c r="E16" s="2812">
        <f>D16</f>
        <v>3.55</v>
      </c>
      <c r="F16" s="2812">
        <f>D16</f>
        <v>3.55</v>
      </c>
      <c r="G16" s="2812">
        <f>D16</f>
        <v>3.55</v>
      </c>
      <c r="H16" s="2812">
        <v>4.2</v>
      </c>
      <c r="I16" s="2817"/>
      <c r="J16" s="2817"/>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3">
        <v>44795</v>
      </c>
      <c r="D17" s="2812">
        <v>3.65</v>
      </c>
      <c r="E17" s="2812">
        <v>3.65</v>
      </c>
      <c r="F17" s="2812">
        <v>3.65</v>
      </c>
      <c r="G17" s="2812">
        <v>3.65</v>
      </c>
      <c r="H17" s="2812">
        <v>4.3</v>
      </c>
      <c r="I17" s="2817"/>
      <c r="J17" s="2817"/>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3">
        <v>44701</v>
      </c>
      <c r="D18" s="2812">
        <v>3.7</v>
      </c>
      <c r="E18" s="2812">
        <f>D18</f>
        <v>3.7</v>
      </c>
      <c r="F18" s="2812">
        <f>D18</f>
        <v>3.7</v>
      </c>
      <c r="G18" s="2812">
        <f>D18</f>
        <v>3.7</v>
      </c>
      <c r="H18" s="2812">
        <v>4.45</v>
      </c>
      <c r="I18" s="2817"/>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1"/>
      <c r="C19" s="2813">
        <v>44581</v>
      </c>
      <c r="D19" s="2812">
        <v>3.7</v>
      </c>
      <c r="E19" s="2812">
        <f>D19</f>
        <v>3.7</v>
      </c>
      <c r="F19" s="2812">
        <f>D19</f>
        <v>3.7</v>
      </c>
      <c r="G19" s="2812">
        <f>D19</f>
        <v>3.7</v>
      </c>
      <c r="H19" s="2812">
        <v>4.5999999999999996</v>
      </c>
      <c r="I19" s="2817"/>
      <c r="J19" s="2817"/>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44550</v>
      </c>
      <c r="D20" s="2812">
        <v>3.8</v>
      </c>
      <c r="E20" s="2812">
        <f>D20</f>
        <v>3.8</v>
      </c>
      <c r="F20" s="2812">
        <f>D20</f>
        <v>3.8</v>
      </c>
      <c r="G20" s="2812">
        <f>D20</f>
        <v>3.8</v>
      </c>
      <c r="H20" s="2812">
        <v>4.6500000000000004</v>
      </c>
      <c r="I20" s="2812"/>
      <c r="J20" s="2817"/>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c r="C21" s="2813">
        <v>43941</v>
      </c>
      <c r="D21" s="2812">
        <v>3.85</v>
      </c>
      <c r="E21" s="2812">
        <v>3.85</v>
      </c>
      <c r="F21" s="2812">
        <v>3.85</v>
      </c>
      <c r="G21" s="2812">
        <v>3.85</v>
      </c>
      <c r="H21" s="2812">
        <v>4.6500000000000004</v>
      </c>
      <c r="I21" s="2812"/>
      <c r="J21" s="2812"/>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c r="C22" s="2813">
        <v>43881</v>
      </c>
      <c r="D22" s="2812">
        <v>4.05</v>
      </c>
      <c r="E22" s="2812">
        <v>4.05</v>
      </c>
      <c r="F22" s="2812">
        <v>4.05</v>
      </c>
      <c r="G22" s="2812">
        <v>4.05</v>
      </c>
      <c r="H22" s="2812">
        <v>4.75</v>
      </c>
      <c r="I22" s="2812"/>
      <c r="J22" s="2812"/>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8"/>
      <c r="B23" s="2812"/>
      <c r="C23" s="2813">
        <v>43789</v>
      </c>
      <c r="D23" s="2812">
        <v>4.1500000000000004</v>
      </c>
      <c r="E23" s="2812">
        <v>4.1500000000000004</v>
      </c>
      <c r="F23" s="2812">
        <v>4.1500000000000004</v>
      </c>
      <c r="G23" s="2812">
        <v>4.1500000000000004</v>
      </c>
      <c r="H23" s="2812">
        <v>4.8</v>
      </c>
      <c r="I23" s="2812"/>
      <c r="J23" s="281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2"/>
      <c r="C24" s="2813">
        <v>43728</v>
      </c>
      <c r="D24" s="2812">
        <v>4.2</v>
      </c>
      <c r="E24" s="2812">
        <v>4.2</v>
      </c>
      <c r="F24" s="2812">
        <v>4.2</v>
      </c>
      <c r="G24" s="2812">
        <v>4.2</v>
      </c>
      <c r="H24" s="2812">
        <v>4.8499999999999996</v>
      </c>
      <c r="I24" s="2812"/>
      <c r="J24" s="281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4.25">
      <c r="B25" s="2811" t="s">
        <v>2311</v>
      </c>
      <c r="C25" s="2814">
        <v>43697</v>
      </c>
      <c r="D25" s="2815">
        <v>4.25</v>
      </c>
      <c r="E25" s="2815">
        <v>4.25</v>
      </c>
      <c r="F25" s="2815">
        <v>4.25</v>
      </c>
      <c r="G25" s="2815">
        <v>4.25</v>
      </c>
      <c r="H25" s="2815">
        <v>4.8499999999999996</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9"/>
      <c r="C26" s="2820">
        <v>42301</v>
      </c>
      <c r="D26" s="2821">
        <v>4.3499999999999996</v>
      </c>
      <c r="E26" s="2821">
        <v>4.3499999999999996</v>
      </c>
      <c r="F26" s="2821">
        <v>4.75</v>
      </c>
      <c r="G26" s="2821">
        <v>4.75</v>
      </c>
      <c r="H26" s="2821">
        <v>4.9000000000000004</v>
      </c>
      <c r="I26" s="2821"/>
      <c r="J26" s="2821"/>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30">
      <c r="A4" s="1504" t="str">
        <f>项目基本情况!S2</f>
        <v>北京市东环北路1号房地产</v>
      </c>
      <c r="B4" s="854">
        <f>项目基本情况!C17</f>
        <v>8640.14</v>
      </c>
      <c r="C4" s="854">
        <f>项目基本情况!C18</f>
        <v>15462.6</v>
      </c>
      <c r="D4" s="854">
        <f ca="1">结果表!D118</f>
        <v>7153</v>
      </c>
      <c r="E4" s="854">
        <f ca="1">结果表!E118</f>
        <v>8278</v>
      </c>
      <c r="F4" s="854">
        <f ca="1">结果表!F118</f>
        <v>4273</v>
      </c>
      <c r="G4" s="854">
        <f ca="1">结果表!G118</f>
        <v>4946</v>
      </c>
      <c r="H4" s="854">
        <f ca="1">结果表!H118</f>
        <v>11426</v>
      </c>
      <c r="I4" s="854">
        <f ca="1">结果表!I118</f>
        <v>13224</v>
      </c>
    </row>
    <row r="5" spans="1:9" ht="30" customHeight="1">
      <c r="A5" s="3470" t="s">
        <v>927</v>
      </c>
      <c r="B5" s="3470"/>
      <c r="C5" s="3470"/>
      <c r="D5" s="3470" t="str">
        <f ca="1">结果表!D119</f>
        <v>柒仟壹佰伍拾叁万元整</v>
      </c>
      <c r="E5" s="3470"/>
      <c r="F5" s="3470" t="str">
        <f ca="1">结果表!F119</f>
        <v>肆仟贰佰柒拾叁万元整</v>
      </c>
      <c r="G5" s="3470"/>
      <c r="H5" s="3470" t="str">
        <f ca="1">结果表!H119</f>
        <v>壹亿壹仟肆佰贰拾陆万元整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11426</v>
      </c>
      <c r="E8" s="3471"/>
      <c r="F8" s="3471"/>
      <c r="G8" s="3471"/>
      <c r="H8" s="3471"/>
      <c r="I8" s="3471"/>
    </row>
    <row r="9" spans="1:9" ht="15">
      <c r="A9" s="3470" t="s">
        <v>927</v>
      </c>
      <c r="B9" s="3470"/>
      <c r="C9" s="3470"/>
      <c r="D9" s="3470" t="str">
        <f ca="1">结果表!D123</f>
        <v>壹亿壹仟肆佰贰拾陆万元整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7" t="s">
        <v>949</v>
      </c>
      <c r="B1" s="3477"/>
      <c r="C1" s="3477"/>
      <c r="D1" s="3477"/>
    </row>
    <row r="2" spans="1:4" ht="18">
      <c r="A2" s="3478" t="s">
        <v>933</v>
      </c>
      <c r="B2" s="3478"/>
      <c r="C2" s="3478"/>
      <c r="D2" s="347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8" t="s">
        <v>939</v>
      </c>
      <c r="B6" s="3478"/>
      <c r="C6" s="3478"/>
      <c r="D6" s="347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1"/>
      <c r="C12" s="3481"/>
      <c r="D12" s="3481"/>
    </row>
    <row r="13" spans="1:4" ht="30" customHeight="1">
      <c r="A13" s="3480" t="str">
        <f>IF(项目基本情况!B8="抵押","3.抵押双方在办理抵押登记手续时，应使用本公司出具的正式《房地产评估报告》，特提醒报告使用者注意。","——")</f>
        <v>——</v>
      </c>
      <c r="B13" s="3481"/>
      <c r="C13" s="3481"/>
      <c r="D13" s="3481"/>
    </row>
    <row r="14" spans="1:4" ht="15.75" customHeight="1">
      <c r="A14" s="3480" t="str">
        <f>IF(项目基本情况!B8="抵押","4.本次评估估价师所知悉的法定优先受偿款情况说明如下：","——")</f>
        <v>——</v>
      </c>
      <c r="B14" s="3481"/>
      <c r="C14" s="3481"/>
      <c r="D14" s="3481"/>
    </row>
    <row r="15" spans="1:4" ht="42" customHeight="1">
      <c r="A15" s="3480" t="str">
        <f>IF(项目基本情况!B8="抵押","（1）"&amp;CONCATENATE(项目基本情况!L20,项目基本情况!L21,项目基本情况!L22),"——")</f>
        <v>——</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1" t="s">
        <v>956</v>
      </c>
      <c r="B15" s="3486" t="s">
        <v>109</v>
      </c>
      <c r="C15" s="3487"/>
    </row>
    <row r="16" spans="1:7" ht="13.5">
      <c r="A16" s="3492"/>
      <c r="B16" s="3486" t="s">
        <v>42</v>
      </c>
      <c r="C16" s="3487"/>
    </row>
    <row r="17" spans="1:3" ht="13.5">
      <c r="A17" s="3492"/>
      <c r="B17" s="3489" t="s">
        <v>957</v>
      </c>
      <c r="C17" s="1531" t="s">
        <v>956</v>
      </c>
    </row>
    <row r="18" spans="1:3" ht="13.5">
      <c r="A18" s="3492"/>
      <c r="B18" s="3489"/>
      <c r="C18" s="1531" t="s">
        <v>958</v>
      </c>
    </row>
    <row r="19" spans="1:3" ht="13.5">
      <c r="A19" s="3492"/>
      <c r="B19" s="3489"/>
      <c r="C19" s="1531" t="s">
        <v>959</v>
      </c>
    </row>
    <row r="20" spans="1:3" ht="13.5">
      <c r="A20" s="3493"/>
      <c r="B20" s="3488" t="s">
        <v>960</v>
      </c>
      <c r="C20" s="3487"/>
    </row>
    <row r="21" spans="1:3" ht="13.5">
      <c r="A21" s="1532" t="s">
        <v>961</v>
      </c>
      <c r="B21" s="1533"/>
      <c r="C21" s="1534"/>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1" t="s">
        <v>967</v>
      </c>
    </row>
    <row r="26" spans="1:3" ht="13.5">
      <c r="A26" s="3490"/>
      <c r="B26" s="3489"/>
      <c r="C26" s="1531" t="s">
        <v>968</v>
      </c>
    </row>
    <row r="27" spans="1:3" ht="13.5">
      <c r="A27" s="3490"/>
      <c r="B27" s="3489"/>
      <c r="C27" s="1531" t="s">
        <v>969</v>
      </c>
    </row>
    <row r="28" spans="1:3" ht="13.5">
      <c r="A28" s="3490"/>
      <c r="B28" s="3489"/>
      <c r="C28" s="1531" t="s">
        <v>970</v>
      </c>
    </row>
    <row r="29" spans="1:3" ht="13.5">
      <c r="A29" s="3490"/>
      <c r="B29" s="3489"/>
      <c r="C29" s="1531" t="s">
        <v>971</v>
      </c>
    </row>
    <row r="30" spans="1:3" ht="13.5">
      <c r="A30" s="3490"/>
      <c r="B30" s="3489"/>
      <c r="C30" s="1531" t="s">
        <v>972</v>
      </c>
    </row>
    <row r="31" spans="1:3" ht="13.5">
      <c r="A31" s="3490"/>
      <c r="B31" s="3489"/>
      <c r="C31" s="1531" t="s">
        <v>973</v>
      </c>
    </row>
    <row r="32" spans="1:3" ht="13.5">
      <c r="A32" s="3490"/>
      <c r="B32" s="3489"/>
      <c r="C32" s="1531" t="s">
        <v>974</v>
      </c>
    </row>
    <row r="33" spans="1:3" ht="13.5">
      <c r="A33" s="3490"/>
      <c r="B33" s="348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45520</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t="str">
        <f ca="1">IF(C6&lt;B2,"已过期",1120050019)</f>
        <v>已过期</v>
      </c>
      <c r="C6" s="2342">
        <v>45410</v>
      </c>
      <c r="D6" s="2343" t="str">
        <f t="shared" ca="1" si="0"/>
        <v>王鹏（注册号：已过期）</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t="str">
        <f ca="1">IF(C13&lt;B2,"已过期",1120020033)</f>
        <v>已过期</v>
      </c>
      <c r="C13" s="2342">
        <v>45375</v>
      </c>
      <c r="D13" s="2343" t="str">
        <f t="shared" ca="1" si="0"/>
        <v>刘敬东（注册号：已过期）</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2439</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0"/>
      <c r="E18" s="3496" t="s">
        <v>2162</v>
      </c>
      <c r="F18" s="3495"/>
      <c r="G18" s="3495"/>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2024-08-16T09:48:30Z</dcterms:modified>
</cp:coreProperties>
</file>