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16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案例" sheetId="79"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80"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'数据-汇总表'!$A$1:$I$32</definedName>
    <definedName name="_xlnm.Print_Area" localSheetId="11">'数据-基础表'!$A$1:$K$13</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5" i="74" l="1"/>
  <c r="I13" i="3"/>
  <c r="D17" i="80"/>
  <c r="B13" i="80"/>
  <c r="B12" i="80"/>
  <c r="B11" i="80"/>
  <c r="B10" i="80"/>
  <c r="B9" i="80"/>
  <c r="B8" i="80"/>
  <c r="B7" i="80"/>
  <c r="B6" i="80"/>
  <c r="B5" i="80"/>
  <c r="B4" i="80"/>
  <c r="B3" i="80"/>
  <c r="B2" i="80"/>
  <c r="B1" i="80"/>
  <c r="D15" i="74" l="1"/>
  <c r="G2" i="80" l="1"/>
  <c r="G1" i="80"/>
  <c r="E14" i="80" l="1"/>
  <c r="D13" i="80"/>
  <c r="D12" i="80"/>
  <c r="D11" i="80"/>
  <c r="D10" i="80"/>
  <c r="D9" i="80"/>
  <c r="D8" i="80"/>
  <c r="D7" i="80"/>
  <c r="D6" i="80"/>
  <c r="D5" i="80"/>
  <c r="D4" i="80"/>
  <c r="D3" i="80"/>
  <c r="D2" i="80"/>
  <c r="D1" i="80"/>
  <c r="W19" i="1" l="1"/>
  <c r="V20" i="1"/>
  <c r="U20" i="1"/>
  <c r="V19" i="1"/>
  <c r="N6" i="1"/>
  <c r="H13" i="4" l="1"/>
  <c r="U6" i="79"/>
  <c r="U5" i="79"/>
  <c r="U4" i="79"/>
  <c r="U3" i="79"/>
  <c r="K13" i="3"/>
  <c r="Z4" i="79" l="1"/>
  <c r="Z5" i="79"/>
  <c r="Z6" i="79"/>
  <c r="Z3" i="79"/>
  <c r="I41" i="40"/>
  <c r="G41" i="40"/>
  <c r="E41" i="40"/>
  <c r="I34" i="40"/>
  <c r="G34" i="40"/>
  <c r="E34" i="40"/>
  <c r="E66" i="40" l="1"/>
  <c r="F66" i="40"/>
  <c r="G66" i="40" s="1"/>
  <c r="H66" i="40" s="1"/>
  <c r="I66" i="40" s="1"/>
  <c r="J66" i="40" s="1"/>
  <c r="K66" i="40" s="1"/>
  <c r="L66" i="40" s="1"/>
  <c r="M66" i="40" s="1"/>
  <c r="D66" i="40"/>
  <c r="I7" i="40"/>
  <c r="G7" i="40"/>
  <c r="E7" i="40"/>
  <c r="I5" i="40"/>
  <c r="G5" i="40"/>
  <c r="E5" i="40"/>
  <c r="Y2" i="79"/>
  <c r="Y6" i="1"/>
  <c r="D3" i="4"/>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K49" i="9"/>
  <c r="E107" i="9"/>
  <c r="A122" i="9" s="1"/>
  <c r="A8" i="52" s="1"/>
  <c r="E111" i="9"/>
  <c r="A126" i="9" s="1"/>
  <c r="A12" i="52" s="1"/>
  <c r="B56" i="72" s="1"/>
  <c r="E109" i="9"/>
  <c r="A124" i="9" s="1"/>
  <c r="A10" i="52" s="1"/>
  <c r="B55" i="72" s="1"/>
  <c r="B44" i="72"/>
  <c r="B42" i="72"/>
  <c r="B69" i="72"/>
  <c r="B68" i="72"/>
  <c r="B63" i="72"/>
  <c r="B62" i="72"/>
  <c r="B65" i="72"/>
  <c r="B60" i="72"/>
  <c r="B67" i="72"/>
  <c r="B10" i="72"/>
  <c r="C53" i="10"/>
  <c r="B51" i="10"/>
  <c r="B19" i="72"/>
  <c r="A18" i="51"/>
  <c r="B13" i="72" s="1"/>
  <c r="C8" i="68"/>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c r="Q68" i="71"/>
  <c r="P68" i="71"/>
  <c r="O68" i="71"/>
  <c r="N68"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c r="F52" i="71" s="1"/>
  <c r="F53" i="7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X30" i="71" s="1"/>
  <c r="Q31" i="71"/>
  <c r="AB31" i="71"/>
  <c r="P31" i="71"/>
  <c r="O31" i="71"/>
  <c r="Y31" i="71" s="1"/>
  <c r="Z31" i="71"/>
  <c r="N31" i="71"/>
  <c r="Q30" i="71"/>
  <c r="F31" i="71" s="1"/>
  <c r="F32" i="71" s="1"/>
  <c r="F33" i="71" s="1"/>
  <c r="V33" i="71" s="1"/>
  <c r="P30" i="71"/>
  <c r="O30" i="71"/>
  <c r="N30" i="71"/>
  <c r="D30" i="71"/>
  <c r="Q29" i="71"/>
  <c r="AB29" i="71"/>
  <c r="P29" i="71"/>
  <c r="O29" i="71"/>
  <c r="Y29" i="71" s="1"/>
  <c r="Z29" i="71" s="1"/>
  <c r="N29" i="71"/>
  <c r="Q28" i="71"/>
  <c r="P28" i="71"/>
  <c r="O28" i="71"/>
  <c r="Y28" i="71"/>
  <c r="Z28" i="71" s="1"/>
  <c r="N28" i="71"/>
  <c r="X26" i="71" s="1"/>
  <c r="Q27" i="71"/>
  <c r="AB27" i="71"/>
  <c r="P27" i="71"/>
  <c r="O27" i="71"/>
  <c r="Y27" i="71" s="1"/>
  <c r="Z27" i="71"/>
  <c r="N27" i="71"/>
  <c r="Q26" i="71"/>
  <c r="F27" i="71" s="1"/>
  <c r="F28" i="71" s="1"/>
  <c r="F29" i="71" s="1"/>
  <c r="V29" i="71" s="1"/>
  <c r="P26" i="71"/>
  <c r="O26" i="71"/>
  <c r="C27"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AA30" i="71"/>
  <c r="Y26" i="71"/>
  <c r="Z26" i="71" s="1"/>
  <c r="AB26" i="71"/>
  <c r="X27" i="71"/>
  <c r="AA27" i="71"/>
  <c r="X28" i="71"/>
  <c r="AA28" i="71"/>
  <c r="X29" i="71"/>
  <c r="AA29" i="71"/>
  <c r="C31" i="71"/>
  <c r="C32" i="71"/>
  <c r="Y30" i="71"/>
  <c r="Z30" i="71"/>
  <c r="AB30" i="71"/>
  <c r="X31" i="71"/>
  <c r="AA31" i="71"/>
  <c r="X32" i="71"/>
  <c r="AA32" i="71"/>
  <c r="X33" i="71"/>
  <c r="AA33" i="71"/>
  <c r="C35" i="71"/>
  <c r="D35" i="71" s="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D31" i="71"/>
  <c r="C36" i="71"/>
  <c r="C40" i="71"/>
  <c r="D39" i="71"/>
  <c r="C44" i="71"/>
  <c r="D44" i="71" s="1"/>
  <c r="D43" i="71"/>
  <c r="C48" i="7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T25" i="71"/>
  <c r="C24" i="71"/>
  <c r="C23" i="71" s="1"/>
  <c r="D23" i="71" s="1"/>
  <c r="F25" i="71"/>
  <c r="F24" i="71" s="1"/>
  <c r="F23" i="71" s="1"/>
  <c r="AB23" i="71"/>
  <c r="AB25" i="71"/>
  <c r="E25" i="71"/>
  <c r="E24" i="71"/>
  <c r="E23" i="71" s="1"/>
  <c r="AA3" i="71"/>
  <c r="AA22" i="71"/>
  <c r="AA23" i="71"/>
  <c r="AA24" i="71"/>
  <c r="AA25" i="71"/>
  <c r="D25" i="71"/>
  <c r="U25" i="71"/>
  <c r="C63" i="71"/>
  <c r="O64" i="71"/>
  <c r="D64" i="71"/>
  <c r="C61" i="71"/>
  <c r="D61" i="71" s="1"/>
  <c r="D60" i="71"/>
  <c r="D80" i="71"/>
  <c r="C79" i="71"/>
  <c r="D79" i="71"/>
  <c r="D72" i="71"/>
  <c r="C71" i="71"/>
  <c r="D71" i="71" s="1"/>
  <c r="N62" i="71"/>
  <c r="D84" i="71"/>
  <c r="D76" i="71"/>
  <c r="C75" i="71"/>
  <c r="D75" i="71" s="1"/>
  <c r="D68" i="71"/>
  <c r="C67" i="71"/>
  <c r="D67" i="71"/>
  <c r="C57" i="71"/>
  <c r="D56" i="71"/>
  <c r="P64" i="71"/>
  <c r="E63" i="71"/>
  <c r="P62" i="71" s="1"/>
  <c r="C49" i="71"/>
  <c r="D48" i="71"/>
  <c r="C41" i="71"/>
  <c r="D40" i="71"/>
  <c r="C37" i="71"/>
  <c r="D36" i="71"/>
  <c r="C33" i="71"/>
  <c r="D32" i="71"/>
  <c r="V25" i="71"/>
  <c r="P63" i="71"/>
  <c r="O63" i="71"/>
  <c r="D63" i="71"/>
  <c r="O62" i="71"/>
  <c r="T33" i="71"/>
  <c r="D33" i="71"/>
  <c r="T37" i="71"/>
  <c r="D37" i="71"/>
  <c r="T41" i="71"/>
  <c r="D41" i="71"/>
  <c r="T49" i="71"/>
  <c r="D49"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B66" i="43"/>
  <c r="C29" i="39"/>
  <c r="S29" i="39"/>
  <c r="S18" i="36"/>
  <c r="U18" i="36"/>
  <c r="S21" i="34"/>
  <c r="H25" i="40"/>
  <c r="U25" i="40" s="1"/>
  <c r="J25" i="40"/>
  <c r="AC25" i="40" s="1"/>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B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67" i="43"/>
  <c r="D60" i="43"/>
  <c r="D61" i="43"/>
  <c r="D62" i="43"/>
  <c r="D63" i="43"/>
  <c r="D64" i="43"/>
  <c r="D65" i="43"/>
  <c r="D66" i="43"/>
  <c r="D5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K1" i="12" s="1"/>
  <c r="E11"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I15" i="4"/>
  <c r="H15" i="4"/>
  <c r="G15" i="4"/>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2" i="43" s="1"/>
  <c r="C10" i="43"/>
  <c r="C11" i="43" s="1"/>
  <c r="C9" i="43"/>
  <c r="A7" i="43"/>
  <c r="F33" i="15"/>
  <c r="F61" i="15" s="1"/>
  <c r="M19" i="15"/>
  <c r="BR13" i="3"/>
  <c r="M10" i="1"/>
  <c r="O10" i="1" s="1"/>
  <c r="P10" i="1" s="1"/>
  <c r="B22" i="1"/>
  <c r="G41" i="69" s="1"/>
  <c r="B23" i="1"/>
  <c r="B24" i="1"/>
  <c r="B43" i="1"/>
  <c r="D78" i="9" s="1"/>
  <c r="BQ13" i="3"/>
  <c r="BQ5" i="3" s="1"/>
  <c r="BQ14" i="3"/>
  <c r="BQ15" i="3"/>
  <c r="BQ16" i="3"/>
  <c r="BQ17" i="3"/>
  <c r="BS13" i="3"/>
  <c r="BS14" i="3"/>
  <c r="BS15" i="3"/>
  <c r="BS16" i="3"/>
  <c r="BS17" i="3"/>
  <c r="BR14" i="3"/>
  <c r="BR15" i="3"/>
  <c r="BR16" i="3"/>
  <c r="BR17" i="3"/>
  <c r="BT13" i="3"/>
  <c r="BT5" i="3" s="1"/>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AB39" i="40"/>
  <c r="AC40" i="40"/>
  <c r="AA9" i="40"/>
  <c r="U9" i="40"/>
  <c r="U38" i="40"/>
  <c r="S40" i="40"/>
  <c r="W31"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4"/>
  <c r="C59" i="34" s="1"/>
  <c r="D59" i="34" s="1"/>
  <c r="E59" i="34" s="1"/>
  <c r="F59" i="34" s="1"/>
  <c r="G59" i="34" s="1"/>
  <c r="H59" i="34" s="1"/>
  <c r="I59" i="34" s="1"/>
  <c r="J59" i="34" s="1"/>
  <c r="A118" i="9"/>
  <c r="A4" i="52"/>
  <c r="B41" i="72" s="1"/>
  <c r="J11" i="39"/>
  <c r="W11" i="39" s="1"/>
  <c r="F11" i="39"/>
  <c r="AA11" i="39"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G5" i="3"/>
  <c r="BC5" i="3"/>
  <c r="G17" i="3"/>
  <c r="BA17"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3" i="3" s="1"/>
  <c r="AZ491" i="3"/>
  <c r="AZ376" i="3"/>
  <c r="AZ390" i="3"/>
  <c r="AZ382" i="3"/>
  <c r="H113" i="43"/>
  <c r="F48" i="43"/>
  <c r="H52" i="43" s="1"/>
  <c r="F70" i="43"/>
  <c r="H73" i="43" s="1"/>
  <c r="I17" i="43"/>
  <c r="F6" i="1"/>
  <c r="I20" i="43" s="1"/>
  <c r="U17" i="39"/>
  <c r="S14" i="35"/>
  <c r="U43" i="21"/>
  <c r="U35" i="21"/>
  <c r="AC35" i="21"/>
  <c r="U10"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D93" i="9"/>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AZ80" i="3"/>
  <c r="AZ84" i="3"/>
  <c r="AZ88" i="3"/>
  <c r="AZ107" i="3"/>
  <c r="AZ111" i="3"/>
  <c r="K12" i="1"/>
  <c r="M12" i="1" s="1"/>
  <c r="S13" i="1"/>
  <c r="AR13" i="1" s="1"/>
  <c r="R13" i="1"/>
  <c r="S11" i="1"/>
  <c r="R11" i="1"/>
  <c r="S9" i="1"/>
  <c r="AR9" i="1" s="1"/>
  <c r="R9" i="1"/>
  <c r="J51" i="67"/>
  <c r="H100" i="43"/>
  <c r="AC34" i="33"/>
  <c r="S22" i="31"/>
  <c r="J100" i="43"/>
  <c r="S35" i="40"/>
  <c r="U35" i="40"/>
  <c r="W38" i="40"/>
  <c r="AA32" i="40"/>
  <c r="S17" i="40"/>
  <c r="AC17" i="40"/>
  <c r="AB27" i="40"/>
  <c r="S30" i="40"/>
  <c r="AA19" i="40"/>
  <c r="S28"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1" i="43"/>
  <c r="D120" i="9"/>
  <c r="D121" i="9" s="1"/>
  <c r="D7" i="52" s="1"/>
  <c r="C18" i="9"/>
  <c r="D18" i="9" s="1"/>
  <c r="F34" i="67"/>
  <c r="F62" i="67" s="1"/>
  <c r="M20" i="67"/>
  <c r="F34" i="15"/>
  <c r="F62" i="15"/>
  <c r="BA13" i="3"/>
  <c r="BA5" i="3" s="1"/>
  <c r="BL17" i="3"/>
  <c r="AZ17" i="3" s="1"/>
  <c r="BL13" i="3"/>
  <c r="J56" i="9"/>
  <c r="J57" i="9" s="1"/>
  <c r="J59" i="9" s="1"/>
  <c r="J61" i="9" s="1"/>
  <c r="A24" i="51"/>
  <c r="B18" i="72" s="1"/>
  <c r="U29" i="34"/>
  <c r="E5" i="6"/>
  <c r="D9" i="11" s="1"/>
  <c r="C9" i="11" s="1"/>
  <c r="E32" i="6"/>
  <c r="L19" i="6"/>
  <c r="G1" i="68"/>
  <c r="E19" i="69"/>
  <c r="E19" i="68"/>
  <c r="E19" i="11"/>
  <c r="E1" i="73"/>
  <c r="G22" i="69"/>
  <c r="G22" i="68"/>
  <c r="G26" i="12"/>
  <c r="G22" i="11"/>
  <c r="C100" i="43"/>
  <c r="C7" i="43"/>
  <c r="AB11" i="43"/>
  <c r="AB13" i="43" s="1"/>
  <c r="E48" i="43"/>
  <c r="B46" i="43"/>
  <c r="E70" i="43"/>
  <c r="B68" i="43"/>
  <c r="F100" i="43"/>
  <c r="H53" i="43"/>
  <c r="H71" i="43"/>
  <c r="F34" i="43"/>
  <c r="N3" i="43"/>
  <c r="F37" i="43"/>
  <c r="N5" i="43"/>
  <c r="B19" i="53"/>
  <c r="B37" i="72" s="1"/>
  <c r="C7" i="39"/>
  <c r="C68" i="39" s="1"/>
  <c r="C7" i="33"/>
  <c r="C58" i="33" s="1"/>
  <c r="C7" i="40"/>
  <c r="C63" i="40" s="1"/>
  <c r="G19" i="43"/>
  <c r="O19" i="43" s="1"/>
  <c r="C19" i="43" s="1"/>
  <c r="T35" i="4"/>
  <c r="A19" i="51"/>
  <c r="B14" i="72" s="1"/>
  <c r="A4" i="51"/>
  <c r="B6" i="72" s="1"/>
  <c r="C4" i="12"/>
  <c r="H64" i="43"/>
  <c r="H55" i="43"/>
  <c r="L20" i="6"/>
  <c r="E51" i="40"/>
  <c r="B6" i="1"/>
  <c r="E6" i="1" s="1"/>
  <c r="S8" i="1"/>
  <c r="AR8" i="1" s="1"/>
  <c r="K11" i="1"/>
  <c r="M11" i="1" s="1"/>
  <c r="O11" i="1" s="1"/>
  <c r="P11" i="1" s="1"/>
  <c r="AP6" i="1"/>
  <c r="B9" i="1"/>
  <c r="E9" i="1" s="1"/>
  <c r="K7" i="1"/>
  <c r="G1" i="69"/>
  <c r="W23" i="40"/>
  <c r="U32" i="40"/>
  <c r="AB31" i="40"/>
  <c r="S37" i="40"/>
  <c r="W28" i="40"/>
  <c r="W19" i="40"/>
  <c r="W27" i="40"/>
  <c r="S36"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7" i="40"/>
  <c r="C23" i="40"/>
  <c r="C21" i="40"/>
  <c r="U30" i="40"/>
  <c r="B54" i="43"/>
  <c r="B65" i="43"/>
  <c r="B49" i="43"/>
  <c r="B52" i="43"/>
  <c r="B56" i="43"/>
  <c r="B60" i="43"/>
  <c r="B63" i="43"/>
  <c r="B67" i="43"/>
  <c r="D23" i="15"/>
  <c r="D22" i="15"/>
  <c r="E4" i="4"/>
  <c r="B5" i="62" s="1"/>
  <c r="B73" i="72" s="1"/>
  <c r="C4" i="4"/>
  <c r="AZ13" i="3"/>
  <c r="T11" i="1"/>
  <c r="D19" i="12"/>
  <c r="C19" i="12" s="1"/>
  <c r="AQ9" i="1"/>
  <c r="T9" i="1"/>
  <c r="S7" i="1"/>
  <c r="T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Q7" i="1"/>
  <c r="R22" i="31"/>
  <c r="AP7" i="1"/>
  <c r="M7" i="1"/>
  <c r="O7" i="1"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11" i="12"/>
  <c r="F34" i="68"/>
  <c r="R8" i="1"/>
  <c r="AE7" i="1"/>
  <c r="AE8" i="1"/>
  <c r="AG6" i="1"/>
  <c r="H109" i="9"/>
  <c r="H110" i="9" s="1"/>
  <c r="D18" i="53" s="1"/>
  <c r="B35" i="72" s="1"/>
  <c r="D16" i="53"/>
  <c r="B34" i="72" s="1"/>
  <c r="H112" i="9"/>
  <c r="D21" i="53"/>
  <c r="B39" i="72" s="1"/>
  <c r="H111" i="9"/>
  <c r="D126" i="9" s="1"/>
  <c r="D19" i="53"/>
  <c r="B38" i="72" s="1"/>
  <c r="AD3" i="71"/>
  <c r="J1" i="73"/>
  <c r="H76" i="43"/>
  <c r="H51" i="43"/>
  <c r="H59" i="43"/>
  <c r="M4" i="43"/>
  <c r="N12" i="43"/>
  <c r="M10" i="43"/>
  <c r="M7" i="43"/>
  <c r="N9" i="43"/>
  <c r="N10" i="43"/>
  <c r="M6" i="43"/>
  <c r="N4" i="43"/>
  <c r="O17" i="43"/>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V17" i="71"/>
  <c r="E41" i="43"/>
  <c r="C41" i="43" s="1"/>
  <c r="AO12" i="1"/>
  <c r="AO8" i="1"/>
  <c r="B9" i="76"/>
  <c r="D2" i="35"/>
  <c r="F6" i="73"/>
  <c r="F4" i="73"/>
  <c r="D2" i="37"/>
  <c r="B13" i="76"/>
  <c r="AO13" i="1"/>
  <c r="E2" i="69"/>
  <c r="F7" i="73"/>
  <c r="AO7" i="1"/>
  <c r="E13" i="76"/>
  <c r="E11" i="76"/>
  <c r="B12" i="76"/>
  <c r="D2" i="36"/>
  <c r="B8" i="76"/>
  <c r="D5" i="73"/>
  <c r="B11" i="76"/>
  <c r="AO11" i="1"/>
  <c r="D4" i="73"/>
  <c r="E12" i="76"/>
  <c r="E7" i="76"/>
  <c r="AO10" i="1"/>
  <c r="D2" i="34"/>
  <c r="F20" i="31"/>
  <c r="F3" i="73"/>
  <c r="E2" i="68"/>
  <c r="D6" i="73"/>
  <c r="D7" i="73"/>
  <c r="E10" i="76"/>
  <c r="AO9" i="1"/>
  <c r="E9" i="76"/>
  <c r="D2" i="21"/>
  <c r="F5" i="73"/>
  <c r="E8" i="76"/>
  <c r="B10" i="76"/>
  <c r="B7" i="76"/>
  <c r="D3" i="73"/>
  <c r="D2" i="33"/>
  <c r="L27" i="6" l="1"/>
  <c r="E19" i="6"/>
  <c r="K6" i="1" s="1"/>
  <c r="M6" i="1" s="1"/>
  <c r="O6" i="1" s="1"/>
  <c r="P6" i="1" s="1"/>
  <c r="G8" i="1"/>
  <c r="E29" i="6"/>
  <c r="K15" i="1" s="1"/>
  <c r="F28" i="6"/>
  <c r="G30" i="6"/>
  <c r="G31" i="6" s="1"/>
  <c r="BI5" i="3"/>
  <c r="BE5" i="3"/>
  <c r="AR7" i="1"/>
  <c r="P61" i="15"/>
  <c r="AB28" i="40"/>
  <c r="AB37" i="40"/>
  <c r="AC36" i="40"/>
  <c r="W35" i="40"/>
  <c r="U36" i="40"/>
  <c r="W25" i="40"/>
  <c r="U21" i="40"/>
  <c r="S21" i="40"/>
  <c r="S25" i="40"/>
  <c r="S23" i="40"/>
  <c r="AC21" i="40"/>
  <c r="U23" i="40"/>
  <c r="AB19" i="40"/>
  <c r="AC15" i="40"/>
  <c r="U15" i="40"/>
  <c r="AA15" i="40"/>
  <c r="AC9" i="40"/>
  <c r="W8" i="40"/>
  <c r="E59" i="43"/>
  <c r="B57" i="43" s="1"/>
  <c r="AE10" i="43"/>
  <c r="E17" i="43"/>
  <c r="N17" i="43"/>
  <c r="C6" i="43"/>
  <c r="H72" i="43"/>
  <c r="F33" i="43"/>
  <c r="H75" i="43"/>
  <c r="J17" i="43"/>
  <c r="D17" i="43"/>
  <c r="M17" i="43"/>
  <c r="L17" i="43"/>
  <c r="N2" i="43"/>
  <c r="N7" i="43"/>
  <c r="H74" i="43"/>
  <c r="M8" i="43"/>
  <c r="H70" i="43"/>
  <c r="M2" i="43"/>
  <c r="N11" i="43"/>
  <c r="M5" i="43"/>
  <c r="H61" i="43"/>
  <c r="H77" i="43"/>
  <c r="H66" i="43"/>
  <c r="M12" i="43"/>
  <c r="M9" i="43"/>
  <c r="F38" i="43"/>
  <c r="N6" i="43"/>
  <c r="F81" i="43" s="1"/>
  <c r="K17" i="43"/>
  <c r="C17" i="43"/>
  <c r="H78" i="43"/>
  <c r="H17" i="43"/>
  <c r="N8" i="43"/>
  <c r="M3" i="43"/>
  <c r="F35" i="43"/>
  <c r="F39" i="43"/>
  <c r="M11" i="43"/>
  <c r="F36" i="43"/>
  <c r="E11" i="43"/>
  <c r="E9" i="43"/>
  <c r="E10" i="43"/>
  <c r="E8" i="43"/>
  <c r="C25" i="40"/>
  <c r="C15" i="40"/>
  <c r="C15" i="39"/>
  <c r="C27" i="39"/>
  <c r="C94" i="9"/>
  <c r="C92" i="9"/>
  <c r="B41" i="1"/>
  <c r="D68" i="9" s="1"/>
  <c r="F54" i="9"/>
  <c r="F52" i="9"/>
  <c r="C40" i="11"/>
  <c r="C23" i="12"/>
  <c r="C40" i="69"/>
  <c r="C21" i="69"/>
  <c r="D22" i="67"/>
  <c r="C36" i="69"/>
  <c r="AR12" i="1"/>
  <c r="G1" i="67"/>
  <c r="G1" i="15"/>
  <c r="T12" i="1"/>
  <c r="AE11" i="43"/>
  <c r="AE13" i="43" s="1"/>
  <c r="G22" i="43"/>
  <c r="H5" i="3"/>
  <c r="G13" i="3"/>
  <c r="AQ11" i="1"/>
  <c r="AR11" i="1"/>
  <c r="AQ10" i="1"/>
  <c r="AR10" i="1"/>
  <c r="E12" i="6"/>
  <c r="E62" i="39" s="1"/>
  <c r="G5" i="3"/>
  <c r="B3" i="3" s="1"/>
  <c r="AQ8" i="1"/>
  <c r="E14" i="6"/>
  <c r="E15" i="6"/>
  <c r="E13" i="6"/>
  <c r="F30" i="6"/>
  <c r="F31" i="6" s="1"/>
  <c r="E28" i="6"/>
  <c r="T8" i="1"/>
  <c r="D9" i="68"/>
  <c r="C9" i="68" s="1"/>
  <c r="T13" i="1"/>
  <c r="D9" i="69"/>
  <c r="C9" i="69" s="1"/>
  <c r="AQ13" i="1"/>
  <c r="E56" i="39"/>
  <c r="T10" i="1"/>
  <c r="E11" i="6"/>
  <c r="E10" i="6"/>
  <c r="F22" i="43"/>
  <c r="F101" i="43"/>
  <c r="E22" i="43"/>
  <c r="L101" i="43"/>
  <c r="H101" i="43"/>
  <c r="M101" i="43"/>
  <c r="E101" i="43"/>
  <c r="AJ11" i="43"/>
  <c r="AJ13" i="43" s="1"/>
  <c r="AH11" i="43"/>
  <c r="AD11" i="43"/>
  <c r="Z7" i="43"/>
  <c r="AI11" i="43"/>
  <c r="AI13" i="43" s="1"/>
  <c r="AG11" i="43"/>
  <c r="AA11" i="43"/>
  <c r="AA13" i="43" s="1"/>
  <c r="Y11" i="43"/>
  <c r="Y13" i="43" s="1"/>
  <c r="B113" i="43"/>
  <c r="K101" i="43"/>
  <c r="N101" i="43"/>
  <c r="G101" i="43"/>
  <c r="C101" i="43"/>
  <c r="J101" i="43"/>
  <c r="N104" i="46"/>
  <c r="H22" i="43"/>
  <c r="D101" i="43"/>
  <c r="J22" i="43"/>
  <c r="AC11" i="43"/>
  <c r="Z11" i="43"/>
  <c r="AF11" i="43"/>
  <c r="I101" i="43"/>
  <c r="H49" i="43"/>
  <c r="H48" i="43"/>
  <c r="H54" i="43"/>
  <c r="H60" i="43"/>
  <c r="H67" i="43"/>
  <c r="H56" i="43"/>
  <c r="H63" i="43"/>
  <c r="H65" i="43"/>
  <c r="H50" i="43"/>
  <c r="G12" i="1"/>
  <c r="G10" i="1"/>
  <c r="G6" i="1"/>
  <c r="G7" i="1"/>
  <c r="G11" i="1"/>
  <c r="G9" i="1"/>
  <c r="C20" i="43"/>
  <c r="D20" i="53"/>
  <c r="B40" i="72" s="1"/>
  <c r="M47" i="9"/>
  <c r="C7" i="21"/>
  <c r="C58" i="21" s="1"/>
  <c r="C7" i="35"/>
  <c r="C48" i="35" s="1"/>
  <c r="D48" i="35" s="1"/>
  <c r="C42" i="1"/>
  <c r="C7" i="36"/>
  <c r="C46" i="36" s="1"/>
  <c r="D46" i="36" s="1"/>
  <c r="E46" i="36" s="1"/>
  <c r="F46" i="36" s="1"/>
  <c r="G46" i="36" s="1"/>
  <c r="H46" i="36" s="1"/>
  <c r="I46" i="36" s="1"/>
  <c r="C70" i="39"/>
  <c r="D68" i="39"/>
  <c r="I14" i="74"/>
  <c r="B8" i="74" s="1"/>
  <c r="D127" i="9"/>
  <c r="D13" i="52" s="1"/>
  <c r="D12" i="52"/>
  <c r="P7" i="1"/>
  <c r="E12" i="71"/>
  <c r="E11" i="71" s="1"/>
  <c r="E10" i="71" s="1"/>
  <c r="E9" i="71" s="1"/>
  <c r="V13" i="71"/>
  <c r="O12" i="1"/>
  <c r="P12" i="1" s="1"/>
  <c r="AZ503" i="3"/>
  <c r="BL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U13" i="21"/>
  <c r="AB13" i="21"/>
  <c r="W27" i="21"/>
  <c r="AC27" i="21"/>
  <c r="AC29" i="21"/>
  <c r="W29" i="21"/>
  <c r="D17" i="53"/>
  <c r="B36" i="72" s="1"/>
  <c r="D124" i="9"/>
  <c r="AZ557" i="3"/>
  <c r="S12" i="21"/>
  <c r="AA12" i="21"/>
  <c r="AA9" i="34"/>
  <c r="S9" i="34"/>
  <c r="AB27" i="36"/>
  <c r="U12" i="39"/>
  <c r="AA34" i="33"/>
  <c r="AA25" i="21"/>
  <c r="W31" i="34"/>
  <c r="AA13" i="35"/>
  <c r="H36" i="35"/>
  <c r="J36" i="35"/>
  <c r="O8" i="1"/>
  <c r="P8" i="1" s="1"/>
  <c r="AZ409" i="3"/>
  <c r="AZ425" i="3"/>
  <c r="AZ432" i="3"/>
  <c r="AZ445" i="3"/>
  <c r="AZ464" i="3"/>
  <c r="AZ467" i="3"/>
  <c r="J9" i="34"/>
  <c r="H9" i="34"/>
  <c r="J34" i="35"/>
  <c r="H34" i="35"/>
  <c r="F34" i="35"/>
  <c r="AZ399" i="3"/>
  <c r="AZ404" i="3"/>
  <c r="AZ411" i="3"/>
  <c r="AZ414" i="3"/>
  <c r="AZ421" i="3"/>
  <c r="AZ449" i="3"/>
  <c r="AZ453" i="3"/>
  <c r="AZ455" i="3"/>
  <c r="AZ460" i="3"/>
  <c r="AC31" i="35"/>
  <c r="AZ471" i="3"/>
  <c r="AZ474" i="3"/>
  <c r="AZ476" i="3"/>
  <c r="AZ478" i="3"/>
  <c r="AZ480" i="3"/>
  <c r="AZ482" i="3"/>
  <c r="AZ484" i="3"/>
  <c r="AZ486" i="3"/>
  <c r="AZ488" i="3"/>
  <c r="AZ492" i="3"/>
  <c r="AZ395" i="3"/>
  <c r="AZ208" i="3"/>
  <c r="AZ211" i="3"/>
  <c r="AZ219" i="3"/>
  <c r="AZ236" i="3"/>
  <c r="AZ252" i="3"/>
  <c r="AZ272" i="3"/>
  <c r="AZ276" i="3"/>
  <c r="AZ289" i="3"/>
  <c r="AZ294" i="3"/>
  <c r="AZ300" i="3"/>
  <c r="AZ118" i="3"/>
  <c r="AZ121" i="3"/>
  <c r="AZ134" i="3"/>
  <c r="AZ137" i="3"/>
  <c r="AZ145" i="3"/>
  <c r="AZ161" i="3"/>
  <c r="AZ38" i="3"/>
  <c r="AZ44" i="3"/>
  <c r="AZ48" i="3"/>
  <c r="AZ60" i="3"/>
  <c r="AZ64" i="3"/>
  <c r="AZ78" i="3"/>
  <c r="AZ91" i="3"/>
  <c r="AZ98" i="3"/>
  <c r="AZ18" i="3"/>
  <c r="AZ27" i="3"/>
  <c r="AZ112" i="3"/>
  <c r="F3" i="35"/>
  <c r="D51" i="71"/>
  <c r="C52" i="71"/>
  <c r="D27" i="71"/>
  <c r="C28" i="71"/>
  <c r="AB5" i="71"/>
  <c r="X5" i="71"/>
  <c r="Y5" i="71"/>
  <c r="Z5" i="71" s="1"/>
  <c r="AA5" i="71"/>
  <c r="D24" i="71"/>
  <c r="AB24" i="71"/>
  <c r="S25" i="71"/>
  <c r="AB28" i="71"/>
  <c r="AA6" i="71"/>
  <c r="AA7" i="71"/>
  <c r="AA36" i="71"/>
  <c r="AA34" i="71"/>
  <c r="V65" i="71"/>
  <c r="F64" i="71"/>
  <c r="AJ10" i="43"/>
  <c r="M100" i="43"/>
  <c r="I100" i="43"/>
  <c r="E100" i="43"/>
  <c r="D100" i="43"/>
  <c r="C40" i="68"/>
  <c r="C21" i="68"/>
  <c r="Y6" i="71"/>
  <c r="Z6" i="71" s="1"/>
  <c r="Y7" i="71"/>
  <c r="Z7" i="71" s="1"/>
  <c r="Y36" i="71"/>
  <c r="Z36" i="71" s="1"/>
  <c r="V69" i="71"/>
  <c r="F68" i="71"/>
  <c r="F67" i="71" s="1"/>
  <c r="Z12" i="43"/>
  <c r="Z10" i="43"/>
  <c r="AD12" i="43"/>
  <c r="AD13" i="43" s="1"/>
  <c r="AD10" i="43"/>
  <c r="AF12" i="43"/>
  <c r="AF13" i="43" s="1"/>
  <c r="AF10" i="43"/>
  <c r="AH12" i="43"/>
  <c r="AH10" i="43"/>
  <c r="X6" i="71"/>
  <c r="X7" i="71"/>
  <c r="AB6" i="71"/>
  <c r="AB7" i="71"/>
  <c r="AC12" i="43"/>
  <c r="AC13" i="43" s="1"/>
  <c r="AC10" i="43"/>
  <c r="AG12" i="43"/>
  <c r="AG10" i="43"/>
  <c r="X21" i="71"/>
  <c r="Y21" i="71"/>
  <c r="Z21" i="71" s="1"/>
  <c r="AA20" i="71"/>
  <c r="X19" i="71"/>
  <c r="AA18" i="71"/>
  <c r="X18" i="71"/>
  <c r="Y18" i="71"/>
  <c r="Z18" i="71" s="1"/>
  <c r="X14" i="71"/>
  <c r="Y14" i="71"/>
  <c r="Z14" i="71" s="1"/>
  <c r="AA14" i="71"/>
  <c r="AB15" i="71"/>
  <c r="Y11" i="71"/>
  <c r="Z11" i="71" s="1"/>
  <c r="AB11" i="71"/>
  <c r="Y19" i="71"/>
  <c r="Z19" i="71" s="1"/>
  <c r="AB20" i="71"/>
  <c r="AB18" i="71"/>
  <c r="Y15" i="71"/>
  <c r="Z15" i="71" s="1"/>
  <c r="X15" i="71"/>
  <c r="AA15" i="71"/>
  <c r="AA19" i="71"/>
  <c r="X12" i="71"/>
  <c r="AA12" i="71"/>
  <c r="AB9" i="71"/>
  <c r="AA8" i="71"/>
  <c r="AA10" i="71"/>
  <c r="X8" i="71"/>
  <c r="X10" i="71"/>
  <c r="X11" i="71"/>
  <c r="Y8" i="71"/>
  <c r="Z8" i="71" s="1"/>
  <c r="Y10" i="71"/>
  <c r="Z10" i="71" s="1"/>
  <c r="AA21" i="71"/>
  <c r="AB21" i="71"/>
  <c r="B21" i="71"/>
  <c r="C21" i="71"/>
  <c r="Y20" i="71"/>
  <c r="Z20" i="71" s="1"/>
  <c r="AB12" i="71"/>
  <c r="AB14" i="71"/>
  <c r="AB8" i="71"/>
  <c r="AB10" i="71"/>
  <c r="AA9" i="71"/>
  <c r="AA11" i="71"/>
  <c r="X9" i="71"/>
  <c r="Y9" i="71"/>
  <c r="Z9" i="71"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K1" i="73"/>
  <c r="B20" i="31"/>
  <c r="B21" i="31" s="1"/>
  <c r="I1" i="73"/>
  <c r="B39" i="1" s="1"/>
  <c r="B12" i="70"/>
  <c r="B7" i="70"/>
  <c r="B11" i="70"/>
  <c r="B8" i="70"/>
  <c r="B9" i="70"/>
  <c r="B13" i="70"/>
  <c r="J15" i="67"/>
  <c r="M24" i="67"/>
  <c r="M22" i="67"/>
  <c r="F26" i="15"/>
  <c r="F35" i="67"/>
  <c r="F16" i="67"/>
  <c r="F8" i="67"/>
  <c r="M26" i="15"/>
  <c r="M21" i="67"/>
  <c r="M26" i="67"/>
  <c r="M8" i="15"/>
  <c r="M28" i="15"/>
  <c r="F42" i="67"/>
  <c r="F7" i="15"/>
  <c r="F26" i="67"/>
  <c r="M22" i="15"/>
  <c r="F6" i="15"/>
  <c r="M27" i="15"/>
  <c r="M28" i="67"/>
  <c r="F8" i="15"/>
  <c r="F16" i="15"/>
  <c r="F38" i="67"/>
  <c r="M23" i="67"/>
  <c r="F37" i="15"/>
  <c r="M9" i="67"/>
  <c r="F9" i="67"/>
  <c r="F37" i="67"/>
  <c r="M8" i="67"/>
  <c r="L48" i="67"/>
  <c r="M6" i="67"/>
  <c r="F7" i="67"/>
  <c r="M6" i="15"/>
  <c r="F13" i="15"/>
  <c r="F40" i="67"/>
  <c r="F42" i="15"/>
  <c r="F36" i="15"/>
  <c r="F6" i="67"/>
  <c r="L47" i="67"/>
  <c r="C76" i="67"/>
  <c r="L47" i="15"/>
  <c r="F41" i="67"/>
  <c r="J15" i="15"/>
  <c r="F43" i="15"/>
  <c r="F13" i="67"/>
  <c r="F40" i="15"/>
  <c r="F43" i="67"/>
  <c r="M24" i="15"/>
  <c r="M23" i="15"/>
  <c r="F38" i="15"/>
  <c r="C76" i="15"/>
  <c r="M29" i="15"/>
  <c r="F36" i="67"/>
  <c r="F9" i="15"/>
  <c r="M29" i="67"/>
  <c r="L48" i="15"/>
  <c r="M27" i="67"/>
  <c r="M9" i="15"/>
  <c r="G1" i="73"/>
  <c r="Q16" i="1" l="1"/>
  <c r="H16" i="1"/>
  <c r="E27" i="6"/>
  <c r="E57" i="40"/>
  <c r="G16" i="1"/>
  <c r="F10" i="39" s="1"/>
  <c r="G17" i="43"/>
  <c r="C16" i="43" s="1"/>
  <c r="H83" i="43"/>
  <c r="G83" i="43" s="1"/>
  <c r="H86" i="43"/>
  <c r="G86" i="43" s="1"/>
  <c r="H87" i="43"/>
  <c r="G87" i="43" s="1"/>
  <c r="H81" i="43"/>
  <c r="G81" i="43" s="1"/>
  <c r="H88" i="43"/>
  <c r="G88" i="43" s="1"/>
  <c r="H82" i="43"/>
  <c r="G82" i="43" s="1"/>
  <c r="H85" i="43"/>
  <c r="G85" i="43" s="1"/>
  <c r="H84" i="43"/>
  <c r="G84" i="43" s="1"/>
  <c r="F30" i="68"/>
  <c r="F48" i="68" s="1"/>
  <c r="F32" i="15"/>
  <c r="F60" i="15" s="1"/>
  <c r="F30" i="69"/>
  <c r="F48" i="69" s="1"/>
  <c r="F53" i="9"/>
  <c r="F28" i="67"/>
  <c r="F32" i="67"/>
  <c r="F60" i="67" s="1"/>
  <c r="F28" i="15"/>
  <c r="F31" i="12"/>
  <c r="F48" i="9"/>
  <c r="O52" i="9" s="1"/>
  <c r="M18" i="67"/>
  <c r="F30" i="11"/>
  <c r="M18" i="15"/>
  <c r="C36" i="68"/>
  <c r="C31" i="12"/>
  <c r="Q71" i="15"/>
  <c r="C6" i="15"/>
  <c r="C32" i="15" s="1"/>
  <c r="F64" i="15"/>
  <c r="N59" i="15"/>
  <c r="M59" i="15"/>
  <c r="L59" i="15"/>
  <c r="Q61" i="15" s="1"/>
  <c r="L58" i="15"/>
  <c r="Q73" i="15" s="1"/>
  <c r="F71" i="15"/>
  <c r="F68" i="15"/>
  <c r="F66" i="15"/>
  <c r="J57" i="15"/>
  <c r="J55" i="15" s="1"/>
  <c r="J58" i="15" s="1"/>
  <c r="Q50" i="15" s="1"/>
  <c r="J53" i="15"/>
  <c r="L56" i="15" s="1"/>
  <c r="I54" i="15"/>
  <c r="M7" i="15"/>
  <c r="J6" i="15" s="1"/>
  <c r="J18" i="15" s="1"/>
  <c r="F50" i="15"/>
  <c r="C27" i="15"/>
  <c r="F51" i="15"/>
  <c r="F65" i="15"/>
  <c r="N59" i="67"/>
  <c r="L58" i="67"/>
  <c r="Q73" i="67" s="1"/>
  <c r="L59" i="67"/>
  <c r="Q74" i="67" s="1"/>
  <c r="M59" i="67"/>
  <c r="C27" i="67"/>
  <c r="F51" i="67"/>
  <c r="F64" i="67"/>
  <c r="F71" i="67"/>
  <c r="F50" i="67"/>
  <c r="M7" i="67"/>
  <c r="J6" i="67" s="1"/>
  <c r="J18" i="67" s="1"/>
  <c r="F70" i="67"/>
  <c r="J20" i="67"/>
  <c r="F66" i="67"/>
  <c r="F65" i="67"/>
  <c r="F68" i="67"/>
  <c r="C6" i="67"/>
  <c r="C32" i="67" s="1"/>
  <c r="F69" i="67"/>
  <c r="J57" i="67"/>
  <c r="J55" i="67" s="1"/>
  <c r="J58" i="67" s="1"/>
  <c r="Q50" i="67" s="1"/>
  <c r="I54" i="67"/>
  <c r="J53" i="67"/>
  <c r="Q52" i="67" s="1"/>
  <c r="L56" i="67"/>
  <c r="Q71" i="67"/>
  <c r="C34" i="67"/>
  <c r="F63" i="67"/>
  <c r="C62" i="67" s="1"/>
  <c r="D22" i="4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388" i="3"/>
  <c r="E555" i="3"/>
  <c r="E410" i="3"/>
  <c r="E337" i="3"/>
  <c r="E143" i="3"/>
  <c r="E397" i="3"/>
  <c r="E568" i="3"/>
  <c r="E536" i="3"/>
  <c r="E549" i="3"/>
  <c r="E453" i="3"/>
  <c r="E368" i="3"/>
  <c r="E244" i="3"/>
  <c r="E19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O6" i="3"/>
  <c r="E359" i="3"/>
  <c r="E97" i="3"/>
  <c r="E511" i="3"/>
  <c r="AK6" i="3"/>
  <c r="E306" i="3"/>
  <c r="E262" i="3"/>
  <c r="E99" i="3"/>
  <c r="E228" i="3"/>
  <c r="E157" i="3"/>
  <c r="E120" i="3"/>
  <c r="E277" i="3"/>
  <c r="E177" i="3"/>
  <c r="E133" i="3"/>
  <c r="E330" i="3"/>
  <c r="K6" i="3"/>
  <c r="Q6" i="3"/>
  <c r="E560" i="3"/>
  <c r="E437" i="3"/>
  <c r="E472"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74" i="3"/>
  <c r="E285" i="3"/>
  <c r="E314" i="3"/>
  <c r="E16" i="3"/>
  <c r="E434" i="3"/>
  <c r="E296" i="3"/>
  <c r="E136" i="3"/>
  <c r="E188" i="3"/>
  <c r="E181" i="3"/>
  <c r="E45" i="3"/>
  <c r="E224" i="3"/>
  <c r="E193" i="3"/>
  <c r="E313" i="3"/>
  <c r="E519" i="3"/>
  <c r="E532" i="3"/>
  <c r="E573" i="3"/>
  <c r="E529" i="3"/>
  <c r="E458" i="3"/>
  <c r="E474"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27" i="69"/>
  <c r="F27" i="11"/>
  <c r="F28" i="12"/>
  <c r="F27" i="68"/>
  <c r="E13" i="3"/>
  <c r="I6" i="3"/>
  <c r="E16" i="6"/>
  <c r="E58" i="40"/>
  <c r="E63" i="39"/>
  <c r="E64" i="39"/>
  <c r="E59" i="40"/>
  <c r="E61" i="39"/>
  <c r="E56" i="40"/>
  <c r="K19" i="6"/>
  <c r="S6" i="1" s="1"/>
  <c r="E6" i="70" s="1"/>
  <c r="E2" i="70" s="1"/>
  <c r="K25" i="6"/>
  <c r="M25" i="6" s="1"/>
  <c r="I25" i="6" s="1"/>
  <c r="S25" i="6" s="1"/>
  <c r="K14" i="1"/>
  <c r="K21" i="6"/>
  <c r="M21" i="6" s="1"/>
  <c r="I21" i="6" s="1"/>
  <c r="S21" i="6" s="1"/>
  <c r="K26" i="6"/>
  <c r="M26" i="6" s="1"/>
  <c r="I26" i="6" s="1"/>
  <c r="S26" i="6" s="1"/>
  <c r="K22" i="6"/>
  <c r="M22" i="6" s="1"/>
  <c r="I22" i="6" s="1"/>
  <c r="S22" i="6" s="1"/>
  <c r="E30" i="6"/>
  <c r="E31" i="6" s="1"/>
  <c r="K23" i="6"/>
  <c r="M23" i="6" s="1"/>
  <c r="I23" i="6" s="1"/>
  <c r="S23" i="6" s="1"/>
  <c r="E60" i="40"/>
  <c r="E65" i="39"/>
  <c r="I109" i="43"/>
  <c r="I104" i="43"/>
  <c r="I107" i="43"/>
  <c r="I105" i="43"/>
  <c r="I102" i="43"/>
  <c r="I103" i="43"/>
  <c r="I106" i="43"/>
  <c r="D109" i="43"/>
  <c r="D105" i="43"/>
  <c r="D106" i="43"/>
  <c r="D102" i="43"/>
  <c r="D104" i="43"/>
  <c r="D103" i="43"/>
  <c r="D107" i="43"/>
  <c r="C104" i="43"/>
  <c r="C105" i="43"/>
  <c r="C109" i="43"/>
  <c r="C106" i="43"/>
  <c r="C103" i="43"/>
  <c r="C102" i="43"/>
  <c r="C107" i="43"/>
  <c r="N102" i="43"/>
  <c r="N103" i="43"/>
  <c r="N106" i="43"/>
  <c r="N104" i="43"/>
  <c r="N105" i="43"/>
  <c r="N107" i="43"/>
  <c r="N109" i="43"/>
  <c r="B115" i="43"/>
  <c r="D117" i="43"/>
  <c r="E117" i="43" s="1"/>
  <c r="F117" i="43" s="1"/>
  <c r="G117" i="43" s="1"/>
  <c r="H117" i="43" s="1"/>
  <c r="I118" i="43"/>
  <c r="J118" i="43" s="1"/>
  <c r="K118" i="43" s="1"/>
  <c r="L118" i="43" s="1"/>
  <c r="M118" i="43" s="1"/>
  <c r="G118" i="43"/>
  <c r="H118" i="43" s="1"/>
  <c r="B116" i="43"/>
  <c r="C116" i="43" s="1"/>
  <c r="I117" i="43"/>
  <c r="J117" i="43" s="1"/>
  <c r="K117" i="43" s="1"/>
  <c r="L117" i="43" s="1"/>
  <c r="M117" i="43" s="1"/>
  <c r="B117" i="43"/>
  <c r="C117" i="43" s="1"/>
  <c r="I116" i="43"/>
  <c r="J116" i="43" s="1"/>
  <c r="K116" i="43" s="1"/>
  <c r="L116" i="43" s="1"/>
  <c r="M116" i="43" s="1"/>
  <c r="I115" i="43"/>
  <c r="J115" i="43" s="1"/>
  <c r="K115" i="43" s="1"/>
  <c r="L115" i="43" s="1"/>
  <c r="M115" i="43" s="1"/>
  <c r="D116" i="43"/>
  <c r="E116" i="43" s="1"/>
  <c r="F116" i="43" s="1"/>
  <c r="G116" i="43" s="1"/>
  <c r="H116" i="43" s="1"/>
  <c r="D115" i="43"/>
  <c r="E115" i="43" s="1"/>
  <c r="F115" i="43" s="1"/>
  <c r="G115" i="43" s="1"/>
  <c r="H115" i="43" s="1"/>
  <c r="D118" i="43"/>
  <c r="E118" i="43" s="1"/>
  <c r="F118" i="43" s="1"/>
  <c r="B118" i="43"/>
  <c r="C118" i="43" s="1"/>
  <c r="M109" i="43"/>
  <c r="M104" i="43"/>
  <c r="M107" i="43"/>
  <c r="M105" i="43"/>
  <c r="M106" i="43"/>
  <c r="M102" i="43"/>
  <c r="M103" i="43"/>
  <c r="L106" i="43"/>
  <c r="L107" i="43"/>
  <c r="L103" i="43"/>
  <c r="L109" i="43"/>
  <c r="L102" i="43"/>
  <c r="L104" i="43"/>
  <c r="L105" i="43"/>
  <c r="F104" i="43"/>
  <c r="F107" i="43"/>
  <c r="F106" i="43"/>
  <c r="F105" i="43"/>
  <c r="F102" i="43"/>
  <c r="F109" i="43"/>
  <c r="F103" i="43"/>
  <c r="AG13" i="43"/>
  <c r="AH13" i="43"/>
  <c r="Z13" i="43"/>
  <c r="J104" i="43"/>
  <c r="J105" i="43"/>
  <c r="J103" i="43"/>
  <c r="J107" i="43"/>
  <c r="J106" i="43"/>
  <c r="J109" i="43"/>
  <c r="J102" i="43"/>
  <c r="G105" i="43"/>
  <c r="G103" i="43"/>
  <c r="G106" i="43"/>
  <c r="G109" i="43"/>
  <c r="G102" i="43"/>
  <c r="G107" i="43"/>
  <c r="G104" i="43"/>
  <c r="K103" i="43"/>
  <c r="K107" i="43"/>
  <c r="K104" i="43"/>
  <c r="K105" i="43"/>
  <c r="K109" i="43"/>
  <c r="K102" i="43"/>
  <c r="K106" i="43"/>
  <c r="E104" i="43"/>
  <c r="E107" i="43"/>
  <c r="E105" i="43"/>
  <c r="E102" i="43"/>
  <c r="E103" i="43"/>
  <c r="E106" i="43"/>
  <c r="E109" i="43"/>
  <c r="H107" i="43"/>
  <c r="H106" i="43"/>
  <c r="H105" i="43"/>
  <c r="H109" i="43"/>
  <c r="H102" i="43"/>
  <c r="H104" i="43"/>
  <c r="H103" i="43"/>
  <c r="J10" i="40"/>
  <c r="W10" i="40" s="1"/>
  <c r="H10" i="39"/>
  <c r="AB10" i="39" s="1"/>
  <c r="F10" i="40"/>
  <c r="AA10" i="40" s="1"/>
  <c r="J10" i="39"/>
  <c r="AC10" i="39" s="1"/>
  <c r="H10" i="40"/>
  <c r="U10" i="40" s="1"/>
  <c r="C28" i="15"/>
  <c r="C13" i="12"/>
  <c r="C77" i="9"/>
  <c r="C74" i="9" s="1"/>
  <c r="C30" i="68"/>
  <c r="C24" i="12"/>
  <c r="C36" i="11"/>
  <c r="C30" i="69"/>
  <c r="C28" i="67"/>
  <c r="C48" i="68"/>
  <c r="D70" i="39"/>
  <c r="E68" i="39"/>
  <c r="B20" i="71"/>
  <c r="B19" i="71" s="1"/>
  <c r="B18" i="71" s="1"/>
  <c r="B17" i="71" s="1"/>
  <c r="S21" i="71"/>
  <c r="D52" i="71"/>
  <c r="C53" i="71"/>
  <c r="AB34" i="35"/>
  <c r="U34" i="35"/>
  <c r="AB9" i="34"/>
  <c r="U9" i="34"/>
  <c r="AB36" i="35"/>
  <c r="U36" i="35"/>
  <c r="C20" i="71"/>
  <c r="D21" i="71"/>
  <c r="U21" i="71" s="1"/>
  <c r="T21" i="71"/>
  <c r="F63" i="71"/>
  <c r="Q64" i="71"/>
  <c r="D28" i="71"/>
  <c r="C29" i="71"/>
  <c r="AZ5" i="3"/>
  <c r="AA34" i="35"/>
  <c r="S34" i="35"/>
  <c r="AC34" i="35"/>
  <c r="W34" i="35"/>
  <c r="AC9" i="34"/>
  <c r="W9" i="34"/>
  <c r="W36" i="35"/>
  <c r="AC36" i="35"/>
  <c r="D10" i="52"/>
  <c r="D125" i="9"/>
  <c r="D11" i="52" s="1"/>
  <c r="H14" i="74"/>
  <c r="B7" i="74" s="1"/>
  <c r="E8" i="71"/>
  <c r="E7" i="71" s="1"/>
  <c r="E6" i="71" s="1"/>
  <c r="E5" i="71" s="1"/>
  <c r="V9" i="7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P25" i="43"/>
  <c r="P23" i="43"/>
  <c r="B71" i="39" s="1"/>
  <c r="M28" i="43"/>
  <c r="N28" i="43"/>
  <c r="O28" i="43"/>
  <c r="P28" i="43"/>
  <c r="M11" i="67"/>
  <c r="J10" i="67" s="1"/>
  <c r="F11" i="15"/>
  <c r="M11" i="15"/>
  <c r="F11" i="67"/>
  <c r="C16" i="67"/>
  <c r="C17" i="15"/>
  <c r="C17" i="67"/>
  <c r="C14" i="67"/>
  <c r="C16" i="15"/>
  <c r="K84" i="43" l="1"/>
  <c r="J84" i="43" s="1"/>
  <c r="M84" i="43"/>
  <c r="N84" i="43" s="1"/>
  <c r="K82" i="43"/>
  <c r="M82" i="43"/>
  <c r="N82" i="43" s="1"/>
  <c r="K81" i="43"/>
  <c r="M81" i="43"/>
  <c r="N81" i="43" s="1"/>
  <c r="K86" i="43"/>
  <c r="J86" i="43" s="1"/>
  <c r="D86" i="43" s="1"/>
  <c r="M86" i="43"/>
  <c r="N86" i="43" s="1"/>
  <c r="K85" i="43"/>
  <c r="M85" i="43"/>
  <c r="N85" i="43" s="1"/>
  <c r="K88" i="43"/>
  <c r="M88" i="43"/>
  <c r="N88" i="43" s="1"/>
  <c r="K87" i="43"/>
  <c r="M87" i="43"/>
  <c r="N87" i="43" s="1"/>
  <c r="K83" i="43"/>
  <c r="M83" i="43"/>
  <c r="N83" i="43" s="1"/>
  <c r="C49" i="15"/>
  <c r="K24" i="6"/>
  <c r="M24" i="6" s="1"/>
  <c r="I24" i="6" s="1"/>
  <c r="S24" i="6" s="1"/>
  <c r="K20" i="6"/>
  <c r="M20" i="6" s="1"/>
  <c r="I20" i="6" s="1"/>
  <c r="S20" i="6" s="1"/>
  <c r="W10" i="39"/>
  <c r="H11" i="40"/>
  <c r="F11" i="40"/>
  <c r="J11" i="40"/>
  <c r="H6" i="3"/>
  <c r="C15" i="67"/>
  <c r="C18" i="67"/>
  <c r="D5" i="43"/>
  <c r="C5" i="43"/>
  <c r="C29" i="12"/>
  <c r="D28" i="12" s="1"/>
  <c r="C48" i="69"/>
  <c r="C48" i="11"/>
  <c r="C30" i="11"/>
  <c r="Q61" i="67"/>
  <c r="Q60" i="15"/>
  <c r="Q74" i="15"/>
  <c r="Q60" i="67"/>
  <c r="C49" i="67"/>
  <c r="AQ6" i="1"/>
  <c r="S16" i="1"/>
  <c r="AR6" i="1"/>
  <c r="F1" i="67"/>
  <c r="F1" i="15"/>
  <c r="J10" i="15"/>
  <c r="J5" i="15" s="1"/>
  <c r="J24" i="15" s="1"/>
  <c r="J5" i="67"/>
  <c r="J24" i="67" s="1"/>
  <c r="AC10" i="40"/>
  <c r="T6" i="1"/>
  <c r="Q52" i="15"/>
  <c r="S10" i="40"/>
  <c r="AB10" i="40"/>
  <c r="F45" i="68"/>
  <c r="C29" i="68"/>
  <c r="D27" i="68" s="1"/>
  <c r="C47" i="68"/>
  <c r="D45" i="68" s="1"/>
  <c r="C47" i="11"/>
  <c r="D45" i="11" s="1"/>
  <c r="C29" i="11"/>
  <c r="D27" i="11" s="1"/>
  <c r="F45" i="69"/>
  <c r="C29" i="69"/>
  <c r="D27" i="69" s="1"/>
  <c r="C47" i="69"/>
  <c r="D45" i="69" s="1"/>
  <c r="AC6" i="3"/>
  <c r="E6" i="3" s="1"/>
  <c r="E66" i="39"/>
  <c r="M14" i="1"/>
  <c r="C34" i="69"/>
  <c r="K16" i="1"/>
  <c r="M19" i="6"/>
  <c r="S5" i="43"/>
  <c r="S3" i="43"/>
  <c r="S6" i="43"/>
  <c r="S7" i="43"/>
  <c r="S2" i="43"/>
  <c r="S4" i="43"/>
  <c r="C23" i="43"/>
  <c r="C21" i="43" s="1"/>
  <c r="C115" i="43"/>
  <c r="D113" i="43" s="1"/>
  <c r="U7" i="37"/>
  <c r="F68" i="39"/>
  <c r="E70" i="39"/>
  <c r="AY6" i="3"/>
  <c r="E3" i="6"/>
  <c r="Q63" i="71"/>
  <c r="Q62" i="71"/>
  <c r="B16" i="71"/>
  <c r="B15" i="71" s="1"/>
  <c r="B14" i="71" s="1"/>
  <c r="B13" i="71" s="1"/>
  <c r="S17" i="71"/>
  <c r="T29" i="71"/>
  <c r="D29" i="71"/>
  <c r="C19" i="71"/>
  <c r="D20" i="71"/>
  <c r="T53" i="71"/>
  <c r="D53"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AE6" i="1"/>
  <c r="C14" i="15"/>
  <c r="J81" i="43" l="1"/>
  <c r="D81" i="43"/>
  <c r="J82" i="43"/>
  <c r="D82" i="43"/>
  <c r="J83" i="43"/>
  <c r="D83" i="43"/>
  <c r="J87" i="43"/>
  <c r="D87" i="43"/>
  <c r="J88" i="43"/>
  <c r="D88" i="43"/>
  <c r="J85" i="43"/>
  <c r="D85" i="43"/>
  <c r="C48" i="15"/>
  <c r="C60" i="15" s="1"/>
  <c r="J26" i="15"/>
  <c r="C19" i="67"/>
  <c r="C20" i="67" s="1"/>
  <c r="C26" i="67" s="1"/>
  <c r="K27" i="6"/>
  <c r="J26" i="67"/>
  <c r="J29" i="67" s="1"/>
  <c r="C15" i="15"/>
  <c r="C18" i="15"/>
  <c r="AA11" i="40"/>
  <c r="S11" i="40"/>
  <c r="W11" i="40"/>
  <c r="AC11" i="40"/>
  <c r="AB11" i="40"/>
  <c r="U11" i="40"/>
  <c r="C48" i="67"/>
  <c r="C60" i="67" s="1"/>
  <c r="I19" i="6"/>
  <c r="L18" i="9" s="1"/>
  <c r="M27" i="6"/>
  <c r="O14" i="1"/>
  <c r="O16" i="1" s="1"/>
  <c r="M16" i="1"/>
  <c r="P14" i="1"/>
  <c r="P16" i="1" s="1"/>
  <c r="C11" i="12" s="1"/>
  <c r="T16" i="1"/>
  <c r="C35" i="69"/>
  <c r="C38" i="69"/>
  <c r="F70" i="39"/>
  <c r="G68" i="39"/>
  <c r="D3" i="21"/>
  <c r="D19" i="11"/>
  <c r="C19" i="11" s="1"/>
  <c r="C17" i="4"/>
  <c r="B4" i="52" s="1"/>
  <c r="B43" i="72" s="1"/>
  <c r="D3" i="37"/>
  <c r="D3" i="34"/>
  <c r="D3" i="33"/>
  <c r="E6" i="6"/>
  <c r="D37" i="11"/>
  <c r="C37" i="11" s="1"/>
  <c r="D14" i="12"/>
  <c r="M18" i="9"/>
  <c r="B118" i="9" s="1"/>
  <c r="B14" i="74" s="1"/>
  <c r="B1" i="74" s="1"/>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38" i="15"/>
  <c r="F41" i="15"/>
  <c r="E81" i="43" l="1"/>
  <c r="B79" i="43" s="1"/>
  <c r="C24" i="43" s="1"/>
  <c r="C23" i="67"/>
  <c r="C29" i="67" s="1"/>
  <c r="C36" i="67" s="1"/>
  <c r="C66" i="15"/>
  <c r="C19" i="15"/>
  <c r="C20" i="15" s="1"/>
  <c r="C26" i="15" s="1"/>
  <c r="B2" i="34"/>
  <c r="B3" i="34" s="1"/>
  <c r="H34" i="40"/>
  <c r="J34" i="40"/>
  <c r="F34" i="40"/>
  <c r="J29" i="15"/>
  <c r="F69" i="15"/>
  <c r="C66" i="67"/>
  <c r="C15" i="12"/>
  <c r="C12" i="12"/>
  <c r="S19" i="6"/>
  <c r="S27" i="6" s="1"/>
  <c r="I27" i="6"/>
  <c r="N16" i="1"/>
  <c r="L16" i="1"/>
  <c r="C34" i="68"/>
  <c r="C34" i="11"/>
  <c r="G70" i="39"/>
  <c r="H68" i="39"/>
  <c r="B8" i="71"/>
  <c r="B7" i="71" s="1"/>
  <c r="B6" i="71" s="1"/>
  <c r="B5" i="71" s="1"/>
  <c r="S9" i="71"/>
  <c r="C8" i="74"/>
  <c r="C7" i="74"/>
  <c r="C20" i="11"/>
  <c r="C25" i="11" s="1"/>
  <c r="C22" i="11" s="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D6" i="6"/>
  <c r="D9" i="6"/>
  <c r="D10" i="6"/>
  <c r="L19" i="9"/>
  <c r="D29" i="6"/>
  <c r="H25" i="6"/>
  <c r="H22" i="6"/>
  <c r="H21" i="6"/>
  <c r="H24" i="6"/>
  <c r="C17" i="71"/>
  <c r="D18" i="71"/>
  <c r="D17" i="12"/>
  <c r="C17" i="12" s="1"/>
  <c r="C14" i="12"/>
  <c r="D10" i="68"/>
  <c r="D10" i="69"/>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9" i="43" l="1"/>
  <c r="T6" i="43"/>
  <c r="V6" i="43" s="1"/>
  <c r="T13" i="43"/>
  <c r="V13" i="43" s="1"/>
  <c r="T9" i="43"/>
  <c r="V9" i="43" s="1"/>
  <c r="T16" i="43"/>
  <c r="V16" i="43" s="1"/>
  <c r="T8" i="43"/>
  <c r="V8" i="43" s="1"/>
  <c r="T4" i="43"/>
  <c r="V4" i="43" s="1"/>
  <c r="T3" i="43"/>
  <c r="V3" i="43" s="1"/>
  <c r="C37" i="43"/>
  <c r="C36" i="43"/>
  <c r="C39" i="43"/>
  <c r="T2" i="43"/>
  <c r="V2" i="43" s="1"/>
  <c r="T5" i="43"/>
  <c r="V5" i="43" s="1"/>
  <c r="T11" i="43"/>
  <c r="V11" i="43" s="1"/>
  <c r="T14" i="43"/>
  <c r="V14" i="43" s="1"/>
  <c r="T10" i="43"/>
  <c r="V10" i="43" s="1"/>
  <c r="T12" i="43"/>
  <c r="V12" i="43" s="1"/>
  <c r="T15" i="43"/>
  <c r="V15" i="43" s="1"/>
  <c r="T7" i="43"/>
  <c r="V7" i="43" s="1"/>
  <c r="C35" i="43"/>
  <c r="C34" i="43"/>
  <c r="C33" i="43"/>
  <c r="C38" i="43"/>
  <c r="J59" i="67"/>
  <c r="J60" i="67" s="1"/>
  <c r="Q48" i="67" s="1"/>
  <c r="C13" i="67"/>
  <c r="C56" i="67" s="1"/>
  <c r="C65" i="67" s="1"/>
  <c r="C57" i="67"/>
  <c r="C61" i="67" s="1"/>
  <c r="C59" i="67" s="1"/>
  <c r="C33" i="67"/>
  <c r="C31" i="67" s="1"/>
  <c r="Q49" i="67"/>
  <c r="J19" i="67"/>
  <c r="J17" i="67" s="1"/>
  <c r="J14" i="67"/>
  <c r="J22" i="67" s="1"/>
  <c r="C23" i="15"/>
  <c r="C29" i="15" s="1"/>
  <c r="D30" i="6"/>
  <c r="AC34" i="40"/>
  <c r="W34" i="40"/>
  <c r="AA34" i="40"/>
  <c r="S34" i="40"/>
  <c r="AB34" i="40"/>
  <c r="U34" i="40"/>
  <c r="H27" i="6"/>
  <c r="C16" i="12"/>
  <c r="D16" i="6"/>
  <c r="C35" i="68"/>
  <c r="C38" i="68"/>
  <c r="F50" i="11"/>
  <c r="F50" i="69"/>
  <c r="F50" i="68"/>
  <c r="C38" i="11"/>
  <c r="C35" i="11"/>
  <c r="I68" i="39"/>
  <c r="H70" i="39"/>
  <c r="C10" i="68"/>
  <c r="D19" i="68"/>
  <c r="C16" i="71"/>
  <c r="T17" i="71"/>
  <c r="D17" i="71"/>
  <c r="U17" i="71" s="1"/>
  <c r="R24" i="6"/>
  <c r="R22" i="6"/>
  <c r="R25" i="6"/>
  <c r="R26" i="6"/>
  <c r="D8" i="74"/>
  <c r="D7" i="74"/>
  <c r="C10" i="69"/>
  <c r="C8" i="69" s="1"/>
  <c r="C5" i="69" s="1"/>
  <c r="D19" i="69"/>
  <c r="C21" i="12"/>
  <c r="R21" i="6"/>
  <c r="R23" i="6"/>
  <c r="A7" i="51"/>
  <c r="B7" i="72" s="1"/>
  <c r="C4" i="52"/>
  <c r="B45" i="72" s="1"/>
  <c r="A10" i="51"/>
  <c r="B9" i="72" s="1"/>
  <c r="D27" i="6"/>
  <c r="D31" i="6" s="1"/>
  <c r="R19" i="6"/>
  <c r="C28" i="11"/>
  <c r="C27" i="11" s="1"/>
  <c r="C31" i="11" s="1"/>
  <c r="I63" i="40"/>
  <c r="H65" i="40"/>
  <c r="I58" i="21"/>
  <c r="J58" i="21" s="1"/>
  <c r="K58" i="21" s="1"/>
  <c r="L58" i="21" s="1"/>
  <c r="M58" i="21" s="1"/>
  <c r="N58" i="21" s="1"/>
  <c r="O58" i="21" s="1"/>
  <c r="H7" i="21" s="1"/>
  <c r="F7" i="21"/>
  <c r="J48" i="35"/>
  <c r="J13" i="67"/>
  <c r="J23" i="67" s="1"/>
  <c r="C75" i="67"/>
  <c r="E33" i="43" l="1"/>
  <c r="G33" i="43"/>
  <c r="I33" i="43" s="1"/>
  <c r="G35" i="43"/>
  <c r="I35" i="43" s="1"/>
  <c r="E35" i="43"/>
  <c r="E36" i="43"/>
  <c r="G36" i="43"/>
  <c r="I36" i="43" s="1"/>
  <c r="G38" i="43"/>
  <c r="I38" i="43" s="1"/>
  <c r="E38" i="43"/>
  <c r="E34" i="43"/>
  <c r="G34" i="43"/>
  <c r="I34" i="43" s="1"/>
  <c r="G39" i="43"/>
  <c r="I39" i="43" s="1"/>
  <c r="E39" i="43"/>
  <c r="G37" i="43"/>
  <c r="I37" i="43" s="1"/>
  <c r="E37" i="43"/>
  <c r="C30" i="43"/>
  <c r="E30" i="43" s="1"/>
  <c r="C27" i="43" s="1"/>
  <c r="E29" i="43"/>
  <c r="L46" i="67"/>
  <c r="C64" i="67"/>
  <c r="C58" i="67" s="1"/>
  <c r="C67" i="67" s="1"/>
  <c r="C68" i="67" s="1"/>
  <c r="C37" i="67"/>
  <c r="C30" i="67" s="1"/>
  <c r="C39" i="67" s="1"/>
  <c r="C80" i="67" s="1"/>
  <c r="C79" i="67" s="1"/>
  <c r="Q70" i="67"/>
  <c r="C13" i="15"/>
  <c r="C56" i="15" s="1"/>
  <c r="C65" i="15" s="1"/>
  <c r="J59" i="15"/>
  <c r="J60" i="15" s="1"/>
  <c r="Q48" i="15" s="1"/>
  <c r="J14" i="15"/>
  <c r="C57" i="15"/>
  <c r="Q49" i="15"/>
  <c r="C36" i="15"/>
  <c r="J19" i="15"/>
  <c r="C33" i="11"/>
  <c r="C39" i="11" s="1"/>
  <c r="R27" i="6"/>
  <c r="R6" i="1"/>
  <c r="J7" i="21"/>
  <c r="AC7" i="21" s="1"/>
  <c r="V48" i="21" s="1"/>
  <c r="I48" i="21" s="1"/>
  <c r="I70" i="39"/>
  <c r="J68" i="39"/>
  <c r="I6" i="6"/>
  <c r="I5" i="6"/>
  <c r="C19" i="69"/>
  <c r="C24" i="69" s="1"/>
  <c r="D37" i="69"/>
  <c r="C37" i="69" s="1"/>
  <c r="C33" i="69" s="1"/>
  <c r="C15" i="71"/>
  <c r="D16" i="71"/>
  <c r="C22" i="12"/>
  <c r="C30" i="12" s="1"/>
  <c r="C28" i="12" s="1"/>
  <c r="C23" i="69"/>
  <c r="C19" i="68"/>
  <c r="D37" i="68"/>
  <c r="C37" i="68" s="1"/>
  <c r="C33" i="68" s="1"/>
  <c r="U7" i="21"/>
  <c r="AB7" i="21"/>
  <c r="T48" i="21" s="1"/>
  <c r="G48" i="21" s="1"/>
  <c r="S7" i="21"/>
  <c r="AA7" i="21"/>
  <c r="R48" i="21" s="1"/>
  <c r="J63" i="40"/>
  <c r="I65" i="40"/>
  <c r="K48" i="35"/>
  <c r="L48" i="35" s="1"/>
  <c r="M48" i="35" s="1"/>
  <c r="N48" i="35" s="1"/>
  <c r="O48" i="35" s="1"/>
  <c r="H7" i="35" s="1"/>
  <c r="W7" i="21"/>
  <c r="J16" i="67"/>
  <c r="J25" i="67" s="1"/>
  <c r="F35" i="15"/>
  <c r="M21" i="15"/>
  <c r="L51" i="67"/>
  <c r="C26" i="43" l="1"/>
  <c r="B2" i="43" s="1"/>
  <c r="Q69" i="67"/>
  <c r="Q68" i="67" s="1"/>
  <c r="C40" i="67"/>
  <c r="D2" i="67" s="1"/>
  <c r="Q70" i="15"/>
  <c r="C75" i="15"/>
  <c r="C37" i="15"/>
  <c r="C61" i="15"/>
  <c r="C64" i="15"/>
  <c r="J13" i="15"/>
  <c r="J23" i="15" s="1"/>
  <c r="J22" i="15"/>
  <c r="J20" i="15"/>
  <c r="J17" i="15" s="1"/>
  <c r="C34" i="15"/>
  <c r="C31" i="15" s="1"/>
  <c r="F63" i="15"/>
  <c r="C62" i="15" s="1"/>
  <c r="R16" i="1"/>
  <c r="C42" i="11"/>
  <c r="C46" i="11"/>
  <c r="C45" i="11" s="1"/>
  <c r="C43" i="11"/>
  <c r="C20" i="69"/>
  <c r="C28" i="69" s="1"/>
  <c r="C27" i="69" s="1"/>
  <c r="J7" i="35"/>
  <c r="AC7" i="35" s="1"/>
  <c r="V38" i="35" s="1"/>
  <c r="I38" i="35" s="1"/>
  <c r="C27" i="12"/>
  <c r="C25" i="12" s="1"/>
  <c r="C32" i="12" s="1"/>
  <c r="B2" i="12" s="1"/>
  <c r="B3" i="12" s="1"/>
  <c r="J70" i="39"/>
  <c r="K68" i="39"/>
  <c r="C39" i="68"/>
  <c r="C42" i="68"/>
  <c r="C39" i="69"/>
  <c r="C43" i="69" s="1"/>
  <c r="C42" i="69"/>
  <c r="C24" i="68"/>
  <c r="C14" i="71"/>
  <c r="D15" i="71"/>
  <c r="W7" i="35"/>
  <c r="J65" i="40"/>
  <c r="K63" i="40"/>
  <c r="I52" i="21"/>
  <c r="J52" i="21" s="1"/>
  <c r="U7" i="35"/>
  <c r="AB7" i="35"/>
  <c r="T38" i="35" s="1"/>
  <c r="G38" i="35" s="1"/>
  <c r="R49" i="21"/>
  <c r="E48" i="21"/>
  <c r="G52" i="21"/>
  <c r="H52" i="21" s="1"/>
  <c r="G53" i="21"/>
  <c r="H53" i="21" s="1"/>
  <c r="F7" i="35"/>
  <c r="Q67" i="67"/>
  <c r="L57" i="67"/>
  <c r="L60" i="67" s="1"/>
  <c r="C45" i="67"/>
  <c r="C46" i="67" s="1"/>
  <c r="C71" i="67"/>
  <c r="C43" i="67"/>
  <c r="Q47" i="67"/>
  <c r="Q53" i="67" s="1"/>
  <c r="Q65" i="67"/>
  <c r="E6" i="76"/>
  <c r="B6" i="76"/>
  <c r="E2" i="76" l="1"/>
  <c r="C83" i="67"/>
  <c r="C82" i="67" s="1"/>
  <c r="Q56" i="67"/>
  <c r="B2" i="76"/>
  <c r="B3" i="43"/>
  <c r="C59" i="15"/>
  <c r="C58" i="15" s="1"/>
  <c r="C67" i="15" s="1"/>
  <c r="C68" i="15" s="1"/>
  <c r="C71" i="15" s="1"/>
  <c r="C30" i="15"/>
  <c r="C39" i="15" s="1"/>
  <c r="C80" i="15" s="1"/>
  <c r="C79" i="15" s="1"/>
  <c r="J16" i="15"/>
  <c r="J25" i="15" s="1"/>
  <c r="L57" i="15"/>
  <c r="L60" i="15" s="1"/>
  <c r="L46" i="15" s="1"/>
  <c r="C41" i="11"/>
  <c r="C49" i="11" s="1"/>
  <c r="C51" i="11" s="1"/>
  <c r="C52" i="11" s="1"/>
  <c r="B2" i="11" s="1"/>
  <c r="B3" i="11" s="1"/>
  <c r="C41" i="69"/>
  <c r="C25" i="69"/>
  <c r="C22" i="69" s="1"/>
  <c r="C31" i="69" s="1"/>
  <c r="L68" i="39"/>
  <c r="K70" i="39"/>
  <c r="C46" i="69"/>
  <c r="C45" i="69" s="1"/>
  <c r="C13" i="71"/>
  <c r="D14" i="7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B3" i="76" l="1"/>
  <c r="Q69" i="15"/>
  <c r="Q68" i="15" s="1"/>
  <c r="Q67" i="15"/>
  <c r="C40" i="15"/>
  <c r="B2" i="15" s="1"/>
  <c r="Q66" i="15"/>
  <c r="Q57" i="15"/>
  <c r="C49" i="69"/>
  <c r="C51" i="69" s="1"/>
  <c r="C52" i="69" s="1"/>
  <c r="B2" i="69" s="1"/>
  <c r="B3" i="69" s="1"/>
  <c r="C56" i="11"/>
  <c r="C57" i="11" s="1"/>
  <c r="C49" i="68"/>
  <c r="C51" i="68" s="1"/>
  <c r="M68" i="39"/>
  <c r="L70" i="39"/>
  <c r="C12" i="71"/>
  <c r="T13" i="71"/>
  <c r="D13" i="71"/>
  <c r="U13" i="71" s="1"/>
  <c r="R39" i="35"/>
  <c r="E38" i="35"/>
  <c r="M63" i="40"/>
  <c r="L65" i="40"/>
  <c r="AO6" i="1"/>
  <c r="D19" i="9"/>
  <c r="C46" i="15" l="1"/>
  <c r="C43" i="15"/>
  <c r="Q65" i="15"/>
  <c r="C83" i="15"/>
  <c r="C82" i="15" s="1"/>
  <c r="Q56" i="15"/>
  <c r="Q62" i="15" s="1"/>
  <c r="Q47" i="15"/>
  <c r="Q53" i="15" s="1"/>
  <c r="Q75" i="15"/>
  <c r="D21" i="9"/>
  <c r="D102" i="9"/>
  <c r="B6" i="70"/>
  <c r="B2" i="70" s="1"/>
  <c r="B3" i="70" s="1"/>
  <c r="B3" i="15"/>
  <c r="N68" i="39"/>
  <c r="M70" i="39"/>
  <c r="C57" i="69"/>
  <c r="C56" i="69" s="1"/>
  <c r="C11" i="71"/>
  <c r="D12" i="71"/>
  <c r="C39" i="35"/>
  <c r="B2" i="35" s="1"/>
  <c r="B3" i="35" s="1"/>
  <c r="C38" i="35"/>
  <c r="N63" i="40"/>
  <c r="M65" i="40"/>
  <c r="E43" i="35"/>
  <c r="F43" i="35" s="1"/>
  <c r="E42" i="35"/>
  <c r="F42" i="35" s="1"/>
  <c r="I43" i="35"/>
  <c r="J43" i="35" s="1"/>
  <c r="D20" i="9"/>
  <c r="D103" i="9" l="1"/>
  <c r="N70" i="39"/>
  <c r="H7" i="39" s="1"/>
  <c r="O68" i="39"/>
  <c r="O70" i="39" s="1"/>
  <c r="D11" i="71"/>
  <c r="C10" i="71"/>
  <c r="O63" i="40"/>
  <c r="O65" i="40" s="1"/>
  <c r="N65" i="40"/>
  <c r="AB7" i="39" l="1"/>
  <c r="T47" i="39" s="1"/>
  <c r="G47" i="39" s="1"/>
  <c r="U7" i="39"/>
  <c r="J7" i="39"/>
  <c r="F7" i="39"/>
  <c r="C9" i="71"/>
  <c r="D10" i="71"/>
  <c r="J7" i="40"/>
  <c r="F7" i="40"/>
  <c r="H7" i="40"/>
  <c r="AA7" i="39" l="1"/>
  <c r="R47" i="39" s="1"/>
  <c r="S7" i="39"/>
  <c r="AC7" i="39"/>
  <c r="V47" i="39" s="1"/>
  <c r="I47" i="39" s="1"/>
  <c r="G52" i="39" s="1"/>
  <c r="H52" i="39" s="1"/>
  <c r="W7" i="39"/>
  <c r="G51" i="39"/>
  <c r="H51" i="39" s="1"/>
  <c r="C8" i="71"/>
  <c r="T9" i="71"/>
  <c r="D9" i="71"/>
  <c r="U9" i="71" s="1"/>
  <c r="U7" i="40"/>
  <c r="AB7" i="40"/>
  <c r="T42" i="40" s="1"/>
  <c r="G42" i="40" s="1"/>
  <c r="AA7" i="40"/>
  <c r="R42" i="40" s="1"/>
  <c r="S7" i="40"/>
  <c r="AC7" i="40"/>
  <c r="V42" i="40" s="1"/>
  <c r="I42" i="40" s="1"/>
  <c r="W7" i="40"/>
  <c r="I51" i="39" l="1"/>
  <c r="J51" i="39" s="1"/>
  <c r="R48" i="39"/>
  <c r="E47" i="39"/>
  <c r="I52" i="39" s="1"/>
  <c r="J52" i="39" s="1"/>
  <c r="C7" i="71"/>
  <c r="D8" i="71"/>
  <c r="I46" i="40"/>
  <c r="J46" i="40" s="1"/>
  <c r="R43" i="40"/>
  <c r="E42" i="40"/>
  <c r="G47" i="40"/>
  <c r="H47" i="40" s="1"/>
  <c r="G46" i="40"/>
  <c r="H46" i="40" s="1"/>
  <c r="C47" i="39" l="1"/>
  <c r="C48" i="39"/>
  <c r="E51" i="39"/>
  <c r="F51" i="39" s="1"/>
  <c r="E52" i="39"/>
  <c r="F52" i="39" s="1"/>
  <c r="C6" i="71"/>
  <c r="D7" i="71"/>
  <c r="C42" i="40"/>
  <c r="C44" i="40" s="1"/>
  <c r="C43" i="40"/>
  <c r="E47" i="40"/>
  <c r="F47" i="40" s="1"/>
  <c r="E46" i="40"/>
  <c r="F46" i="40" s="1"/>
  <c r="I47" i="40"/>
  <c r="J47"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5" i="71"/>
  <c r="D6" i="71"/>
  <c r="B55" i="40"/>
  <c r="F55" i="40" s="1"/>
  <c r="B58" i="40"/>
  <c r="F58" i="40" s="1"/>
  <c r="B54" i="40"/>
  <c r="F54" i="40" s="1"/>
  <c r="B53" i="40"/>
  <c r="F53" i="40" s="1"/>
  <c r="B59" i="40"/>
  <c r="F59" i="40" s="1"/>
  <c r="B52" i="40"/>
  <c r="F52" i="40" s="1"/>
  <c r="B56" i="40"/>
  <c r="F56" i="40" s="1"/>
  <c r="B60" i="40"/>
  <c r="F60" i="40" s="1"/>
  <c r="B57" i="40"/>
  <c r="F57" i="40" s="1"/>
  <c r="F61" i="40" s="1"/>
  <c r="B2" i="40" s="1"/>
  <c r="B51" i="40"/>
  <c r="F51" i="40" s="1"/>
  <c r="B3" i="40" l="1"/>
  <c r="C6" i="68"/>
  <c r="C7" i="68" s="1"/>
  <c r="C5" i="68" s="1"/>
  <c r="D5" i="71"/>
  <c r="M20" i="43"/>
  <c r="C23" i="68" l="1"/>
  <c r="C20" i="68"/>
  <c r="C25" i="68" s="1"/>
  <c r="C28" i="68" l="1"/>
  <c r="C27" i="68" s="1"/>
  <c r="C22" i="68"/>
  <c r="C31" i="68" l="1"/>
  <c r="C52" i="68" s="1"/>
  <c r="B2" i="68" s="1"/>
  <c r="C19" i="9"/>
  <c r="C57" i="68" l="1"/>
  <c r="C56" i="68" s="1"/>
  <c r="D22" i="9"/>
  <c r="C102" i="9"/>
  <c r="G19" i="9"/>
  <c r="C21" i="9"/>
  <c r="B3" i="68"/>
  <c r="C20" i="9"/>
  <c r="D34" i="9"/>
  <c r="D35" i="9"/>
  <c r="F15" i="74" l="1"/>
  <c r="E15" i="74"/>
  <c r="G20" i="9"/>
  <c r="C103" i="9"/>
  <c r="C32" i="9"/>
  <c r="G21" i="9"/>
  <c r="C35" i="9" l="1"/>
  <c r="H118" i="9"/>
  <c r="C34" i="9" l="1"/>
  <c r="D118" i="9" s="1"/>
  <c r="F118" i="9"/>
  <c r="H119" i="9"/>
  <c r="H5" i="52" s="1"/>
  <c r="D14" i="74"/>
  <c r="H4" i="52"/>
  <c r="I118" i="9"/>
  <c r="C104" i="9"/>
  <c r="H101" i="9"/>
  <c r="D4" i="52" l="1"/>
  <c r="B47" i="72" s="1"/>
  <c r="D119" i="9"/>
  <c r="D5" i="52" s="1"/>
  <c r="B49" i="72" s="1"/>
  <c r="M48" i="9"/>
  <c r="H107" i="9"/>
  <c r="D5" i="53"/>
  <c r="D45" i="9"/>
  <c r="I4" i="52"/>
  <c r="C105" i="9"/>
  <c r="H102" i="9"/>
  <c r="D7" i="53" s="1"/>
  <c r="B21" i="72" s="1"/>
  <c r="B5" i="74"/>
  <c r="F14" i="74"/>
  <c r="E14" i="74"/>
  <c r="F119" i="9"/>
  <c r="F5" i="52" s="1"/>
  <c r="B53" i="72" s="1"/>
  <c r="F4" i="52"/>
  <c r="B51" i="72" s="1"/>
  <c r="G118" i="9"/>
  <c r="G4" i="52" s="1"/>
  <c r="B52" i="72" s="1"/>
  <c r="E118" i="9" l="1"/>
  <c r="E4" i="52" s="1"/>
  <c r="B48" i="72" s="1"/>
  <c r="C78" i="9"/>
  <c r="C73" i="9" s="1"/>
  <c r="C85" i="9"/>
  <c r="D52" i="9"/>
  <c r="C93" i="9"/>
  <c r="C86" i="9" s="1"/>
  <c r="C64" i="9"/>
  <c r="C63" i="9" s="1"/>
  <c r="C67" i="9" s="1"/>
  <c r="D53" i="9"/>
  <c r="D55" i="9"/>
  <c r="M53" i="9" s="1"/>
  <c r="C72" i="9"/>
  <c r="D13" i="53"/>
  <c r="D122" i="9"/>
  <c r="H108" i="9"/>
  <c r="D15" i="53" s="1"/>
  <c r="B31" i="72" s="1"/>
  <c r="M49" i="9"/>
  <c r="D5" i="74"/>
  <c r="C5" i="74"/>
  <c r="B20" i="72"/>
  <c r="D6" i="53"/>
  <c r="B22" i="72" s="1"/>
  <c r="C79" i="9" l="1"/>
  <c r="C80" i="9" s="1"/>
  <c r="E80" i="9" s="1"/>
  <c r="E81" i="9" s="1"/>
  <c r="B30" i="72"/>
  <c r="D14" i="53"/>
  <c r="B32" i="72" s="1"/>
  <c r="D59" i="9"/>
  <c r="M55" i="9" s="1"/>
  <c r="C68" i="9"/>
  <c r="D54" i="9" s="1"/>
  <c r="L67" i="9"/>
  <c r="M67" i="9" s="1"/>
  <c r="L64" i="9"/>
  <c r="M64" i="9" s="1"/>
  <c r="L68" i="9"/>
  <c r="M68" i="9" s="1"/>
  <c r="L65" i="9"/>
  <c r="M65" i="9" s="1"/>
  <c r="L66" i="9"/>
  <c r="M66" i="9" s="1"/>
  <c r="L63" i="9"/>
  <c r="M63" i="9" s="1"/>
  <c r="D8" i="52"/>
  <c r="G14" i="74"/>
  <c r="B6" i="74" s="1"/>
  <c r="D123" i="9"/>
  <c r="D9" i="52" s="1"/>
  <c r="C95" i="9"/>
  <c r="M69" i="9" l="1"/>
  <c r="N69" i="9" s="1"/>
  <c r="C81" i="9"/>
  <c r="C96" i="9"/>
  <c r="E96" i="9" s="1"/>
  <c r="E97" i="9" s="1"/>
  <c r="C6" i="74"/>
  <c r="D6" i="74"/>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<sst xmlns="http://schemas.openxmlformats.org/spreadsheetml/2006/main" count="7545" uniqueCount="3225">
  <si>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</si>
  <si>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</si>
  <si>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</si>
  <si>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</si>
  <si>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</si>
  <si>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</si>
  <si>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</si>
  <si>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</si>
  <si>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</si>
  <si>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</si>
  <si>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</si>
  <si>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</si>
  <si>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</si>
  <si>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</si>
  <si>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</si>
  <si>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</si>
  <si>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</si>
  <si>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</si>
  <si>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</si>
  <si>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</si>
  <si>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</si>
  <si>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</si>
  <si>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</si>
  <si>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</si>
  <si>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</si>
  <si>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</si>
  <si>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</si>
  <si>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</si>
  <si>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</si>
  <si>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</si>
  <si>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</si>
  <si>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</si>
  <si>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</si>
  <si>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</si>
  <si>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</si>
  <si>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</si>
  <si>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</si>
  <si>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</si>
  <si>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</si>
  <si>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</si>
  <si>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</si>
  <si>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</si>
  <si>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</si>
  <si>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</si>
  <si>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</si>
  <si>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</si>
  <si>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</si>
  <si>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</si>
  <si>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</si>
  <si>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</si>
  <si>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</si>
  <si>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</si>
  <si>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</si>
  <si>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</si>
  <si>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</si>
  <si>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</si>
  <si>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</si>
  <si>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</si>
  <si>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</si>
  <si>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</si>
  <si>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</si>
  <si>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</si>
  <si>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</si>
  <si>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</si>
  <si>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</si>
  <si>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</si>
  <si>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</si>
  <si>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</si>
  <si>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</si>
  <si>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</si>
  <si>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</si>
  <si>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</si>
  <si>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</si>
  <si>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</si>
  <si>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</si>
  <si>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</si>
  <si>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</si>
  <si>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</si>
  <si>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</si>
  <si>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</si>
  <si>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</si>
  <si>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</si>
  <si>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</si>
  <si>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</si>
  <si>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</si>
  <si>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</si>
  <si>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</si>
  <si>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</si>
  <si>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</si>
  <si>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</si>
  <si>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</si>
  <si>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</si>
  <si>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</si>
  <si>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</si>
  <si>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</si>
  <si>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</si>
  <si>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</si>
  <si>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</si>
  <si>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</si>
  <si>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</si>
  <si>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</si>
  <si>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</si>
  <si>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</si>
  <si>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</si>
  <si>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</si>
  <si>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</si>
  <si>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</si>
  <si>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</si>
  <si>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</si>
  <si>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</si>
  <si>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</si>
  <si>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</si>
  <si>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</si>
  <si>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</si>
  <si>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</si>
  <si>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</si>
  <si>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</si>
  <si>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</si>
  <si>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</si>
  <si>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</si>
  <si>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</si>
  <si>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</si>
  <si>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</si>
  <si>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</si>
  <si>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</si>
  <si>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</si>
  <si>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</si>
  <si>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</si>
  <si>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</si>
  <si>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</si>
  <si>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</si>
  <si>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</si>
  <si>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</si>
  <si>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</si>
  <si>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</si>
  <si>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</si>
  <si>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</si>
  <si>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</si>
  <si>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</si>
  <si>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</si>
  <si>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</si>
  <si>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</si>
  <si>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</si>
  <si>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</si>
  <si>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</si>
  <si>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</si>
  <si>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</si>
  <si>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</si>
  <si>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</si>
  <si>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</si>
  <si>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</si>
  <si>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</si>
  <si>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</si>
  <si>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</si>
  <si>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</si>
  <si>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</si>
  <si>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</si>
  <si>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</si>
  <si>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</si>
  <si>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</si>
  <si>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</si>
  <si>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</si>
  <si>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</si>
  <si>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</si>
  <si>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</si>
  <si>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</si>
  <si>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</si>
  <si>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</si>
  <si>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</si>
  <si>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</si>
  <si>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</si>
  <si>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</si>
  <si>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</si>
  <si>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</si>
  <si>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</si>
  <si>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</si>
  <si>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</si>
  <si>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</si>
  <si>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</si>
  <si>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</si>
  <si>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</si>
  <si>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</si>
  <si>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</si>
  <si>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</si>
  <si>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</si>
  <si>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</si>
  <si>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</si>
  <si>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</si>
  <si>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</si>
  <si>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</si>
  <si>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</si>
  <si>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</si>
  <si>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</si>
  <si>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</si>
  <si>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</si>
  <si>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</si>
  <si>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</si>
  <si>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</si>
  <si>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</si>
  <si>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</si>
  <si>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</si>
  <si>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</si>
  <si>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</si>
  <si>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</si>
  <si>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</si>
  <si>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</si>
  <si>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</si>
  <si>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</si>
  <si>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</si>
  <si>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</si>
  <si>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</si>
  <si>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</si>
  <si>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</si>
  <si>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</si>
  <si>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</si>
  <si>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</si>
  <si>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</si>
  <si>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</si>
  <si>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</si>
  <si>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</si>
  <si>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</si>
  <si>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</si>
  <si>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</si>
  <si>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</si>
  <si>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</si>
  <si>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</si>
  <si>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</si>
  <si>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</si>
  <si>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</si>
  <si>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</si>
  <si>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</si>
  <si>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</si>
  <si>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</si>
  <si>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</si>
  <si>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</si>
  <si>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</si>
  <si>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</si>
  <si>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</si>
  <si>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</si>
  <si>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</si>
  <si>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</si>
  <si>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</si>
  <si>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</si>
  <si>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</si>
  <si>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</si>
  <si>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</si>
  <si>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</si>
  <si>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</si>
  <si>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</si>
  <si>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</si>
  <si>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</si>
  <si>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</si>
  <si>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</si>
  <si>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</si>
  <si>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</si>
  <si>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</si>
  <si>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</si>
  <si>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</si>
  <si>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</si>
  <si>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</si>
  <si>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</si>
  <si>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</si>
  <si>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</si>
  <si>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</si>
  <si>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</si>
  <si>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</si>
  <si>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</si>
  <si>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</si>
  <si>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</si>
  <si>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</si>
  <si>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</si>
  <si>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</si>
  <si>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</si>
  <si>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</si>
  <si>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</si>
  <si>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</si>
  <si>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</si>
  <si>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</si>
  <si>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</si>
  <si>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</si>
  <si>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</si>
  <si>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</si>
  <si>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</si>
  <si>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</si>
  <si>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</si>
  <si>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</si>
  <si>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</si>
  <si>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</si>
  <si>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</si>
  <si>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</si>
  <si>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</si>
  <si>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</si>
  <si>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</si>
  <si>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</si>
  <si>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</si>
  <si>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</si>
  <si>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</si>
  <si>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</si>
  <si>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</si>
  <si>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</si>
  <si>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</si>
  <si>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</si>
  <si>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</si>
  <si>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</si>
  <si>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</si>
  <si>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</si>
  <si>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</si>
  <si>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</si>
  <si>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</si>
  <si>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</si>
  <si>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</si>
  <si>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</si>
  <si>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</si>
  <si>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</si>
  <si>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</si>
  <si>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</si>
  <si>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</si>
  <si>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</si>
  <si>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</si>
  <si>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</si>
  <si>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</si>
  <si>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</si>
  <si>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</si>
  <si>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</si>
  <si>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</si>
  <si>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</si>
  <si>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</si>
  <si>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</si>
  <si>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</si>
  <si>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</si>
  <si>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</si>
  <si>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</si>
  <si>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</si>
  <si>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</si>
  <si>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</si>
  <si>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</si>
  <si>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</si>
  <si>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</si>
  <si>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</si>
  <si>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</si>
  <si>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</si>
  <si>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</si>
  <si>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</si>
  <si>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</si>
  <si>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</si>
  <si>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</si>
  <si>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</si>
  <si>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</si>
  <si>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</si>
  <si>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</si>
  <si>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</si>
  <si>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</si>
  <si>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</si>
  <si>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</si>
  <si>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</si>
  <si>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</si>
  <si>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</si>
  <si>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</si>
  <si>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</si>
  <si>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</si>
  <si>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</si>
  <si>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</si>
  <si>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</si>
  <si>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</si>
  <si>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</si>
  <si>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</si>
  <si>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</si>
  <si>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</si>
  <si>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</si>
  <si>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</si>
  <si>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</si>
  <si>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</si>
  <si>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</si>
  <si>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</si>
  <si>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</si>
  <si>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</si>
  <si>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</si>
  <si>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</si>
  <si>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</si>
  <si>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</si>
  <si>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</si>
  <si>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</si>
  <si>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</si>
  <si>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</si>
  <si>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</si>
  <si>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</si>
  <si>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</si>
  <si>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</si>
  <si>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</si>
  <si>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</si>
  <si>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</si>
  <si>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</si>
  <si>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</si>
  <si>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</si>
  <si>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</si>
  <si>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</si>
  <si>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</si>
  <si>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</si>
  <si>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</si>
  <si>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</si>
  <si>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</si>
  <si>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</si>
  <si>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</si>
  <si>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</si>
  <si>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</si>
  <si>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</si>
  <si>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</si>
  <si>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</si>
  <si>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</si>
  <si>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</si>
  <si>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</si>
  <si>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</si>
  <si>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</si>
  <si>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</si>
  <si>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</si>
  <si>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</si>
  <si>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</si>
  <si>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</si>
  <si>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</si>
  <si>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</si>
  <si>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</si>
  <si>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</si>
  <si>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</si>
  <si>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</si>
  <si>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</si>
  <si>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</si>
  <si>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</si>
  <si>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</si>
  <si>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</si>
  <si>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</si>
  <si>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</si>
  <si>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</si>
  <si>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</si>
  <si>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</si>
  <si>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</si>
  <si>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</si>
  <si>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</si>
  <si>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</si>
  <si>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</si>
  <si>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</si>
  <si>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</si>
  <si>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</si>
  <si>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</si>
  <si>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</si>
  <si>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</si>
  <si>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</si>
  <si>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</si>
  <si>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</si>
  <si>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</si>
  <si>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</si>
  <si>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</si>
  <si>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</si>
  <si>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</si>
  <si>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</si>
  <si>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</si>
  <si>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</si>
  <si>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</si>
  <si>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</si>
  <si>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</si>
  <si>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</si>
  <si>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</si>
  <si>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</si>
  <si>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</si>
  <si>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</si>
  <si>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</si>
  <si>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</si>
  <si>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</si>
  <si>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</si>
  <si>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</si>
  <si>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</si>
  <si>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</si>
  <si>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</si>
  <si>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</si>
  <si>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</si>
  <si>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</si>
  <si>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</si>
  <si>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</si>
  <si>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</si>
  <si>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</si>
  <si>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</si>
  <si>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</si>
  <si>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</si>
  <si>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</si>
  <si>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</si>
  <si>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</si>
  <si>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</si>
  <si>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</si>
  <si>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</si>
  <si>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</si>
  <si>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</si>
  <si>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</si>
  <si>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</si>
  <si>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</si>
  <si>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</si>
  <si>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</si>
  <si>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</si>
  <si>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</si>
  <si>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</si>
  <si>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</si>
  <si>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</si>
  <si>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</si>
  <si>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</si>
  <si>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</si>
  <si>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</si>
  <si>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</si>
  <si>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</si>
  <si>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</si>
  <si>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</si>
  <si>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</si>
  <si>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</si>
  <si>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</si>
  <si>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</si>
  <si>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</si>
  <si>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</si>
  <si>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</si>
  <si>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</si>
  <si>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</si>
  <si>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</si>
  <si>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</si>
  <si>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</si>
  <si>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</si>
  <si>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</si>
  <si>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</si>
  <si>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</si>
  <si>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</si>
  <si>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</si>
  <si>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</si>
  <si>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</si>
  <si>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</si>
  <si>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</si>
  <si>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</si>
  <si>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</si>
  <si>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</si>
  <si>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</si>
  <si>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</si>
  <si>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</si>
  <si>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</si>
  <si>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</si>
  <si>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</si>
  <si>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</si>
  <si>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</si>
  <si>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</si>
  <si>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</si>
  <si>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</si>
  <si>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</si>
  <si>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</si>
  <si>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</si>
  <si>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</si>
  <si>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</si>
  <si>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</si>
  <si>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</si>
  <si>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</si>
  <si>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</si>
  <si>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</si>
  <si>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</si>
  <si>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</si>
  <si>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</si>
  <si>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</si>
  <si>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</si>
  <si>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</si>
  <si>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</si>
  <si>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</si>
  <si>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</si>
  <si>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</si>
  <si>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</si>
  <si>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</si>
  <si>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</si>
  <si>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</si>
  <si>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</si>
  <si>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</si>
  <si>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</si>
  <si>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</si>
  <si>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</si>
  <si>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</si>
  <si>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</si>
  <si>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</si>
  <si>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</si>
  <si>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</si>
  <si>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</si>
  <si>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</si>
  <si>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</si>
  <si>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</si>
  <si>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</si>
  <si>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</si>
  <si>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</si>
  <si>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</si>
  <si>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</si>
  <si>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</si>
  <si>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</si>
  <si>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</si>
  <si>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</si>
  <si>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</si>
  <si>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</si>
  <si>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</si>
  <si>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</si>
  <si>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</si>
  <si>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</si>
  <si>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</si>
  <si>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</si>
  <si>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</si>
  <si>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</si>
  <si>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</si>
  <si>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</si>
  <si>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</si>
  <si>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</si>
  <si>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</si>
  <si>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</si>
  <si>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</si>
  <si>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</si>
  <si>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</si>
  <si>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</si>
  <si>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</si>
  <si>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</si>
  <si>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</si>
  <si>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</si>
  <si>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</si>
  <si>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</si>
  <si>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</si>
  <si>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</si>
  <si>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</si>
  <si>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</si>
  <si>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</si>
  <si>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</si>
  <si>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</si>
  <si>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</si>
  <si>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</si>
  <si>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</si>
  <si>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</si>
  <si>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</si>
  <si>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</si>
  <si>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</si>
  <si>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</si>
  <si>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</si>
  <si>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</si>
  <si>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</si>
  <si>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</si>
  <si>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</si>
  <si>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</si>
  <si>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</si>
  <si>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</si>
  <si>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</si>
  <si>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</si>
  <si>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</si>
  <si>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</si>
  <si>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</si>
  <si>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</si>
  <si>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</si>
  <si>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</si>
  <si>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</si>
  <si>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</si>
  <si>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</si>
  <si>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</si>
  <si>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</si>
  <si>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</si>
  <si>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</si>
  <si>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</si>
  <si>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</si>
  <si>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</si>
  <si>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</si>
  <si>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</si>
  <si>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</si>
  <si>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</si>
  <si>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</si>
  <si>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</si>
  <si>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</si>
  <si>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</si>
  <si>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</si>
  <si>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</si>
  <si>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</si>
  <si>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</si>
  <si>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</si>
  <si>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</si>
  <si>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</si>
  <si>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</si>
  <si>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</si>
  <si>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</si>
  <si>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</si>
  <si>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</si>
  <si>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</si>
  <si>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</si>
  <si>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</si>
  <si>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</si>
  <si>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</si>
  <si>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</si>
  <si>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</si>
  <si>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</si>
  <si>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</si>
  <si>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</si>
  <si>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</si>
  <si>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</si>
  <si>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</si>
  <si>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</si>
  <si>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</si>
  <si>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</si>
  <si>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</si>
  <si>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</si>
  <si>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</si>
  <si>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</si>
  <si>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</si>
  <si>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</si>
  <si>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</si>
  <si>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</si>
  <si>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</si>
  <si>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</si>
  <si>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</si>
  <si>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</si>
  <si>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</si>
  <si>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</si>
  <si>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</si>
  <si>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</si>
  <si>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</si>
  <si>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</si>
  <si>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</si>
  <si>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</si>
  <si>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</si>
  <si>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</si>
  <si>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</si>
  <si>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</si>
  <si>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</si>
  <si>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</si>
  <si>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</si>
  <si>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</si>
  <si>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</si>
  <si>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</si>
  <si>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</si>
  <si>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</si>
  <si>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</si>
  <si>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</si>
  <si>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</si>
  <si>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</si>
  <si>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</si>
  <si>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</si>
  <si>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</si>
  <si>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</si>
  <si>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</si>
  <si>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</si>
  <si>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</si>
  <si>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</si>
  <si>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</si>
  <si>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</si>
  <si>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</si>
  <si>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</si>
  <si>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</si>
  <si>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</si>
  <si>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</si>
  <si>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</si>
  <si>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</si>
  <si>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</si>
  <si>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</si>
  <si>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</si>
  <si>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</si>
  <si>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</si>
  <si>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</si>
  <si>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</si>
  <si>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</si>
  <si>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</si>
  <si>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</si>
  <si>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</si>
  <si>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</si>
  <si>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</si>
  <si>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</si>
  <si>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</si>
  <si>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</si>
  <si>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</si>
  <si>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</si>
  <si>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</si>
  <si>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</si>
  <si>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</si>
  <si>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</si>
  <si>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</si>
  <si>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</si>
  <si>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</si>
  <si>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</si>
  <si>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</si>
  <si>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</si>
  <si>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</si>
  <si>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</si>
  <si>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</si>
  <si>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</si>
  <si>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</si>
  <si>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</si>
  <si>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</si>
  <si>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</si>
  <si>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</si>
  <si>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</si>
  <si>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</si>
  <si>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</si>
  <si>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</si>
  <si>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</si>
  <si>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</si>
  <si>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</si>
  <si>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</si>
  <si>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</si>
  <si>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</si>
  <si>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</si>
  <si>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</si>
  <si>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</si>
  <si>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</si>
  <si>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</si>
  <si>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</si>
  <si>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</si>
  <si>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</si>
  <si>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</si>
  <si>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</si>
  <si>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</si>
  <si>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</si>
  <si>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</si>
  <si>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</si>
  <si>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</si>
  <si>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</si>
  <si>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</si>
  <si>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</si>
  <si>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</si>
  <si>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</si>
  <si>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</si>
  <si>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</si>
  <si>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</si>
  <si>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</si>
  <si>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</si>
  <si>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</si>
  <si>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</si>
  <si>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</si>
  <si>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</si>
  <si>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</si>
  <si>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</si>
  <si>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</si>
  <si>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</si>
  <si>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</si>
  <si>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</si>
  <si>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</si>
  <si>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</si>
  <si>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</si>
  <si>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</si>
  <si>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</si>
  <si>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</si>
  <si>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</si>
  <si>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</si>
  <si>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</si>
  <si>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</si>
  <si>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</si>
  <si>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</si>
  <si>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</si>
  <si>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</si>
  <si>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</si>
  <si>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</si>
  <si>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</si>
  <si>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</si>
  <si>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</si>
  <si>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</si>
  <si>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</si>
  <si>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</si>
  <si>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</si>
  <si>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</si>
  <si>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</si>
  <si>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</si>
  <si>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</si>
  <si>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</si>
  <si>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</si>
  <si>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</si>
  <si>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</si>
  <si>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</si>
  <si>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</si>
  <si>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</si>
  <si>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</si>
  <si>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</si>
  <si>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</si>
  <si>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</si>
  <si>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</si>
  <si>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</si>
  <si>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</si>
  <si>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</si>
  <si>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</si>
  <si>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</si>
  <si>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</si>
  <si>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</si>
  <si>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</si>
  <si>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</si>
  <si>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</si>
  <si>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</si>
  <si>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</si>
  <si>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</si>
  <si>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</si>
  <si>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</si>
  <si>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</si>
  <si>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</si>
  <si>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</si>
  <si>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</si>
  <si>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</si>
  <si>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</si>
  <si>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</si>
  <si>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</si>
  <si>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</si>
  <si>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</si>
  <si>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</si>
  <si>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</si>
  <si>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</si>
  <si>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</si>
  <si>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</si>
  <si>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</si>
  <si>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</si>
  <si>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</si>
  <si>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</si>
  <si>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</si>
  <si>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</si>
  <si>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</si>
  <si>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</si>
  <si>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</si>
  <si>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</si>
  <si>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</si>
  <si>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</si>
  <si>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</si>
  <si>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</si>
  <si>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</si>
  <si>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</si>
  <si>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</si>
  <si>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</si>
  <si>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</si>
  <si>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</si>
  <si>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</si>
  <si>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</si>
  <si>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</si>
  <si>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</si>
  <si>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</si>
  <si>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</si>
  <si>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</si>
  <si>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</si>
  <si>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</si>
  <si>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</si>
  <si>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</si>
  <si>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</si>
  <si>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</si>
  <si>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</si>
  <si>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</si>
  <si>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</si>
  <si>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</si>
  <si>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</si>
  <si>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</si>
  <si>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</si>
  <si>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</si>
  <si>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</si>
  <si>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</si>
  <si>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</si>
  <si>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</si>
  <si>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</si>
  <si>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</si>
  <si>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</si>
  <si>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</si>
  <si>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</si>
  <si>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</si>
  <si>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</si>
  <si>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</si>
  <si>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</si>
  <si>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</si>
  <si>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</si>
  <si>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</si>
  <si>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</si>
  <si>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</si>
  <si>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</si>
  <si>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</si>
  <si>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</si>
  <si>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</si>
  <si>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</si>
  <si>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</si>
  <si>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</si>
  <si>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</si>
  <si>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</si>
  <si>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</si>
  <si>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</si>
  <si>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</si>
  <si>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</si>
  <si>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</si>
  <si>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</si>
  <si>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</si>
  <si>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</si>
  <si>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</si>
  <si>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</si>
  <si>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</si>
  <si>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</si>
  <si>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</si>
  <si>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</si>
  <si>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</si>
  <si>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</si>
  <si>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</si>
  <si>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</si>
  <si>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</si>
  <si>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</si>
  <si>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</si>
  <si>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</si>
  <si>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</si>
  <si>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</si>
  <si>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</si>
  <si>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</si>
  <si>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</si>
  <si>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</si>
  <si>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</si>
  <si>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</si>
  <si>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</si>
  <si>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</si>
  <si>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</si>
  <si>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</si>
  <si>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</si>
  <si>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</si>
  <si>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</si>
  <si>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</si>
  <si>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</si>
  <si>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</si>
  <si>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</si>
  <si>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</si>
  <si>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</si>
  <si>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</si>
  <si>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</si>
  <si>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</si>
  <si>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</si>
  <si>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</si>
  <si>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</si>
  <si>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</si>
  <si>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</si>
  <si>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</si>
  <si>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</si>
  <si>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</si>
  <si>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</si>
  <si>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</si>
  <si>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</si>
  <si>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</si>
  <si>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</si>
  <si>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</si>
  <si>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</si>
  <si>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</si>
  <si>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</si>
  <si>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</si>
  <si>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</si>
  <si>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</si>
  <si>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</si>
  <si>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</si>
  <si>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</si>
  <si>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</si>
  <si>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</si>
  <si>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</si>
  <si>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</si>
  <si>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</si>
  <si>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</si>
  <si>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</si>
  <si>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</si>
  <si>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</si>
  <si>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</si>
  <si>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</si>
  <si>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</si>
  <si>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</si>
  <si>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</si>
  <si>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</si>
  <si>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</si>
  <si>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</si>
  <si>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</si>
  <si>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</si>
  <si>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</si>
  <si>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</si>
  <si>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</si>
  <si>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</si>
  <si>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</si>
  <si>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</si>
  <si>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</si>
  <si>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</si>
  <si>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</si>
  <si>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</si>
  <si>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</si>
  <si>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</si>
  <si>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</si>
  <si>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</si>
  <si>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</si>
  <si>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</si>
  <si>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</si>
  <si>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</si>
  <si>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</si>
  <si>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</si>
  <si>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</si>
  <si>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</si>
  <si>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</si>
  <si>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</si>
  <si>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</si>
  <si>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</si>
  <si>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</si>
  <si>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</si>
  <si>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</si>
  <si>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</si>
  <si>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</si>
  <si>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</si>
  <si>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</si>
  <si>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</si>
  <si>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</si>
  <si>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</si>
  <si>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</si>
  <si>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</si>
  <si>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</si>
  <si>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</si>
  <si>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</si>
  <si>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</si>
  <si>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</si>
  <si>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</si>
  <si>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</si>
  <si>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</si>
  <si>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</si>
  <si>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</si>
  <si>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</si>
  <si>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</si>
  <si>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</si>
  <si>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</si>
  <si>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</si>
  <si>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</si>
  <si>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</si>
  <si>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</si>
  <si>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</si>
  <si>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</si>
  <si>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</si>
  <si>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</si>
  <si>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</si>
  <si>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</si>
  <si>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</si>
  <si>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</si>
  <si>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</si>
  <si>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</si>
  <si>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</si>
  <si>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</si>
  <si>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</si>
  <si>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</si>
  <si>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</si>
  <si>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</si>
  <si>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</si>
  <si>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</si>
  <si>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</si>
  <si>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</si>
  <si>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</si>
  <si>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</si>
  <si>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</si>
  <si>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</si>
  <si>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</si>
  <si>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</si>
  <si>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</si>
  <si>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</si>
  <si>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</si>
  <si>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</si>
  <si>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</si>
  <si>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</si>
  <si>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</si>
  <si>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</si>
  <si>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</si>
  <si>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</si>
  <si>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</si>
  <si>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</si>
  <si>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</si>
  <si>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</si>
  <si>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</si>
  <si>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</si>
  <si>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</si>
  <si>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</si>
  <si>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</si>
  <si>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</si>
  <si>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</si>
  <si>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</si>
  <si>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</si>
  <si>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</si>
  <si>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</si>
  <si>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</si>
  <si>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</si>
  <si>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</si>
  <si>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</si>
  <si>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</si>
  <si>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</si>
  <si>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</si>
  <si>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</si>
  <si>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</si>
  <si>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</si>
  <si>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</si>
  <si>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</si>
  <si>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</si>
  <si>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</si>
  <si>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</si>
  <si>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</si>
  <si>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</si>
  <si>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</si>
  <si>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</si>
  <si>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</si>
  <si>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</si>
  <si>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</si>
  <si>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</si>
  <si>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</si>
  <si>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</si>
  <si>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</si>
  <si>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</si>
  <si>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</si>
  <si>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</si>
  <si>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</si>
  <si>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</si>
  <si>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</si>
  <si>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</si>
  <si>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</si>
  <si>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</si>
  <si>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</si>
  <si>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</si>
  <si>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</si>
  <si>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</si>
  <si>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</si>
  <si>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</si>
  <si>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</si>
  <si>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</si>
  <si>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</si>
  <si>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</si>
  <si>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</si>
  <si>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</si>
  <si>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</si>
  <si>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</si>
  <si>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</si>
  <si>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</si>
  <si>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</si>
  <si>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</si>
  <si>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</si>
  <si>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</si>
  <si>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</si>
  <si>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</si>
  <si>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</si>
  <si>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</si>
  <si>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</si>
  <si>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</si>
  <si>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</si>
  <si>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</si>
  <si>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</si>
  <si>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</si>
  <si>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</si>
  <si>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</si>
  <si>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</si>
  <si>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</si>
  <si>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</si>
  <si>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</si>
  <si>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</si>
  <si>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</si>
  <si>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</si>
  <si>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</si>
  <si>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</si>
  <si>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</si>
  <si>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</si>
  <si>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</si>
  <si>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</si>
  <si>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</si>
  <si>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</si>
  <si>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</si>
  <si>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</si>
  <si>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</si>
  <si>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</si>
  <si>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</si>
  <si>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</si>
  <si>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</si>
  <si>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</si>
  <si>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</si>
  <si>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</si>
  <si>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</si>
  <si>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</si>
  <si>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</si>
  <si>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</si>
  <si>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</si>
  <si>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</si>
  <si>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</si>
  <si>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</si>
  <si>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</si>
  <si>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</si>
  <si>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</si>
  <si>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</si>
  <si>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</si>
  <si>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</si>
  <si>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</si>
  <si>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</si>
  <si>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</si>
  <si>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</si>
  <si>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</si>
  <si>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</si>
  <si>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</si>
  <si>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</si>
  <si>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</si>
  <si>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</si>
  <si>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</si>
  <si>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</si>
  <si>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</si>
  <si>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</si>
  <si>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</si>
  <si>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</si>
  <si>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</si>
  <si>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</si>
  <si>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</si>
  <si>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</si>
  <si>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</si>
  <si>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</si>
  <si>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</si>
  <si>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</si>
  <si>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</si>
  <si>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</si>
  <si>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</si>
  <si>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</si>
  <si>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</si>
  <si>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</si>
  <si>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</si>
  <si>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</si>
  <si>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</si>
  <si>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</si>
  <si>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</si>
  <si>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</si>
  <si>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</si>
  <si>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</si>
  <si>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</si>
  <si>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</si>
  <si>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</si>
  <si>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</si>
  <si>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</si>
  <si>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</si>
  <si>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</si>
  <si>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</si>
  <si>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</si>
  <si>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</si>
  <si>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</si>
  <si>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</si>
  <si>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</si>
  <si>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</si>
  <si>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</si>
  <si>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</si>
  <si>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</si>
  <si>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</si>
  <si>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</si>
  <si>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</si>
  <si>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</si>
  <si>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</si>
  <si>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</si>
  <si>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</si>
  <si>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</si>
  <si>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</si>
  <si>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</si>
  <si>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</si>
  <si>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</si>
  <si>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</si>
  <si>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</si>
  <si>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</si>
  <si>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</si>
  <si>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</si>
  <si>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</si>
  <si>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</si>
  <si>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</si>
  <si>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</si>
  <si>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</si>
  <si>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</si>
  <si>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</si>
  <si>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</si>
  <si>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</si>
  <si>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</si>
  <si>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</si>
  <si>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</si>
  <si>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</si>
  <si>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</si>
  <si>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</si>
  <si>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</si>
  <si>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</si>
  <si>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</si>
  <si>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</si>
  <si>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</si>
  <si>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</si>
  <si>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</si>
  <si>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</si>
  <si>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</si>
  <si>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</si>
  <si>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</si>
  <si>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</si>
  <si>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</si>
  <si>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</si>
  <si>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</si>
  <si>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</si>
  <si>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</si>
  <si>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</si>
  <si>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</si>
  <si>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</si>
  <si>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</si>
  <si>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</si>
  <si>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</si>
  <si>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</si>
  <si>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</si>
  <si>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</si>
  <si>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</si>
  <si>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</si>
  <si>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</si>
  <si>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</si>
  <si>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</si>
  <si>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</si>
  <si>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</si>
  <si>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</si>
  <si>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</si>
  <si>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</si>
  <si>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</si>
  <si>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</si>
  <si>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</si>
  <si>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</si>
  <si>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</si>
  <si>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</si>
  <si>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</si>
  <si>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</si>
  <si>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</si>
  <si>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</si>
  <si>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</si>
  <si>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</si>
  <si>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</si>
  <si>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</si>
  <si>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</si>
  <si>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</si>
  <si>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</si>
  <si>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</si>
  <si>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</si>
  <si>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</si>
  <si>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</si>
  <si>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</si>
  <si>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</si>
  <si>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</si>
  <si>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</si>
  <si>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</si>
  <si>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</si>
  <si>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</si>
  <si>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</si>
  <si>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</si>
  <si>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</si>
  <si>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</si>
  <si>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</si>
  <si>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</si>
  <si>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</si>
  <si>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</si>
  <si>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</si>
  <si>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</si>
  <si>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</si>
  <si>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</si>
  <si>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</si>
  <si>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</si>
  <si>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</si>
  <si>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</si>
  <si>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</si>
  <si>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</si>
  <si>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</si>
  <si>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</si>
  <si>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</si>
  <si>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</si>
  <si>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</si>
  <si>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</si>
  <si>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</si>
  <si>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</si>
  <si>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</si>
  <si>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</si>
  <si>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</si>
  <si>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</si>
  <si>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</si>
  <si>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</si>
  <si>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</si>
  <si>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</si>
  <si>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</si>
  <si>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</si>
  <si>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</si>
  <si>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</si>
  <si>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</si>
  <si>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</si>
  <si>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</si>
  <si>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</si>
  <si>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</si>
  <si>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</si>
  <si>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</si>
  <si>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</si>
  <si>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</si>
  <si>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</si>
  <si>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</si>
  <si>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</si>
  <si>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</si>
  <si>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</si>
  <si>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</si>
  <si>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</si>
  <si>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</si>
  <si>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</si>
  <si>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</si>
  <si>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</si>
  <si>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</si>
  <si>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</si>
  <si>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</si>
  <si>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</si>
  <si>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</si>
  <si>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</si>
  <si>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</si>
  <si>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</si>
  <si>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</si>
  <si>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</si>
  <si>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</si>
  <si>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</si>
  <si>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</si>
  <si>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</si>
  <si>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</si>
  <si>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</si>
  <si>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</si>
  <si>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</si>
  <si>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</si>
  <si>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</si>
  <si>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</si>
  <si>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</si>
  <si>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</si>
  <si>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</si>
  <si>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</si>
  <si>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</si>
  <si>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</si>
  <si>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</si>
  <si>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</si>
  <si>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</si>
  <si>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</si>
  <si>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</si>
  <si>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</si>
  <si>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</si>
  <si>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</si>
  <si>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</si>
  <si>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</si>
  <si>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</si>
  <si>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</si>
  <si>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</si>
  <si>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</si>
  <si>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</si>
  <si>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</si>
  <si>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</si>
  <si>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</si>
  <si>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</si>
  <si>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</si>
  <si>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</si>
  <si>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</si>
  <si>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</si>
  <si>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</si>
  <si>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</si>
  <si>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</si>
  <si>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</si>
  <si>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</si>
  <si>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</si>
  <si>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</si>
  <si>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</si>
  <si>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</si>
  <si>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</si>
  <si>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</si>
  <si>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</si>
  <si>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</si>
  <si>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</si>
  <si>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</si>
  <si>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</si>
  <si>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</si>
  <si>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</si>
  <si>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</si>
  <si>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</si>
  <si>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</si>
  <si>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</si>
  <si>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</si>
  <si>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</si>
  <si>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</si>
  <si>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</si>
  <si>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</si>
  <si>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</si>
  <si>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</si>
  <si>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</si>
  <si>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</si>
  <si>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</si>
  <si>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</si>
  <si>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</si>
  <si>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</si>
  <si>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</si>
  <si>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</si>
  <si>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</si>
  <si>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</si>
  <si>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</si>
  <si>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</si>
  <si>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</si>
  <si>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</si>
  <si>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</si>
  <si>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</si>
  <si>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</si>
  <si>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</si>
  <si>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</si>
  <si>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</si>
  <si>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</si>
  <si>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</si>
  <si>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</si>
  <si>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</si>
  <si>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</si>
  <si>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</si>
  <si>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</si>
  <si>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</si>
  <si>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</si>
  <si>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</si>
  <si>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</si>
  <si>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</si>
  <si>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</si>
  <si>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</si>
  <si>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</si>
  <si>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</si>
  <si>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</si>
  <si>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</si>
  <si>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</si>
  <si>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</si>
  <si>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</si>
  <si>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</si>
  <si>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</si>
  <si>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</si>
  <si>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</si>
  <si>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</si>
  <si>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</si>
  <si>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</si>
  <si>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</si>
  <si>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</si>
  <si>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</si>
  <si>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</si>
  <si>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</si>
  <si>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</si>
  <si>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</si>
  <si>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</si>
  <si>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</si>
  <si>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</si>
  <si>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</si>
  <si>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</si>
  <si>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</si>
  <si>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</si>
  <si>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</si>
  <si>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</si>
  <si>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</si>
  <si>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</si>
  <si>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</si>
  <si>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</si>
  <si>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</si>
  <si>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</si>
  <si>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</si>
  <si>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</si>
  <si>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</si>
  <si>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</si>
  <si>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</si>
  <si>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</si>
  <si>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</si>
  <si>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</si>
  <si>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</si>
  <si>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</si>
  <si>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</si>
  <si>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</si>
  <si>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</si>
  <si>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</si>
  <si>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</si>
  <si>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</si>
  <si>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</si>
  <si>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</si>
  <si>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</si>
  <si>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</si>
  <si>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</si>
  <si>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</si>
  <si>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</si>
  <si>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</si>
  <si>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</si>
  <si>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</si>
  <si>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</si>
  <si>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</si>
  <si>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</si>
  <si>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</si>
  <si>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</si>
  <si>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</si>
  <si>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</si>
  <si>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</si>
  <si>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</si>
  <si>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</si>
  <si>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</si>
  <si>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</si>
  <si>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</si>
  <si>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</si>
  <si>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</si>
  <si>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</si>
  <si>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</si>
  <si>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</si>
  <si>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</si>
  <si>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</si>
  <si>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</si>
  <si>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</si>
  <si>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</si>
  <si>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</si>
  <si>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</si>
  <si>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</si>
  <si>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</si>
  <si>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</si>
  <si>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</si>
  <si>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</si>
  <si>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</si>
  <si>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</si>
  <si>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</si>
  <si>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</si>
  <si>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</si>
  <si>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</si>
  <si>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</si>
  <si>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</si>
  <si>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</si>
  <si>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</si>
  <si>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</si>
  <si>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</si>
  <si>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</si>
  <si>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</si>
  <si>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</si>
  <si>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</si>
  <si>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</si>
  <si>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</si>
  <si>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</si>
  <si>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</si>
  <si>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</si>
  <si>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</si>
  <si>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</si>
  <si>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</si>
  <si>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</si>
  <si>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</si>
  <si>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</si>
  <si>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</si>
  <si>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</si>
  <si>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</si>
  <si>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</si>
  <si>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</si>
  <si>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</si>
  <si>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</si>
  <si>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</si>
  <si>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</si>
  <si>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</si>
  <si>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</si>
  <si>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</si>
  <si>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</si>
  <si>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</si>
  <si>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</si>
  <si>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</si>
  <si>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</si>
  <si>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</si>
  <si>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</si>
  <si>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</si>
  <si>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</si>
  <si>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</si>
  <si>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</si>
  <si>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</si>
  <si>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</si>
  <si>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</si>
  <si>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</si>
  <si>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</si>
  <si>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</si>
  <si>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</si>
  <si>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</si>
  <si>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</si>
  <si>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</si>
  <si>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</si>
  <si>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</si>
  <si>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</si>
  <si>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</si>
  <si>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</si>
  <si>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</si>
  <si>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</si>
  <si>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</si>
  <si>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</si>
  <si>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</si>
  <si>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</si>
  <si>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</si>
  <si>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</si>
  <si>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</si>
  <si>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</si>
  <si>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</si>
  <si>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</si>
  <si>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</si>
  <si>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</si>
  <si>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</si>
  <si>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</si>
  <si>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</si>
  <si>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</si>
  <si>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</si>
  <si>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</si>
  <si>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</si>
  <si>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</si>
  <si>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</si>
  <si>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</si>
  <si>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</si>
  <si>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</si>
  <si>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</si>
  <si>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</si>
  <si>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</si>
  <si>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</si>
  <si>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</si>
  <si>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</si>
  <si>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</si>
  <si>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</si>
  <si>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</si>
  <si>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</si>
  <si>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</si>
  <si>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</si>
  <si>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</si>
  <si>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</si>
  <si>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</si>
  <si>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</si>
  <si>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</si>
  <si>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</si>
  <si>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</si>
  <si>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</si>
  <si>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</si>
  <si>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</si>
  <si>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</si>
  <si>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</si>
  <si>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</si>
  <si>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</si>
  <si>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</si>
  <si>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</si>
  <si>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</si>
  <si>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</si>
  <si>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</si>
  <si>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</si>
  <si>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</si>
  <si>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</si>
  <si>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</si>
  <si>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</si>
  <si>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</si>
  <si>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</si>
  <si>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</si>
  <si>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</si>
  <si>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</si>
  <si>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</si>
  <si>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</si>
  <si>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</si>
  <si>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</si>
  <si>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</si>
  <si>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</si>
  <si>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</si>
  <si>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</si>
  <si>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</si>
  <si>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</si>
  <si>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</si>
  <si>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</si>
  <si>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</si>
  <si>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</si>
  <si>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</si>
  <si>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</si>
  <si>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</si>
  <si>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</si>
  <si>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</si>
  <si>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</si>
  <si>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</si>
  <si>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</si>
  <si>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</si>
  <si>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</si>
  <si>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</si>
  <si>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</si>
  <si>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</si>
  <si>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</si>
  <si>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</si>
  <si>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</si>
  <si>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</si>
  <si>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</si>
  <si>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</si>
  <si>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</si>
  <si>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</si>
  <si>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</si>
  <si>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</si>
  <si>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</si>
  <si>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</si>
  <si>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</si>
  <si>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</si>
  <si>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</si>
  <si>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</si>
  <si>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</si>
  <si>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</si>
  <si>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</si>
  <si>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</si>
  <si>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</si>
  <si>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</si>
  <si>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</si>
  <si>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</si>
  <si>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</si>
  <si>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</si>
  <si>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</si>
  <si>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</si>
  <si>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</si>
  <si>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</si>
  <si>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</si>
  <si>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</si>
  <si>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</si>
  <si>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</si>
  <si>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</si>
  <si>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</si>
  <si>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</si>
  <si>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</si>
  <si>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</si>
  <si>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</si>
  <si>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</si>
  <si>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</si>
  <si>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</si>
  <si>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</si>
  <si>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</si>
  <si>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</si>
  <si>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</si>
  <si>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</si>
  <si>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</si>
  <si>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</si>
  <si>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</si>
  <si>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</si>
  <si>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</si>
  <si>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</si>
  <si>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</si>
  <si>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</si>
  <si>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</si>
  <si>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</si>
  <si>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</si>
  <si>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</si>
  <si>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</si>
  <si>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</si>
  <si>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</si>
  <si>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</si>
  <si>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</si>
  <si>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</si>
  <si>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</si>
  <si>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</si>
  <si>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</si>
  <si>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</si>
  <si>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</si>
  <si>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</si>
  <si>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</si>
  <si>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</si>
  <si>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</si>
  <si>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</si>
  <si>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</si>
  <si>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</si>
  <si>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</si>
  <si>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</si>
  <si>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</si>
  <si>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</si>
  <si>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</si>
  <si>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</si>
  <si>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</si>
  <si>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</si>
  <si>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</si>
  <si>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</si>
  <si>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</si>
  <si>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</si>
  <si>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</si>
  <si>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</si>
  <si>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</si>
  <si>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</si>
  <si>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</si>
  <si>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</si>
  <si>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</si>
  <si>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</si>
  <si>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</si>
  <si>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</si>
  <si>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</si>
  <si>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</si>
  <si>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</si>
  <si>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</si>
  <si>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</si>
  <si>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</si>
  <si>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</si>
  <si>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</si>
  <si>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</si>
  <si>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</si>
  <si>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</si>
  <si>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</si>
  <si>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</si>
  <si>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</si>
  <si>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</si>
  <si>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</si>
  <si>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</si>
  <si>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</si>
  <si>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</si>
  <si>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</si>
  <si>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</si>
  <si>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</si>
  <si>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</si>
  <si>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</si>
  <si>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</si>
  <si>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</si>
  <si>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</si>
  <si>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</si>
  <si>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</si>
  <si>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</si>
  <si>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</si>
  <si>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</si>
  <si>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</si>
  <si>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</si>
  <si>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</si>
  <si>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</si>
  <si>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</si>
  <si>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</si>
  <si>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</si>
  <si>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</si>
  <si>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</si>
  <si>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</si>
  <si>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</si>
  <si>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</si>
  <si>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</si>
  <si>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</si>
  <si>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</si>
  <si>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</si>
  <si>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</si>
  <si>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</si>
  <si>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</si>
  <si>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</si>
  <si>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</si>
  <si>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</si>
  <si>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</si>
  <si>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</si>
  <si>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</si>
  <si>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</si>
  <si>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</si>
  <si>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</si>
  <si>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</si>
  <si>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</si>
  <si>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</si>
  <si>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</si>
  <si>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</si>
  <si>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</si>
  <si>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</si>
  <si>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</si>
  <si>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</si>
  <si>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</si>
  <si>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</si>
  <si>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</si>
  <si>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</si>
  <si>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</si>
  <si>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</si>
  <si>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</si>
  <si>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</si>
  <si>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</si>
  <si>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</si>
  <si>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</si>
  <si>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</si>
  <si>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</si>
  <si>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</si>
  <si>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</si>
  <si>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</si>
  <si>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</si>
  <si>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</si>
  <si>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</si>
  <si>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</si>
  <si>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</si>
  <si>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</si>
  <si>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</si>
  <si>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</si>
  <si>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</si>
  <si>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</si>
  <si>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</si>
  <si>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</si>
  <si>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</si>
  <si>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</si>
  <si>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</si>
  <si>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</si>
  <si>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</si>
  <si>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</si>
  <si>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</si>
  <si>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</si>
  <si>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</si>
  <si>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</si>
  <si>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</si>
  <si>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</si>
  <si>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</si>
  <si>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</si>
  <si>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</si>
  <si>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</si>
  <si>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</si>
  <si>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</si>
  <si>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</si>
  <si>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</si>
  <si>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</si>
  <si>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</si>
  <si>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</si>
  <si>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</si>
  <si>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</si>
  <si>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</si>
  <si>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</si>
  <si>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</si>
  <si>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</si>
  <si>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</si>
  <si>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</si>
  <si>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</si>
  <si>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</si>
  <si>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</si>
  <si>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</si>
  <si>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</si>
  <si>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</si>
  <si>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</si>
  <si>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</si>
  <si>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</si>
  <si>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</si>
  <si>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</si>
  <si>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</si>
  <si>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</si>
  <si>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</si>
  <si>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</si>
  <si>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</si>
  <si>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</si>
  <si>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</si>
  <si>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</si>
  <si>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</si>
  <si>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</si>
  <si>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</si>
  <si>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</si>
  <si>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</si>
  <si>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</si>
  <si>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</si>
  <si>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</si>
  <si>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</si>
  <si>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</si>
  <si>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</si>
  <si>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</si>
  <si>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</si>
  <si>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</si>
  <si>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</si>
  <si>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</si>
  <si>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</si>
  <si>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</si>
  <si>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</si>
  <si>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</si>
  <si>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</si>
  <si>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</si>
  <si>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</si>
  <si>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</si>
  <si>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</si>
  <si>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</si>
  <si>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</si>
  <si>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</si>
  <si>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</si>
  <si>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</si>
  <si>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</si>
  <si>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</si>
  <si>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</si>
  <si>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</si>
  <si>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</si>
  <si>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</si>
  <si>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</si>
  <si>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</si>
  <si>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</si>
  <si>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</si>
  <si>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</si>
  <si>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</si>
  <si>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</si>
  <si>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</si>
  <si>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</si>
  <si>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</si>
  <si>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</si>
  <si>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</si>
  <si>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</si>
  <si>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</si>
  <si>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</si>
  <si>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</si>
  <si>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</si>
  <si>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</si>
  <si>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</si>
  <si>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</si>
  <si>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</si>
  <si>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</si>
  <si>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</si>
  <si>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</si>
  <si>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</si>
  <si>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</si>
  <si>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</si>
  <si>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</si>
  <si>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</si>
  <si>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</si>
  <si>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</si>
  <si>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</si>
  <si>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</si>
  <si>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</si>
  <si>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</si>
  <si>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</si>
  <si>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</si>
  <si>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</si>
  <si>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</si>
  <si>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</si>
  <si>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</si>
  <si>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</si>
  <si>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</si>
  <si>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</si>
  <si>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</si>
  <si>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</si>
  <si>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</si>
  <si>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</si>
  <si>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</si>
  <si>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</si>
  <si>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</si>
  <si>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</si>
  <si>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</si>
  <si>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</si>
  <si>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</si>
  <si>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</si>
  <si>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</si>
  <si>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</si>
  <si>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</si>
  <si>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</si>
  <si>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</si>
  <si>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</si>
  <si>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</si>
  <si>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</si>
  <si>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</si>
  <si>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</si>
  <si>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</si>
  <si>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</si>
  <si>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</si>
  <si>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</si>
  <si>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</si>
  <si>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</si>
  <si>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</si>
  <si>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</si>
  <si>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</si>
  <si>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</si>
  <si>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</si>
  <si>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</si>
  <si>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</si>
  <si>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</si>
  <si>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</si>
  <si>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</si>
  <si>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</si>
  <si>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</si>
  <si>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</si>
  <si>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</si>
  <si>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</si>
  <si>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</si>
  <si>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</si>
  <si>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</si>
  <si>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</si>
  <si>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</si>
  <si>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</si>
  <si>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</si>
  <si>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</si>
  <si>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</si>
  <si>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</si>
  <si>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</si>
  <si>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</si>
  <si>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</si>
  <si>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</si>
  <si>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</si>
  <si>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</si>
  <si>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</si>
  <si>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</si>
  <si>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</si>
  <si>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</si>
  <si>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</si>
  <si>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</si>
  <si>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</si>
  <si>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</si>
  <si>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</si>
  <si>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</si>
  <si>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</si>
  <si>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</si>
  <si>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</si>
  <si>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</si>
  <si>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</si>
  <si>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</si>
  <si>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</si>
  <si>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</si>
  <si>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</si>
  <si>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</si>
  <si>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</si>
  <si>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</si>
  <si>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</si>
  <si>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</si>
  <si>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</si>
  <si>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</si>
  <si>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</si>
  <si>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</si>
  <si>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</si>
  <si>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</si>
  <si>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</si>
  <si>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</si>
  <si>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</si>
  <si>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</si>
  <si>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</si>
  <si>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</si>
  <si>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</si>
  <si>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</si>
  <si>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</si>
  <si>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</si>
  <si>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</si>
  <si>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</si>
  <si>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</si>
  <si>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</si>
  <si>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</si>
  <si>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</si>
  <si>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</si>
  <si>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</si>
  <si>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</si>
  <si>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</si>
  <si>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</si>
  <si>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</si>
  <si>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</si>
  <si>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</si>
  <si>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</si>
  <si>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</si>
  <si>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</si>
  <si>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</si>
  <si>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</si>
  <si>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</si>
  <si>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</si>
  <si>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</si>
  <si>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</si>
  <si>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</si>
  <si>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</si>
  <si>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</si>
  <si>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</si>
  <si>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</si>
  <si>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</si>
  <si>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</si>
  <si>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</si>
  <si>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</si>
  <si>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</si>
  <si>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</si>
  <si>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</si>
  <si>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</si>
  <si>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</si>
  <si>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</si>
  <si>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</si>
  <si>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</si>
  <si>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</si>
  <si>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</si>
  <si>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</si>
  <si>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</si>
  <si>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</si>
  <si>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</si>
  <si>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</si>
  <si>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</si>
  <si>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</si>
  <si>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</si>
  <si>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</si>
  <si>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</si>
  <si>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</si>
  <si>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</si>
  <si>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</si>
  <si>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</si>
  <si>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</si>
  <si>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</si>
  <si>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</si>
  <si>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</si>
  <si>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</si>
  <si>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</si>
  <si>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</si>
  <si>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</si>
  <si>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</si>
  <si>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</si>
  <si>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</si>
  <si>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</si>
  <si>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</si>
  <si>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</si>
  <si>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</si>
  <si>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</si>
  <si>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</si>
  <si>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</si>
  <si>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</si>
  <si>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</si>
  <si>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</si>
  <si>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</si>
  <si>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</si>
  <si>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</si>
  <si>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</si>
  <si>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</si>
  <si>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</si>
  <si>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</si>
  <si>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</si>
  <si>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</si>
  <si>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</si>
  <si>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</si>
  <si>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</si>
  <si>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</si>
  <si>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</si>
  <si>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</si>
  <si>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</si>
  <si>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</si>
  <si>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</si>
  <si>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</si>
  <si>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</si>
  <si>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</si>
  <si>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</si>
  <si>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</si>
  <si>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</si>
  <si>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</si>
  <si>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</si>
  <si>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</si>
  <si>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</si>
  <si>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</si>
  <si>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</si>
  <si>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</si>
  <si>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</si>
  <si>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</si>
  <si>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</si>
  <si>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</si>
  <si>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</si>
  <si>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</si>
  <si>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</si>
  <si>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</si>
  <si>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</si>
  <si>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</si>
  <si>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</si>
  <si>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</si>
  <si>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</si>
  <si>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</si>
  <si>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</si>
  <si>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</si>
  <si>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</si>
  <si>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</si>
  <si>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</si>
  <si>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</si>
  <si>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</si>
  <si>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</si>
  <si>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</si>
  <si>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</si>
  <si>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</si>
  <si>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</si>
  <si>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</si>
  <si>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</si>
  <si>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</si>
  <si>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</si>
  <si>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</si>
  <si>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</si>
  <si>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</si>
  <si>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</si>
  <si>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</si>
  <si>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</si>
  <si>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</si>
  <si>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</si>
  <si>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</si>
  <si>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</si>
  <si>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</si>
  <si>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</si>
  <si>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</si>
  <si>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</si>
  <si>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</si>
  <si>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</si>
  <si>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</si>
  <si>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</si>
  <si>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</si>
  <si>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</si>
  <si>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</si>
  <si>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</si>
  <si>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</si>
  <si>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</si>
  <si>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</si>
  <si>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</si>
  <si>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</si>
  <si>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</si>
  <si>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</si>
  <si>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</si>
  <si>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</si>
  <si>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</si>
  <si>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</si>
  <si>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</si>
  <si>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</si>
  <si>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</si>
  <si>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</si>
  <si>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</si>
  <si>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</si>
  <si>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</si>
  <si>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</si>
  <si>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</si>
  <si>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</si>
  <si>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</si>
  <si>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</si>
  <si>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</si>
  <si>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</si>
  <si>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</si>
  <si>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</si>
  <si>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</si>
  <si>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</si>
  <si>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</si>
  <si>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</si>
  <si>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</si>
  <si>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</si>
  <si>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</si>
  <si>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</si>
  <si>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</si>
  <si>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</si>
  <si>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</si>
  <si>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</si>
  <si>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</si>
  <si>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</si>
  <si>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</si>
  <si>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</si>
  <si>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</si>
  <si>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</si>
  <si>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</si>
  <si>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</si>
  <si>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</si>
  <si>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</si>
  <si>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</si>
  <si>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</si>
  <si>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</si>
  <si>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</si>
  <si>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</si>
  <si>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</si>
  <si>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</si>
  <si>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</si>
  <si>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</si>
  <si>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</si>
  <si>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</si>
  <si>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</si>
  <si>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</si>
  <si>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</si>
  <si>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</si>
  <si>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</si>
  <si>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</si>
  <si>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</si>
  <si>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</si>
  <si>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</si>
  <si>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</si>
  <si>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</si>
  <si>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</si>
  <si>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</si>
  <si>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</si>
  <si>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</si>
  <si>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</si>
  <si>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</si>
  <si>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</si>
  <si>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</si>
  <si>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</si>
  <si>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</si>
  <si>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</si>
  <si>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</si>
  <si>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</si>
  <si>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</si>
  <si>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</si>
  <si>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</si>
  <si>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</si>
  <si>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</si>
  <si>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</si>
  <si>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</si>
  <si>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</si>
  <si>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</si>
  <si>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</si>
  <si>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</si>
  <si>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</si>
  <si>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</si>
  <si>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</si>
  <si>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</si>
  <si>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</si>
  <si>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</si>
  <si>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</si>
  <si>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</si>
  <si>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</si>
  <si>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</si>
  <si>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</si>
  <si>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</si>
  <si>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</si>
  <si>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</si>
  <si>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</si>
  <si>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</si>
  <si>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</si>
  <si>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</si>
  <si>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</si>
  <si>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</si>
  <si>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</si>
  <si>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</si>
  <si>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</si>
  <si>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</si>
  <si>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</si>
  <si>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</si>
  <si>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</si>
  <si>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</si>
  <si>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</si>
  <si>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</si>
  <si>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</si>
  <si>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</si>
  <si>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</si>
  <si>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</si>
  <si>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</si>
  <si>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</si>
  <si>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</si>
  <si>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</si>
  <si>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</si>
  <si>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</si>
  <si>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</si>
  <si>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</si>
  <si>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</si>
  <si>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</si>
  <si>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</si>
  <si>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</si>
  <si>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</si>
  <si>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</si>
  <si>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</si>
  <si>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</si>
  <si>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</si>
  <si>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</si>
  <si>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</si>
  <si>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</si>
  <si>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</si>
  <si>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</si>
  <si>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</si>
  <si>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</si>
  <si>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</si>
  <si>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</si>
  <si>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</si>
  <si>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</si>
  <si>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</si>
  <si>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</si>
  <si>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</si>
  <si>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</si>
  <si>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</si>
  <si>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</si>
  <si>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</si>
  <si>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</si>
  <si>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</si>
  <si>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</si>
  <si>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</si>
  <si>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</si>
  <si>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</si>
  <si>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</si>
  <si>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</si>
  <si>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</si>
  <si>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</si>
  <si>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</si>
  <si>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</si>
  <si>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</si>
  <si>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</si>
  <si>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</si>
  <si>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</si>
  <si>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</si>
  <si>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</si>
  <si>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</si>
  <si>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</si>
  <si>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</si>
  <si>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</si>
  <si>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</si>
  <si>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</si>
  <si>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</si>
  <si>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</si>
  <si>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</si>
  <si>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</si>
  <si>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</si>
  <si>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</si>
  <si>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</si>
  <si>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</si>
  <si>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</si>
  <si>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</si>
  <si>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</si>
  <si>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</si>
  <si>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</si>
  <si>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</si>
  <si>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</si>
  <si>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</si>
  <si>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</si>
  <si>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</si>
  <si>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</si>
  <si>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</si>
  <si>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</si>
  <si>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</si>
  <si>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</si>
  <si>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</si>
  <si>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</si>
  <si>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</si>
  <si>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</si>
  <si>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</si>
  <si>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</si>
  <si>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</si>
  <si>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</si>
  <si>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</si>
  <si>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</si>
  <si>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</si>
  <si>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</si>
  <si>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</si>
  <si>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</si>
  <si>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</si>
  <si>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</si>
  <si>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</si>
  <si>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</si>
  <si>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</si>
  <si>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</si>
  <si>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</si>
  <si>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</si>
  <si>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</si>
  <si>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</si>
  <si>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</si>
  <si>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</si>
  <si>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</si>
  <si>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</si>
  <si>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</si>
  <si>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</si>
  <si>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</si>
  <si>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</si>
  <si>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</si>
  <si>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</si>
  <si>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</si>
  <si>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</si>
  <si>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</si>
  <si>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</si>
  <si>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</si>
  <si>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</si>
  <si>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</si>
  <si>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</si>
  <si>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</si>
  <si>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</si>
  <si>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</si>
  <si>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</si>
  <si>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</si>
  <si>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</si>
  <si>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</si>
  <si>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</si>
  <si>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</si>
  <si>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</si>
  <si>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</si>
  <si>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</si>
  <si>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</si>
  <si>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</si>
  <si>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</si>
  <si>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</si>
  <si>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</si>
  <si>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</si>
  <si>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</si>
  <si>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</si>
  <si>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</si>
  <si>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</si>
  <si>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</si>
  <si>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</si>
  <si>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</si>
  <si>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</si>
  <si>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</si>
  <si>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</si>
  <si>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</si>
  <si>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</si>
  <si>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</si>
  <si>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</si>
  <si>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</si>
  <si>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</si>
  <si>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</si>
  <si>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</si>
  <si>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</si>
  <si>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</si>
  <si>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</si>
  <si>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</si>
  <si>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</si>
  <si>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</si>
  <si>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</si>
  <si>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</si>
  <si>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</si>
  <si>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</si>
  <si>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</si>
  <si>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</si>
  <si>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</si>
  <si>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</si>
  <si>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</si>
  <si>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</si>
  <si>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</si>
  <si>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</si>
  <si>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</si>
  <si>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</si>
  <si>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</si>
  <si>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</si>
  <si>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</si>
  <si>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</si>
  <si>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</si>
  <si>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</si>
  <si>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</si>
  <si>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</si>
  <si>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</si>
  <si>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</si>
  <si>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</si>
  <si>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</si>
  <si>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</si>
  <si>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</si>
  <si>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</si>
  <si>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</si>
  <si>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</si>
  <si>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</si>
  <si>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</si>
  <si>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</si>
  <si>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</si>
  <si>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</si>
  <si>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</si>
  <si>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</si>
  <si>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</si>
  <si>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</si>
  <si>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</si>
  <si>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</si>
  <si>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</si>
  <si>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</si>
  <si>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</si>
  <si>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</si>
  <si>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</si>
  <si>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</si>
  <si>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</si>
  <si>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</si>
  <si>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</si>
  <si>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</si>
  <si>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</si>
  <si>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</si>
  <si>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</si>
  <si>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</si>
  <si>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</si>
  <si>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</si>
  <si>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</si>
  <si>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</si>
  <si>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</si>
  <si>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</si>
  <si>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</si>
  <si>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</si>
  <si>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</si>
  <si>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</si>
  <si>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</si>
  <si>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</si>
  <si>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</si>
  <si>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</si>
  <si>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</si>
  <si>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</si>
  <si>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</si>
  <si>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</si>
  <si>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</si>
  <si>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</si>
  <si>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</si>
  <si>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</si>
  <si>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</si>
  <si>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</si>
  <si>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</si>
  <si>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</si>
  <si>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</si>
  <si>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</si>
  <si>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</si>
  <si>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</si>
  <si>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</si>
  <si>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</si>
  <si>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</si>
  <si>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</si>
  <si>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</si>
  <si>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</si>
  <si>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</si>
  <si>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</si>
  <si>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</si>
  <si>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</si>
  <si>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</si>
  <si>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</si>
  <si>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</si>
  <si>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</si>
  <si>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</si>
  <si>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</si>
  <si>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</si>
  <si>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</si>
  <si>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</si>
  <si>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</si>
  <si>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</si>
  <si>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</si>
  <si>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</si>
  <si>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</si>
  <si>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</si>
  <si>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</si>
  <si>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</si>
  <si>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</si>
  <si>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</si>
  <si>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</si>
  <si>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</si>
  <si>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</si>
  <si>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</si>
  <si>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</si>
  <si>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</si>
  <si>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</si>
  <si>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</si>
  <si>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</si>
  <si>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</si>
  <si>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</si>
  <si>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</si>
  <si>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</si>
  <si>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</si>
  <si>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</si>
  <si>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</si>
  <si>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</si>
  <si>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</si>
  <si>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</si>
  <si>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</si>
  <si>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</si>
  <si>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</si>
  <si>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</si>
  <si>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</si>
  <si>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</si>
  <si>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</si>
  <si>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</si>
  <si>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</si>
  <si>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</si>
  <si>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</si>
  <si>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</si>
  <si>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</si>
  <si>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</si>
  <si>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</si>
  <si>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</si>
  <si>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</si>
  <si>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</si>
  <si>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</si>
  <si>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</si>
  <si>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</si>
  <si>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</si>
  <si>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</si>
  <si>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</si>
  <si>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</si>
  <si>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</si>
  <si>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</si>
  <si>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</si>
  <si>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</si>
  <si>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</si>
  <si>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</si>
  <si>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</si>
  <si>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</si>
  <si>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</si>
  <si>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</si>
  <si>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</si>
  <si>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</si>
  <si>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</si>
  <si>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</si>
  <si>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</si>
  <si>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</si>
  <si>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</si>
  <si>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</si>
  <si>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</si>
  <si>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</si>
  <si>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</si>
  <si>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</si>
  <si>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</si>
  <si>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</si>
  <si>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</si>
  <si>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</si>
  <si>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</si>
  <si>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</si>
  <si>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</si>
  <si>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</si>
  <si>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</si>
  <si>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</si>
  <si>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</si>
  <si>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</si>
  <si>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</si>
  <si>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</si>
  <si>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</si>
  <si>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</si>
  <si>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</si>
  <si>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</si>
  <si>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</si>
  <si>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</si>
  <si>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</si>
  <si>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</si>
  <si>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</si>
  <si>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</si>
  <si>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</si>
  <si>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</si>
  <si>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</si>
  <si>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</si>
  <si>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</si>
  <si>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</si>
  <si>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</si>
  <si>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</si>
  <si>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</si>
  <si>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</si>
  <si>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</si>
  <si>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</si>
  <si>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</si>
  <si>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</si>
  <si>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</si>
  <si>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</si>
  <si>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</si>
  <si>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</si>
  <si>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</si>
  <si>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</si>
  <si>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</si>
  <si>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</si>
  <si>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</si>
  <si>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</si>
  <si>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</si>
  <si>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</si>
  <si>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</si>
  <si>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</si>
  <si>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</si>
  <si>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</si>
  <si>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</si>
  <si>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</si>
  <si>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</si>
  <si>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</si>
  <si>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</si>
  <si>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</si>
  <si>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</si>
  <si>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</si>
  <si>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</si>
  <si>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</si>
  <si>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</si>
  <si>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</si>
  <si>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</si>
  <si>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</si>
  <si>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</si>
  <si>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</si>
  <si>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</si>
  <si>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</si>
  <si>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</si>
  <si>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</si>
  <si>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</si>
  <si>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</si>
  <si>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</si>
  <si>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</si>
  <si>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</si>
  <si>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</si>
  <si>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</si>
  <si>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</si>
  <si>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</si>
  <si>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</si>
  <si>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</si>
  <si>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</si>
  <si>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</si>
  <si>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</si>
  <si>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</si>
  <si>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</si>
  <si>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</si>
  <si>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</si>
  <si>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</si>
  <si>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</si>
  <si>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</si>
  <si>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</si>
  <si>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</si>
  <si>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</si>
  <si>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</si>
  <si>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</si>
  <si>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</si>
  <si>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</si>
  <si>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</si>
  <si>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</si>
  <si>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</si>
  <si>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</si>
  <si>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</si>
  <si>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</si>
  <si>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</si>
  <si>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</si>
  <si>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</si>
  <si>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</si>
  <si>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</si>
  <si>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</si>
  <si>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</si>
  <si>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</si>
  <si>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</si>
  <si>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</si>
  <si>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</si>
  <si>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</si>
  <si>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</si>
  <si>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</si>
  <si>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</si>
  <si>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</si>
  <si>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</si>
  <si>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</si>
  <si>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</si>
  <si>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</si>
  <si>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</si>
  <si>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</si>
  <si>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</si>
  <si>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</si>
  <si>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</si>
  <si>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</si>
  <si>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</si>
  <si>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</si>
  <si>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</si>
  <si>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</si>
  <si>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</si>
  <si>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</si>
  <si>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</si>
  <si>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</si>
  <si>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</si>
  <si>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</si>
  <si>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</si>
  <si>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</si>
  <si>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</si>
  <si>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</si>
  <si>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</si>
  <si>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</si>
  <si>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</si>
  <si>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</si>
  <si>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</si>
  <si>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</si>
  <si>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</si>
  <si>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</si>
  <si>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</si>
  <si>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</si>
  <si>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</si>
  <si>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</si>
  <si>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</si>
  <si>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</si>
  <si>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</si>
  <si>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</si>
  <si>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</si>
  <si>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</si>
  <si>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</si>
  <si>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</si>
  <si>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</si>
  <si>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</si>
  <si>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</si>
  <si>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</si>
  <si>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</si>
  <si>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</si>
  <si>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</si>
  <si>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</si>
  <si>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</si>
  <si>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</si>
  <si>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</si>
  <si>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</si>
  <si>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</si>
  <si>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</si>
  <si>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</si>
  <si>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</si>
  <si>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</si>
  <si>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</si>
  <si>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</si>
  <si>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</si>
  <si>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</si>
  <si>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</si>
  <si>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</si>
  <si>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</si>
  <si>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</si>
  <si>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</si>
  <si>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</si>
  <si>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</si>
  <si>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</si>
  <si>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</si>
  <si>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</si>
  <si>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</si>
  <si>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</si>
  <si>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</si>
  <si>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</si>
  <si>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</si>
  <si>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</si>
  <si>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</si>
  <si>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</si>
  <si>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</si>
  <si>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</si>
  <si>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</si>
  <si>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</si>
  <si>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</si>
  <si>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</si>
  <si>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</si>
  <si>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抵押</t>
  </si>
  <si>
    <t>房地产抵押价值</t>
  </si>
  <si>
    <t>北京市</t>
  </si>
  <si>
    <t>企业</t>
  </si>
  <si>
    <t>出让</t>
  </si>
  <si>
    <t>是</t>
  </si>
  <si>
    <t>工业项目</t>
  </si>
  <si>
    <t>地上</t>
  </si>
  <si>
    <t>标准厂房</t>
  </si>
  <si>
    <t>工业用房</t>
  </si>
  <si>
    <t>工业用房</t>
    <phoneticPr fontId="7" type="noConversion"/>
  </si>
  <si>
    <t>成新度</t>
  </si>
  <si>
    <t>收益法</t>
  </si>
  <si>
    <t>利息：取LPR加浮动点数</t>
  </si>
  <si>
    <t>较好</t>
  </si>
  <si>
    <t>较好</t>
    <phoneticPr fontId="25" type="noConversion"/>
  </si>
  <si>
    <t>七通</t>
  </si>
  <si>
    <t>七通</t>
    <phoneticPr fontId="25" type="noConversion"/>
  </si>
  <si>
    <t>总价</t>
  </si>
  <si>
    <t>成本比率</t>
  </si>
  <si>
    <t>成本法</t>
  </si>
  <si>
    <t>现房</t>
  </si>
  <si>
    <t>已包含在土地取得成本中</t>
  </si>
  <si>
    <t>与级别开发程度一致</t>
  </si>
  <si>
    <t>不临58条商业街</t>
  </si>
  <si>
    <t>工业用地</t>
  </si>
  <si>
    <t>容积率修正</t>
  </si>
  <si>
    <t>地价指数</t>
  </si>
  <si>
    <t>一般</t>
  </si>
  <si>
    <t>好</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</si>
  <si>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</si>
  <si>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</si>
  <si>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</si>
  <si>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</si>
  <si>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</si>
  <si>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</si>
  <si>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</si>
  <si>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</si>
  <si>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</si>
  <si>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</si>
  <si>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</si>
  <si>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</si>
  <si>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</si>
  <si>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</si>
  <si>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</si>
  <si>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</si>
  <si>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</si>
  <si>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</si>
  <si>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</si>
  <si>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</si>
  <si>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顺义区马坡聚源工业区A02-2-2地块    </t>
  </si>
  <si>
    <t>京土整储挂(顺)工业[2021]001号</t>
  </si>
  <si>
    <t xml:space="preserve">       工业用地</t>
  </si>
  <si>
    <t xml:space="preserve">       挂牌</t>
  </si>
  <si>
    <t xml:space="preserve">       M1工业用地</t>
  </si>
  <si>
    <t xml:space="preserve">--       </t>
  </si>
  <si>
    <t xml:space="preserve">       已成交</t>
  </si>
  <si>
    <t xml:space="preserve">  北京奕承科技有限公司      </t>
  </si>
  <si>
    <t xml:space="preserve">       --</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</si>
  <si>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</si>
  <si>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</si>
  <si>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</si>
  <si>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</si>
  <si>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</si>
  <si>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≥0.8;≤2</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</si>
  <si>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</si>
  <si>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</si>
  <si>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</si>
  <si>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</si>
  <si>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</si>
  <si>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</si>
  <si>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</si>
  <si>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</si>
  <si>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</si>
  <si>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</si>
  <si>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</si>
  <si>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</si>
  <si>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</si>
  <si>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</si>
  <si>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</si>
  <si>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</si>
  <si>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年期修正</t>
    <phoneticPr fontId="140" type="noConversion"/>
  </si>
  <si>
    <t>容积率系数</t>
    <phoneticPr fontId="140" type="noConversion"/>
  </si>
  <si>
    <t>宗地容积率</t>
  </si>
  <si>
    <t>正常</t>
  </si>
  <si>
    <t>工业</t>
    <phoneticPr fontId="33" type="noConversion"/>
  </si>
  <si>
    <t>好</t>
    <phoneticPr fontId="25" type="noConversion"/>
  </si>
  <si>
    <t>城市主干道</t>
    <phoneticPr fontId="33" type="noConversion"/>
  </si>
  <si>
    <t>城市次干道</t>
    <phoneticPr fontId="33" type="noConversion"/>
  </si>
  <si>
    <t>城市支路</t>
  </si>
  <si>
    <t>城市支路</t>
    <phoneticPr fontId="33" type="noConversion"/>
  </si>
  <si>
    <t>七通</t>
    <phoneticPr fontId="33" type="noConversion"/>
  </si>
  <si>
    <t>六通</t>
    <phoneticPr fontId="33" type="noConversion"/>
  </si>
  <si>
    <t>五通</t>
    <phoneticPr fontId="33" type="noConversion"/>
  </si>
  <si>
    <t>较好</t>
    <phoneticPr fontId="33" type="noConversion"/>
  </si>
  <si>
    <t>规则</t>
    <phoneticPr fontId="33" type="noConversion"/>
  </si>
  <si>
    <t>较规则</t>
  </si>
  <si>
    <t>较规则</t>
    <phoneticPr fontId="33" type="noConversion"/>
  </si>
  <si>
    <t>按租金收入计税</t>
  </si>
  <si>
    <t>押一</t>
  </si>
  <si>
    <t>非生产用房</t>
  </si>
  <si>
    <t>地下</t>
  </si>
  <si>
    <t>楼面地价</t>
  </si>
  <si>
    <t>仓储</t>
  </si>
  <si>
    <t>钢混</t>
  </si>
  <si>
    <t>否</t>
  </si>
  <si>
    <r>
      <rPr>
        <sz val="10"/>
        <color indexed="8"/>
        <rFont val="宋体"/>
        <family val="3"/>
        <charset val="134"/>
      </rPr>
      <t>地上</t>
    </r>
    <r>
      <rPr>
        <sz val="10"/>
        <color indexed="8"/>
        <rFont val="Arial"/>
        <family val="2"/>
      </rPr>
      <t>1-4</t>
    </r>
    <phoneticPr fontId="3" type="noConversion"/>
  </si>
  <si>
    <r>
      <rPr>
        <sz val="10"/>
        <color indexed="8"/>
        <rFont val="宋体"/>
        <family val="3"/>
        <charset val="134"/>
      </rPr>
      <t>地下</t>
    </r>
    <r>
      <rPr>
        <sz val="10"/>
        <color indexed="8"/>
        <rFont val="Arial"/>
        <family val="2"/>
      </rPr>
      <t>1</t>
    </r>
    <phoneticPr fontId="3" type="noConversion"/>
  </si>
  <si>
    <t>Ⅶ-林河开发区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</si>
</sst>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0" fillId="0" borderId="0" xfId="0" applyAlignment="1">
      <alignment horizontal="center" vertical="center" wrapText="1"/>
    </xf>
    <xf numFmtId="14" fontId="0" fillId="0" borderId="0" xfId="0" applyNumberFormat="1" applyAlignment="1">
      <alignment horizontal="center" vertical="center" wrapText="1"/>
    </xf>
    <xf numFmtId="0" fontId="98" fillId="0" borderId="0" xfId="0" applyFont="1" applyAlignment="1">
      <alignment horizontal="center" vertical="center" wrapText="1"/>
    </xf>
    <xf numFmtId="0" fontId="0" fillId="9" borderId="0" xfId="0" applyFill="1" applyAlignment="1">
      <alignment horizontal="center" vertical="center" wrapText="1"/>
    </xf>
    <xf numFmtId="14" fontId="0" fillId="9" borderId="0" xfId="0" applyNumberFormat="1" applyFill="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79" fillId="2" borderId="1" xfId="0" applyFont="1" applyFill="1" applyBorder="1" applyAlignment="1" applyProtection="1">
      <alignment horizontal="left" vertical="center" wrapText="1"/>
      <protection locked="0"/>
    </xf>
    <xf numFmtId="0" fontId="46" fillId="9" borderId="23" xfId="0" applyNumberFormat="1" applyFont="1" applyFill="1" applyBorder="1" applyAlignment="1" applyProtection="1">
      <alignment horizontal="center" vertical="center" wrapText="1"/>
      <protection locked="0"/>
    </xf>
    <xf numFmtId="179" fontId="49" fillId="9" borderId="1" xfId="0" applyNumberFormat="1" applyFont="1" applyFill="1" applyBorder="1" applyAlignment="1" applyProtection="1">
      <alignment horizontal="center" vertical="center" wrapText="1"/>
      <protection locked="0"/>
    </xf>
    <xf numFmtId="177" fontId="49" fillId="9" borderId="1" xfId="1" applyNumberFormat="1" applyFont="1" applyFill="1" applyBorder="1" applyAlignment="1" applyProtection="1">
      <alignment horizontal="center" vertical="center"/>
      <protection locked="0"/>
    </xf>
    <xf numFmtId="177" fontId="55" fillId="9" borderId="24" xfId="1" applyNumberFormat="1" applyFont="1" applyFill="1" applyBorder="1" applyAlignment="1" applyProtection="1">
      <alignment horizontal="center"/>
    </xf>
    <xf numFmtId="179" fontId="46" fillId="0" borderId="0" xfId="0" applyNumberFormat="1" applyFont="1" applyProtection="1">
      <alignment vertical="center"/>
      <protection locked="0"/>
    </xf>
    <xf numFmtId="0" fontId="103" fillId="20" borderId="24" xfId="0" applyFont="1" applyFill="1" applyBorder="1" applyAlignment="1" applyProtection="1">
      <alignment horizont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5" borderId="6"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5</xdr:col>
      <xdr:colOff>152400</xdr:colOff>
      <xdr:row>23</xdr:row>
      <xdr:rowOff>111427</xdr:rowOff>
    </xdr:to>
    <xdr:pic>
      <xdr:nvPicPr>
        <xdr:cNvPr id="3" name="图片 2">
          <a:extLst>
            <a:ext uri="{FF2B5EF4-FFF2-40B4-BE49-F238E27FC236}">
              <a16:creationId xmlns:a16="http://schemas.microsoft.com/office/drawing/2014/main" xmlns="" id="{7423315D-B4B9-403F-9E4C-730D1C998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57550"/>
          <a:ext cx="7772400" cy="2511727"/>
        </a:xfrm>
        <a:prstGeom prst="rect">
          <a:avLst/>
        </a:prstGeom>
      </xdr:spPr>
    </xdr:pic>
    <xdr:clientData/>
  </xdr:twoCellAnchor>
  <xdr:twoCellAnchor editAs="oneCell">
    <xdr:from>
      <xdr:col>0</xdr:col>
      <xdr:colOff>0</xdr:colOff>
      <xdr:row>25</xdr:row>
      <xdr:rowOff>0</xdr:rowOff>
    </xdr:from>
    <xdr:to>
      <xdr:col>5</xdr:col>
      <xdr:colOff>152400</xdr:colOff>
      <xdr:row>38</xdr:row>
      <xdr:rowOff>136992</xdr:rowOff>
    </xdr:to>
    <xdr:pic>
      <xdr:nvPicPr>
        <xdr:cNvPr id="5" name="图片 4">
          <a:extLst>
            <a:ext uri="{FF2B5EF4-FFF2-40B4-BE49-F238E27FC236}">
              <a16:creationId xmlns:a16="http://schemas.microsoft.com/office/drawing/2014/main" xmlns="" id="{D627DD4F-B901-4239-BE15-15E5C7E20F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7772400" cy="2365842"/>
        </a:xfrm>
        <a:prstGeom prst="rect">
          <a:avLst/>
        </a:prstGeom>
      </xdr:spPr>
    </xdr:pic>
    <xdr:clientData/>
  </xdr:twoCellAnchor>
  <xdr:twoCellAnchor editAs="oneCell">
    <xdr:from>
      <xdr:col>0</xdr:col>
      <xdr:colOff>0</xdr:colOff>
      <xdr:row>40</xdr:row>
      <xdr:rowOff>0</xdr:rowOff>
    </xdr:from>
    <xdr:to>
      <xdr:col>5</xdr:col>
      <xdr:colOff>152400</xdr:colOff>
      <xdr:row>56</xdr:row>
      <xdr:rowOff>129387</xdr:rowOff>
    </xdr:to>
    <xdr:pic>
      <xdr:nvPicPr>
        <xdr:cNvPr id="7" name="图片 6">
          <a:extLst>
            <a:ext uri="{FF2B5EF4-FFF2-40B4-BE49-F238E27FC236}">
              <a16:creationId xmlns:a16="http://schemas.microsoft.com/office/drawing/2014/main" xmlns="" id="{D7FE8C56-734A-44FD-BD0A-B6557B63BC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2872587"/>
        </a:xfrm>
        <a:prstGeom prst="rect">
          <a:avLst/>
        </a:prstGeom>
      </xdr:spPr>
    </xdr:pic>
    <xdr:clientData/>
  </xdr:twoCellAnchor>
  <xdr:twoCellAnchor editAs="oneCell">
    <xdr:from>
      <xdr:col>5</xdr:col>
      <xdr:colOff>742950</xdr:colOff>
      <xdr:row>8</xdr:row>
      <xdr:rowOff>161925</xdr:rowOff>
    </xdr:from>
    <xdr:to>
      <xdr:col>9</xdr:col>
      <xdr:colOff>657225</xdr:colOff>
      <xdr:row>34</xdr:row>
      <xdr:rowOff>152400</xdr:rowOff>
    </xdr:to>
    <xdr:pic>
      <xdr:nvPicPr>
        <xdr:cNvPr id="9" name="图片 8">
          <a:extLst>
            <a:ext uri="{FF2B5EF4-FFF2-40B4-BE49-F238E27FC236}">
              <a16:creationId xmlns:a16="http://schemas.microsoft.com/office/drawing/2014/main" xmlns="" id="{A85F7EEC-FE88-4DDE-A73B-A0BE88CBDAD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62950" y="3248025"/>
          <a:ext cx="6010275" cy="4448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20&#39034;&#20041;&#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E31">
            <v>29312.080000000002</v>
          </cell>
        </row>
      </sheetData>
      <sheetData sheetId="14"/>
      <sheetData sheetId="15"/>
      <sheetData sheetId="16"/>
      <sheetData sheetId="17">
        <row r="19">
          <cell r="G19">
            <v>22584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估价对象为北京市房地产，为所有。根据，估价对象（分摊）出让国有建设用地使用权面积为0平方米。根据，估价对象建筑面积为17109.73平方米。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估价对象为北京市房地产,属开发建设的工业项目，该项目尚在开发建设中。根据，估价对象（分摊）出让国有建设用地使用权面积为0平方米。根据，估价对象规划建筑面积为17109.73平方米。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2022年1月21日（评估专业人员实地查勘之日）</v>
      </c>
    </row>
    <row r="13" spans="1:2" s="1336" customFormat="1">
      <c r="A13" s="1334" t="s">
        <v>1135</v>
      </c>
      <c r="B13" s="1335" t="str">
        <f>'预评函-1'!A18</f>
        <v>本次估价的“房地产价值”是指在正常市场情况下，在价值时点2022年1月21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12269</v>
      </c>
    </row>
    <row r="21" spans="1:2" s="1336" customFormat="1">
      <c r="A21" s="1334" t="s">
        <v>1143</v>
      </c>
      <c r="B21" s="1335">
        <f ca="1">'预评函-2'!D7</f>
        <v>7171</v>
      </c>
    </row>
    <row r="22" spans="1:2" s="1336" customFormat="1">
      <c r="A22" s="1334" t="s">
        <v>1144</v>
      </c>
      <c r="B22" s="1335" t="str">
        <f ca="1">'预评函-2'!D6</f>
        <v>壹亿贰仟贰佰陆拾玖万元整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12269</v>
      </c>
    </row>
    <row r="31" spans="1:2" s="1336" customFormat="1">
      <c r="A31" s="1334" t="s">
        <v>1182</v>
      </c>
      <c r="B31" s="1335">
        <f ca="1">'预评函-2'!D15</f>
        <v>7171</v>
      </c>
    </row>
    <row r="32" spans="1:2" s="1336" customFormat="1">
      <c r="A32" s="1334" t="s">
        <v>1149</v>
      </c>
      <c r="B32" s="1335" t="str">
        <f ca="1">'预评函-2'!D14</f>
        <v>壹亿贰仟贰佰陆拾玖万元整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17109.73</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f ca="1">'预评函-3'!D4</f>
        <v>5533</v>
      </c>
    </row>
    <row r="48" spans="1:2" s="1336" customFormat="1">
      <c r="A48" s="1334" t="s">
        <v>1155</v>
      </c>
      <c r="B48" s="1335">
        <f ca="1">'预评函-3'!E4</f>
        <v>3234</v>
      </c>
    </row>
    <row r="49" spans="1:2" s="1336" customFormat="1">
      <c r="A49" s="1334" t="s">
        <v>1156</v>
      </c>
      <c r="B49" s="1335" t="str">
        <f ca="1">'预评函-3'!D5</f>
        <v>伍仟伍佰叁拾叁万元整</v>
      </c>
    </row>
    <row r="50" spans="1:2" s="1336" customFormat="1">
      <c r="A50" s="1334" t="s">
        <v>1180</v>
      </c>
      <c r="B50" s="1335" t="str">
        <f>'预评函-3'!F2</f>
        <v>在建建筑物价值</v>
      </c>
    </row>
    <row r="51" spans="1:2" s="1336" customFormat="1">
      <c r="A51" s="1334" t="s">
        <v>1157</v>
      </c>
      <c r="B51" s="1335">
        <f ca="1">'预评函-3'!F4</f>
        <v>6736</v>
      </c>
    </row>
    <row r="52" spans="1:2" s="1336" customFormat="1">
      <c r="A52" s="1334" t="s">
        <v>1158</v>
      </c>
      <c r="B52" s="1335">
        <f ca="1">'预评函-3'!G4</f>
        <v>3937</v>
      </c>
    </row>
    <row r="53" spans="1:2" s="1336" customFormat="1">
      <c r="A53" s="1334" t="s">
        <v>1186</v>
      </c>
      <c r="B53" s="1335" t="str">
        <f ca="1">'预评函-3'!F5</f>
        <v>陆仟柒佰叁拾陆万元整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2965</v>
      </c>
      <c r="C17" s="1701"/>
    </row>
    <row r="18" spans="1:3">
      <c r="A18" s="1700" t="s">
        <v>1672</v>
      </c>
      <c r="B18" s="1700" t="s">
        <v>3109</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66"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1708" t="s">
        <v>832</v>
      </c>
      <c r="C54" s="1705" t="s">
        <v>1189</v>
      </c>
    </row>
    <row r="55" spans="1:4">
      <c r="A55" s="3266"/>
      <c r="B55" s="1708" t="s">
        <v>833</v>
      </c>
      <c r="C55" s="1705" t="s">
        <v>1190</v>
      </c>
    </row>
    <row r="56" spans="1:4">
      <c r="A56" s="3266"/>
      <c r="B56" s="1708" t="s">
        <v>834</v>
      </c>
      <c r="C56" s="1705" t="s">
        <v>1194</v>
      </c>
    </row>
    <row r="57" spans="1:4">
      <c r="A57" s="3266"/>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38" sqref="J3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2" customWidth="1"/>
    <col min="12" max="13" width="10" style="282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267" t="str">
        <f>IF(B10="北京市","北京市",C10)&amp;F10&amp;IF(结果表!G1="在建","出让国有建设用地使用权及在建建筑物",IF(结果表!G1="土地","出让国有建设用地使用权",))&amp;B9&amp;"预评估"</f>
        <v>北京市房地产抵押价值预评估</v>
      </c>
      <c r="C1" s="3268"/>
      <c r="D1" s="3268"/>
      <c r="E1" s="3268"/>
      <c r="F1" s="3268"/>
      <c r="G1" s="3268"/>
      <c r="H1" s="3268"/>
      <c r="I1" s="3269"/>
      <c r="J1" s="2665"/>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6"/>
      <c r="E2" s="2856"/>
      <c r="F2" s="2856"/>
      <c r="G2" s="2857"/>
      <c r="H2" s="2857"/>
      <c r="I2" s="2857"/>
      <c r="J2" s="2665"/>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7" t="s">
        <v>2854</v>
      </c>
      <c r="B3" s="2566">
        <v>44582</v>
      </c>
      <c r="C3" s="2567" t="s">
        <v>2855</v>
      </c>
      <c r="D3" s="2566">
        <f>B3</f>
        <v>44582</v>
      </c>
      <c r="E3" s="2857"/>
      <c r="F3" s="2857"/>
      <c r="G3" s="2857"/>
      <c r="H3" s="2857"/>
      <c r="I3" s="2857"/>
      <c r="J3" s="2665"/>
      <c r="K3" s="2561"/>
      <c r="L3" s="2562"/>
      <c r="M3" s="2562"/>
      <c r="N3" s="2563"/>
      <c r="O3" s="1730"/>
      <c r="P3" s="2563"/>
      <c r="Q3" s="2563"/>
      <c r="R3" s="2563"/>
      <c r="S3" s="1837"/>
      <c r="T3" s="1900"/>
      <c r="U3" s="1900"/>
      <c r="V3" s="1900"/>
      <c r="W3" s="1900"/>
      <c r="X3" s="1900"/>
      <c r="Y3" s="1900"/>
      <c r="Z3" s="1900"/>
      <c r="AA3" s="1900"/>
      <c r="AB3" s="1900"/>
    </row>
    <row r="4" spans="1:28" ht="13.5" thickBot="1">
      <c r="A4" s="1221" t="s">
        <v>2856</v>
      </c>
      <c r="B4" s="2568" t="s">
        <v>3114</v>
      </c>
      <c r="C4" s="2569">
        <f ca="1">SUMIF(注册房地产估价师,B4,估价师及机构信息!B3:B24)</f>
        <v>1120100036</v>
      </c>
      <c r="D4" s="2568" t="s">
        <v>3115</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崔锴（注册号：1120100036)、郑燚（注册号：1120070131)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58"/>
      <c r="F5" s="2858"/>
      <c r="G5" s="2858"/>
      <c r="H5" s="2858"/>
      <c r="I5" s="2858"/>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6"/>
      <c r="F6" s="2858"/>
      <c r="G6" s="2858"/>
      <c r="H6" s="2858"/>
      <c r="I6" s="2858"/>
      <c r="J6" s="2634"/>
      <c r="K6" s="2808" t="str">
        <f>IF(COUNTIF(B6,"*上海银行*"),"上海银行","")</f>
        <v/>
      </c>
      <c r="L6" s="2806"/>
      <c r="M6" s="2806"/>
      <c r="N6" s="2634"/>
      <c r="O6" s="2645"/>
      <c r="P6" s="2634"/>
      <c r="Q6" s="2634"/>
      <c r="R6" s="2634"/>
    </row>
    <row r="7" spans="1:28">
      <c r="A7" s="2576" t="s">
        <v>2859</v>
      </c>
      <c r="B7" s="2580"/>
      <c r="C7" s="2578"/>
      <c r="D7" s="2579"/>
      <c r="E7" s="2856"/>
      <c r="F7" s="2858"/>
      <c r="G7" s="2858"/>
      <c r="H7" s="2858"/>
      <c r="I7" s="2858"/>
      <c r="J7" s="2634"/>
      <c r="K7" s="2809"/>
      <c r="L7" s="2806"/>
      <c r="M7" s="2806"/>
      <c r="N7" s="2634"/>
      <c r="O7" s="2645"/>
      <c r="P7" s="2634"/>
      <c r="Q7" s="2634"/>
      <c r="R7" s="2634"/>
    </row>
    <row r="8" spans="1:28">
      <c r="A8" s="2581" t="s">
        <v>2860</v>
      </c>
      <c r="B8" s="2582" t="s">
        <v>3116</v>
      </c>
      <c r="C8" s="2583"/>
      <c r="D8" s="3270" t="s">
        <v>2861</v>
      </c>
      <c r="E8" s="2584" t="s">
        <v>3117</v>
      </c>
      <c r="F8" s="2585"/>
      <c r="G8" s="2857"/>
      <c r="H8" s="2857"/>
      <c r="I8" s="2857"/>
      <c r="J8" s="2634"/>
      <c r="K8" s="2807"/>
      <c r="L8" s="2806"/>
      <c r="M8" s="2806"/>
      <c r="N8" s="2634"/>
      <c r="O8" s="2645"/>
      <c r="P8" s="2634"/>
      <c r="Q8" s="2634"/>
      <c r="R8" s="2634"/>
    </row>
    <row r="9" spans="1:28" ht="13.5" thickBot="1">
      <c r="A9" s="2586" t="s">
        <v>2862</v>
      </c>
      <c r="B9" s="2587" t="s">
        <v>3117</v>
      </c>
      <c r="C9" s="2588"/>
      <c r="D9" s="3271"/>
      <c r="E9" s="2587"/>
      <c r="F9" s="2589"/>
      <c r="G9" s="2859"/>
      <c r="H9" s="2859"/>
      <c r="I9" s="2859"/>
      <c r="J9" s="2634"/>
      <c r="K9" s="2809"/>
      <c r="L9" s="2806"/>
      <c r="M9" s="2806"/>
      <c r="N9" s="2634"/>
      <c r="O9" s="2645"/>
      <c r="P9" s="2634"/>
      <c r="Q9" s="2634"/>
      <c r="R9" s="2634"/>
    </row>
    <row r="10" spans="1:28" ht="13.5" thickTop="1">
      <c r="A10" s="2590" t="s">
        <v>2863</v>
      </c>
      <c r="B10" s="2591" t="s">
        <v>3118</v>
      </c>
      <c r="C10" s="2592"/>
      <c r="D10" s="2575"/>
      <c r="E10" s="2593" t="s">
        <v>2864</v>
      </c>
      <c r="F10" s="2860"/>
      <c r="G10" s="2861"/>
      <c r="H10" s="2862"/>
      <c r="I10" s="2863"/>
      <c r="J10" s="2634"/>
      <c r="K10" s="2809"/>
      <c r="L10" s="2806"/>
      <c r="M10" s="2806"/>
      <c r="N10" s="2634"/>
      <c r="O10" s="2645"/>
      <c r="P10" s="2634"/>
      <c r="Q10" s="2634"/>
      <c r="R10" s="2634"/>
    </row>
    <row r="11" spans="1:28">
      <c r="A11" s="2594" t="s">
        <v>2865</v>
      </c>
      <c r="B11" s="2595" t="s">
        <v>3119</v>
      </c>
      <c r="C11" s="2596"/>
      <c r="D11" s="2597"/>
      <c r="E11" s="2563"/>
      <c r="F11" s="2563"/>
      <c r="G11" s="2563"/>
      <c r="H11" s="2563"/>
      <c r="I11" s="2563"/>
      <c r="J11" s="2634"/>
      <c r="K11" s="2809"/>
      <c r="L11" s="2806"/>
      <c r="M11" s="2806"/>
      <c r="N11" s="2634"/>
      <c r="O11" s="2645"/>
      <c r="P11" s="2634"/>
      <c r="Q11" s="2634"/>
      <c r="R11" s="2634"/>
    </row>
    <row r="12" spans="1:28">
      <c r="A12" s="2598" t="s">
        <v>2866</v>
      </c>
      <c r="B12" s="2595" t="s">
        <v>3120</v>
      </c>
      <c r="C12" s="328" t="s">
        <v>2867</v>
      </c>
      <c r="D12" s="2599" t="s">
        <v>2868</v>
      </c>
      <c r="E12" s="2599" t="s">
        <v>2869</v>
      </c>
      <c r="F12" s="2599" t="s">
        <v>2870</v>
      </c>
      <c r="G12" s="2599" t="s">
        <v>2871</v>
      </c>
      <c r="H12" s="2599" t="s">
        <v>2872</v>
      </c>
      <c r="I12" s="2599" t="s">
        <v>2873</v>
      </c>
      <c r="J12" s="2634"/>
      <c r="K12" s="2809"/>
      <c r="L12" s="2806"/>
      <c r="M12" s="2806"/>
      <c r="N12" s="2634"/>
      <c r="O12" s="2645"/>
      <c r="P12" s="2634"/>
      <c r="Q12" s="2634"/>
      <c r="R12" s="2634"/>
    </row>
    <row r="13" spans="1:28">
      <c r="A13" s="1212"/>
      <c r="B13" s="2600"/>
      <c r="C13" s="2601" t="s">
        <v>2874</v>
      </c>
      <c r="D13" s="964"/>
      <c r="E13" s="964"/>
      <c r="F13" s="964"/>
      <c r="G13" s="964"/>
      <c r="H13" s="964">
        <f>I13</f>
        <v>59238</v>
      </c>
      <c r="I13" s="964">
        <v>59238</v>
      </c>
      <c r="J13" s="2634"/>
      <c r="K13" s="2809"/>
      <c r="L13" s="2806"/>
      <c r="M13" s="2806"/>
      <c r="N13" s="2634"/>
      <c r="O13" s="2645"/>
      <c r="P13" s="2634"/>
      <c r="Q13" s="2634"/>
      <c r="R13" s="2634"/>
    </row>
    <row r="14" spans="1:28">
      <c r="A14" s="1212"/>
      <c r="B14" s="2600"/>
      <c r="C14" s="2601" t="s">
        <v>2875</v>
      </c>
      <c r="D14" s="2602"/>
      <c r="E14" s="2602"/>
      <c r="F14" s="2602"/>
      <c r="G14" s="2602"/>
      <c r="H14" s="2602">
        <v>50</v>
      </c>
      <c r="I14" s="2602">
        <v>50</v>
      </c>
      <c r="J14" s="2634"/>
      <c r="K14" s="2810"/>
      <c r="L14" s="2806"/>
      <c r="M14" s="2806"/>
      <c r="N14" s="2634"/>
      <c r="O14" s="2645"/>
      <c r="P14" s="2634"/>
      <c r="Q14" s="2634"/>
      <c r="R14" s="2634"/>
    </row>
    <row r="15" spans="1:28">
      <c r="A15" s="325"/>
      <c r="B15" s="2603"/>
      <c r="C15" s="2604" t="s">
        <v>2876</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f>IF(B12="出让",IF(H13="","",ROUNDDOWN(MIN((H13-$D$3)/365,H14),2)),H14)</f>
        <v>40.15</v>
      </c>
      <c r="I15" s="2605">
        <f>IF(B12="出让",IF(I13="","",ROUNDDOWN(MIN((I13-$D$3)/365,I14),2)),I14)</f>
        <v>40.15</v>
      </c>
      <c r="J15" s="2634"/>
      <c r="K15" s="2811"/>
      <c r="L15" s="2646"/>
      <c r="M15" s="2646"/>
      <c r="N15" s="2702"/>
      <c r="O15" s="2646"/>
      <c r="P15" s="2702"/>
      <c r="Q15" s="2634"/>
      <c r="R15" s="2634"/>
    </row>
    <row r="16" spans="1:28">
      <c r="A16" s="2593" t="s">
        <v>2877</v>
      </c>
      <c r="B16" s="3277"/>
      <c r="C16" s="3278"/>
      <c r="D16" s="3279"/>
      <c r="E16" s="2608" t="s">
        <v>2878</v>
      </c>
      <c r="F16" s="3280"/>
      <c r="G16" s="3281"/>
      <c r="H16" s="3281"/>
      <c r="I16" s="3282"/>
      <c r="J16" s="2634"/>
      <c r="K16" s="2811"/>
      <c r="L16" s="2646"/>
      <c r="M16" s="2646"/>
      <c r="N16" s="2702"/>
      <c r="O16" s="2646"/>
      <c r="P16" s="2702"/>
      <c r="Q16" s="2634"/>
      <c r="R16" s="2634"/>
    </row>
    <row r="17" spans="1:28">
      <c r="A17" s="318" t="s">
        <v>2879</v>
      </c>
      <c r="B17" s="307" t="s">
        <v>2880</v>
      </c>
      <c r="C17" s="11">
        <f>'数据-汇总表'!E3</f>
        <v>17109.73</v>
      </c>
      <c r="D17" s="2514" t="s">
        <v>2881</v>
      </c>
      <c r="E17" s="3283"/>
      <c r="F17" s="3284"/>
      <c r="G17" s="3284"/>
      <c r="H17" s="3284"/>
      <c r="I17" s="3285"/>
      <c r="J17" s="2634"/>
      <c r="K17" s="2812"/>
      <c r="L17" s="2646"/>
      <c r="M17" s="2646"/>
      <c r="N17" s="2702"/>
      <c r="O17" s="2646"/>
      <c r="P17" s="2702"/>
      <c r="Q17" s="2634"/>
      <c r="R17" s="2634"/>
      <c r="S17" s="2634"/>
      <c r="T17" s="2634"/>
      <c r="U17" s="2634"/>
      <c r="V17" s="2634"/>
    </row>
    <row r="18" spans="1:28" ht="13.5" thickBot="1">
      <c r="A18" s="2609" t="s">
        <v>70</v>
      </c>
      <c r="B18" s="1221" t="s">
        <v>2882</v>
      </c>
      <c r="C18" s="2610">
        <f>'数据-汇总表'!D3</f>
        <v>0</v>
      </c>
      <c r="D18" s="1223" t="s">
        <v>2883</v>
      </c>
      <c r="E18" s="3286"/>
      <c r="F18" s="3287"/>
      <c r="G18" s="3287"/>
      <c r="H18" s="3287"/>
      <c r="I18" s="3288"/>
      <c r="J18" s="2634"/>
      <c r="K18" s="2812"/>
      <c r="L18" s="2646"/>
      <c r="M18" s="2646"/>
      <c r="N18" s="2702"/>
      <c r="O18" s="2646"/>
      <c r="P18" s="2702"/>
      <c r="Q18" s="2634"/>
      <c r="R18" s="2634"/>
      <c r="S18" s="2634"/>
      <c r="T18" s="2634"/>
      <c r="U18" s="2634"/>
      <c r="V18" s="2634"/>
    </row>
    <row r="19" spans="1:28" ht="37.5" thickTop="1" thickBot="1">
      <c r="A19" s="332" t="s">
        <v>1681</v>
      </c>
      <c r="B19" s="312" t="s">
        <v>2884</v>
      </c>
      <c r="C19" s="1717" t="s">
        <v>3121</v>
      </c>
      <c r="D19" s="1718" t="s">
        <v>2885</v>
      </c>
      <c r="E19" s="1719"/>
      <c r="F19" s="1720" t="str">
        <f>IF(AND(C19="是",E19="否"),"是否提供他项权证或相关说明","")</f>
        <v/>
      </c>
      <c r="G19" s="1721"/>
      <c r="H19" s="2858"/>
      <c r="I19" s="2858"/>
      <c r="J19" s="2634"/>
      <c r="K19" s="2809"/>
      <c r="L19" s="2806"/>
      <c r="M19" s="2806"/>
      <c r="N19" s="2702"/>
      <c r="O19" s="2646"/>
      <c r="P19" s="2702"/>
      <c r="Q19" s="2634"/>
      <c r="R19" s="2634"/>
      <c r="S19" s="2634"/>
      <c r="T19" s="2634"/>
      <c r="U19" s="2634"/>
      <c r="V19" s="2634"/>
    </row>
    <row r="20" spans="1:28">
      <c r="A20" s="2826" t="s">
        <v>2886</v>
      </c>
      <c r="B20" s="3273" t="s">
        <v>2887</v>
      </c>
      <c r="C20" s="3274"/>
      <c r="D20" s="3275" t="s">
        <v>2888</v>
      </c>
      <c r="E20" s="3276"/>
      <c r="F20" s="2841" t="s">
        <v>1682</v>
      </c>
      <c r="G20" s="2858"/>
      <c r="H20" s="2858"/>
      <c r="I20" s="2858"/>
      <c r="J20" s="2634"/>
      <c r="K20" s="3272" t="s">
        <v>2889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2"/>
      <c r="N20" s="2607"/>
      <c r="O20" s="2606"/>
      <c r="P20" s="2607"/>
      <c r="Q20" s="2563"/>
      <c r="R20" s="2563"/>
      <c r="S20" s="2563"/>
      <c r="T20" s="2563"/>
      <c r="U20" s="2563"/>
      <c r="V20" s="2563"/>
      <c r="W20" s="1900"/>
      <c r="X20" s="1900"/>
      <c r="Y20" s="1900"/>
      <c r="Z20" s="1900"/>
      <c r="AA20" s="1900"/>
      <c r="AB20" s="1900"/>
    </row>
    <row r="21" spans="1:28" ht="24.75" thickBot="1">
      <c r="A21" s="2826"/>
      <c r="B21" s="2827" t="s">
        <v>2890</v>
      </c>
      <c r="C21" s="2828" t="s">
        <v>1683</v>
      </c>
      <c r="D21" s="1722" t="s">
        <v>2891</v>
      </c>
      <c r="E21" s="2829" t="s">
        <v>1683</v>
      </c>
      <c r="F21" s="2842"/>
      <c r="G21" s="2858"/>
      <c r="H21" s="2858"/>
      <c r="I21" s="2858"/>
      <c r="J21" s="2634"/>
      <c r="K21" s="327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6"/>
      <c r="B22" s="2830" t="s">
        <v>2892</v>
      </c>
      <c r="C22" s="2828" t="s">
        <v>1684</v>
      </c>
      <c r="D22" s="2857"/>
      <c r="E22" s="2857"/>
      <c r="F22" s="2857"/>
      <c r="G22" s="2858"/>
      <c r="H22" s="2858"/>
      <c r="I22" s="2858"/>
      <c r="J22" s="2634"/>
      <c r="K22" s="327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1" t="s">
        <v>2893</v>
      </c>
      <c r="B23" s="2695" t="s">
        <v>2894</v>
      </c>
      <c r="C23" s="2832"/>
      <c r="D23" s="2833" t="s">
        <v>2894</v>
      </c>
      <c r="E23" s="2834"/>
      <c r="F23" s="2857"/>
      <c r="G23" s="2858"/>
      <c r="H23" s="2858"/>
      <c r="I23" s="2858"/>
      <c r="J23" s="2634"/>
      <c r="K23" s="2813"/>
      <c r="L23" s="2668"/>
      <c r="M23" s="2806"/>
      <c r="N23" s="2702"/>
      <c r="O23" s="2646"/>
      <c r="P23" s="2702"/>
      <c r="Q23" s="2634"/>
      <c r="R23" s="2634"/>
      <c r="S23" s="2634"/>
      <c r="T23" s="2634"/>
      <c r="U23" s="2634"/>
      <c r="V23" s="2634"/>
    </row>
    <row r="24" spans="1:28">
      <c r="A24" s="2831"/>
      <c r="B24" s="2695" t="s">
        <v>1685</v>
      </c>
      <c r="C24" s="2835"/>
      <c r="D24" s="2831" t="s">
        <v>1685</v>
      </c>
      <c r="E24" s="2836"/>
      <c r="F24" s="2857"/>
      <c r="G24" s="2858"/>
      <c r="H24" s="2858"/>
      <c r="I24" s="2858"/>
      <c r="J24" s="2634"/>
      <c r="K24" s="2813"/>
      <c r="L24" s="2668"/>
      <c r="M24" s="2806"/>
      <c r="N24" s="2702"/>
      <c r="O24" s="2646"/>
      <c r="P24" s="2702"/>
      <c r="Q24" s="2634"/>
      <c r="R24" s="2634"/>
      <c r="S24" s="2634"/>
      <c r="T24" s="2634"/>
      <c r="U24" s="2634"/>
      <c r="V24" s="2634"/>
    </row>
    <row r="25" spans="1:28">
      <c r="A25" s="2831"/>
      <c r="B25" s="2695" t="s">
        <v>1686</v>
      </c>
      <c r="C25" s="2835"/>
      <c r="D25" s="2831" t="s">
        <v>1686</v>
      </c>
      <c r="E25" s="2836"/>
      <c r="F25" s="2857"/>
      <c r="G25" s="2858"/>
      <c r="H25" s="2858"/>
      <c r="I25" s="2858"/>
      <c r="J25" s="2634"/>
      <c r="K25" s="2809"/>
      <c r="L25" s="2806"/>
      <c r="M25" s="2806"/>
      <c r="N25" s="2702"/>
      <c r="O25" s="2646"/>
      <c r="P25" s="2702"/>
      <c r="Q25" s="2634"/>
      <c r="R25" s="2634"/>
      <c r="S25" s="2634"/>
      <c r="T25" s="2634"/>
      <c r="U25" s="2634"/>
      <c r="V25" s="2634"/>
    </row>
    <row r="26" spans="1:28" ht="13.5" thickBot="1">
      <c r="A26" s="2837"/>
      <c r="B26" s="2838" t="s">
        <v>1687</v>
      </c>
      <c r="C26" s="2839"/>
      <c r="D26" s="2837" t="s">
        <v>1687</v>
      </c>
      <c r="E26" s="2840"/>
      <c r="F26" s="2859"/>
      <c r="G26" s="2859"/>
      <c r="H26" s="2859"/>
      <c r="I26" s="2859"/>
      <c r="J26" s="2634"/>
      <c r="K26" s="2809"/>
      <c r="L26" s="2806"/>
      <c r="M26" s="2806"/>
      <c r="N26" s="2702"/>
      <c r="O26" s="2646"/>
      <c r="P26" s="2702"/>
      <c r="Q26" s="2634"/>
      <c r="R26" s="2634"/>
      <c r="S26" s="2634"/>
      <c r="T26" s="2634"/>
      <c r="U26" s="2634"/>
      <c r="V26" s="2634"/>
    </row>
    <row r="27" spans="1:28" ht="13.5" thickTop="1">
      <c r="A27" s="3290" t="s">
        <v>2895</v>
      </c>
      <c r="B27" s="325" t="s">
        <v>2896</v>
      </c>
      <c r="C27" s="2611" t="s">
        <v>3122</v>
      </c>
      <c r="D27" s="2612"/>
      <c r="E27" s="2858"/>
      <c r="F27" s="2858"/>
      <c r="G27" s="2858"/>
      <c r="H27" s="2858"/>
      <c r="I27" s="2858"/>
      <c r="J27" s="2634"/>
      <c r="K27" s="2811"/>
      <c r="L27" s="2646"/>
      <c r="M27" s="2646"/>
      <c r="N27" s="2702"/>
      <c r="O27" s="2646"/>
      <c r="P27" s="2702"/>
      <c r="Q27" s="2634"/>
      <c r="R27" s="2634"/>
      <c r="S27" s="2634"/>
      <c r="T27" s="2634"/>
      <c r="U27" s="2634"/>
      <c r="V27" s="2634"/>
    </row>
    <row r="28" spans="1:28">
      <c r="A28" s="3290"/>
      <c r="B28" s="307" t="s">
        <v>2897</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290"/>
      <c r="B29" s="307" t="s">
        <v>2898</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291"/>
      <c r="B30" s="307" t="s">
        <v>2899</v>
      </c>
      <c r="C30" s="3292"/>
      <c r="D30" s="3293"/>
      <c r="E30" s="2858"/>
      <c r="F30" s="2858"/>
      <c r="G30" s="2858"/>
      <c r="H30" s="2858"/>
      <c r="I30" s="2858"/>
      <c r="J30" s="2634"/>
      <c r="K30" s="2809"/>
      <c r="L30" s="2806"/>
      <c r="M30" s="2806"/>
      <c r="N30" s="2634"/>
      <c r="O30" s="2645"/>
      <c r="P30" s="2634"/>
      <c r="Q30" s="2634"/>
      <c r="R30" s="2634"/>
      <c r="S30" s="2634"/>
      <c r="T30" s="2634"/>
      <c r="U30" s="2634"/>
      <c r="V30" s="2634"/>
    </row>
    <row r="31" spans="1:28">
      <c r="A31" s="3294" t="s">
        <v>2900</v>
      </c>
      <c r="B31" s="2617"/>
      <c r="C31" s="2515" t="str">
        <f>IF(B31="现房","成新及维护状况正常否",IF(B31="在建","工程状态是否正常",IF(B31="土地","是否闲置","-")))</f>
        <v>-</v>
      </c>
      <c r="D31" s="1526"/>
      <c r="E31" s="2618"/>
      <c r="F31" s="2858"/>
      <c r="G31" s="2858"/>
      <c r="H31" s="2858"/>
      <c r="I31" s="2858"/>
      <c r="J31" s="2634"/>
      <c r="K31" s="2808"/>
      <c r="L31" s="2806"/>
      <c r="M31" s="2806"/>
      <c r="N31" s="2634"/>
      <c r="O31" s="2645"/>
      <c r="P31" s="2634"/>
      <c r="Q31" s="2634"/>
      <c r="R31" s="2634"/>
      <c r="S31" s="2634"/>
      <c r="T31" s="2634"/>
      <c r="U31" s="2634"/>
      <c r="V31" s="2634"/>
    </row>
    <row r="32" spans="1:28">
      <c r="A32" s="3295"/>
      <c r="B32" s="2617"/>
      <c r="C32" s="2515" t="str">
        <f>IF(B32="现房","成新及维护状况是否正常",IF(B32="在建","工程状态是否正常",IF(B32="土地","是否闲置","-")))</f>
        <v>-</v>
      </c>
      <c r="D32" s="1526"/>
      <c r="E32" s="2618"/>
      <c r="F32" s="2858"/>
      <c r="G32" s="2858"/>
      <c r="H32" s="2858"/>
      <c r="I32" s="2858"/>
      <c r="J32" s="2634"/>
      <c r="K32" s="2809"/>
      <c r="L32" s="2806"/>
      <c r="M32" s="2806"/>
      <c r="N32" s="2634"/>
      <c r="O32" s="2645"/>
      <c r="P32" s="2634"/>
      <c r="Q32" s="2634"/>
      <c r="R32" s="2634"/>
      <c r="S32" s="2634"/>
      <c r="T32" s="2634"/>
      <c r="U32" s="2634"/>
      <c r="V32" s="2634"/>
    </row>
    <row r="33" spans="1:30">
      <c r="A33" s="3295"/>
      <c r="B33" s="2620"/>
      <c r="C33" s="1744" t="str">
        <f>IF(B33="现房","成新及维护状况是否正常",IF(B33="在建","工程状态是否正常",IF(B33="土地","是否闲置","-")))</f>
        <v>-</v>
      </c>
      <c r="D33" s="1518"/>
      <c r="E33" s="2621"/>
      <c r="F33" s="2858"/>
      <c r="G33" s="2858"/>
      <c r="H33" s="2858"/>
      <c r="I33" s="2858"/>
      <c r="J33" s="2634"/>
      <c r="K33" s="2809"/>
      <c r="L33" s="2806"/>
      <c r="M33" s="2806"/>
      <c r="N33" s="2634"/>
      <c r="O33" s="2645"/>
      <c r="P33" s="2634"/>
      <c r="Q33" s="2634"/>
      <c r="R33" s="2634"/>
      <c r="S33" s="2634"/>
      <c r="T33" s="2634"/>
      <c r="U33" s="2634"/>
      <c r="V33" s="2634"/>
    </row>
    <row r="34" spans="1:30">
      <c r="A34" s="307" t="s">
        <v>2901</v>
      </c>
      <c r="B34" s="2183"/>
      <c r="C34" s="2183"/>
      <c r="D34" s="2183"/>
      <c r="E34" s="2183"/>
      <c r="F34" s="2183"/>
      <c r="G34" s="2183"/>
      <c r="H34" s="2183"/>
      <c r="I34" s="2858"/>
      <c r="J34" s="2634"/>
      <c r="K34" s="2622">
        <f>COUNTIF(B34:H34,"——")</f>
        <v>0</v>
      </c>
      <c r="L34" s="328" t="s">
        <v>2902</v>
      </c>
      <c r="M34" s="328" t="s">
        <v>2903</v>
      </c>
      <c r="N34" s="328" t="s">
        <v>2904</v>
      </c>
      <c r="O34" s="328" t="s">
        <v>2905</v>
      </c>
      <c r="P34" s="328" t="s">
        <v>2906</v>
      </c>
      <c r="Q34" s="328" t="s">
        <v>2907</v>
      </c>
      <c r="R34" s="328" t="s">
        <v>2908</v>
      </c>
      <c r="S34" s="3289" t="s">
        <v>2909</v>
      </c>
      <c r="T34" s="2623" t="str">
        <f>NUMBERSTRING(7-K34,1)&amp;"通"</f>
        <v>七通</v>
      </c>
      <c r="U34" s="2634"/>
      <c r="V34" s="2634"/>
    </row>
    <row r="35" spans="1:30">
      <c r="A35" s="2624"/>
      <c r="B35" s="3296" t="s">
        <v>2910</v>
      </c>
      <c r="C35" s="3296"/>
      <c r="D35" s="3296"/>
      <c r="E35" s="3296"/>
      <c r="F35" s="672">
        <f>C10</f>
        <v>0</v>
      </c>
      <c r="G35" s="2858"/>
      <c r="H35" s="2858"/>
      <c r="I35" s="2858"/>
      <c r="J35" s="263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89"/>
      <c r="T35" s="334" t="str">
        <f>IF(T34="一通",L35,IF(T34="二通",M35,IF(T34="三通",N35,IF(T34="四通",O35,IF(T34="五通",P35,IF(T34="六通",Q35,R35))))))</f>
        <v>、、、、、、</v>
      </c>
      <c r="U35" s="2634"/>
      <c r="V35" s="2634"/>
    </row>
    <row r="36" spans="1:30">
      <c r="A36" s="2625"/>
      <c r="B36" s="672" t="s">
        <v>2869</v>
      </c>
      <c r="C36" s="672" t="s">
        <v>2870</v>
      </c>
      <c r="D36" s="672" t="s">
        <v>2868</v>
      </c>
      <c r="E36" s="672" t="s">
        <v>2873</v>
      </c>
      <c r="F36" s="2864"/>
      <c r="G36" s="2858"/>
      <c r="H36" s="2858"/>
      <c r="I36" s="2858"/>
      <c r="J36" s="2634"/>
      <c r="K36" s="2809"/>
      <c r="L36" s="2806"/>
      <c r="M36" s="2806"/>
      <c r="N36" s="2634"/>
      <c r="O36" s="2645"/>
      <c r="P36" s="2634"/>
      <c r="Q36" s="2634"/>
      <c r="R36" s="2634"/>
      <c r="S36" s="2634"/>
      <c r="T36" s="2634"/>
      <c r="U36" s="2634"/>
      <c r="V36" s="2634"/>
    </row>
    <row r="37" spans="1:30">
      <c r="A37" s="2824" t="s">
        <v>2911</v>
      </c>
      <c r="B37" s="2626"/>
      <c r="C37" s="2626"/>
      <c r="D37" s="2626"/>
      <c r="E37" s="2626" t="s">
        <v>526</v>
      </c>
      <c r="F37" s="2864"/>
      <c r="G37" s="2858"/>
      <c r="H37" s="2858"/>
      <c r="I37" s="2858"/>
      <c r="J37" s="2634"/>
      <c r="K37" s="2809"/>
      <c r="L37" s="2806"/>
      <c r="M37" s="2806"/>
      <c r="N37" s="2634"/>
      <c r="O37" s="2645"/>
      <c r="P37" s="2634"/>
      <c r="Q37" s="2634"/>
      <c r="R37" s="2634"/>
      <c r="S37" s="2634"/>
      <c r="T37" s="2634"/>
      <c r="U37" s="2634"/>
      <c r="V37" s="2634"/>
    </row>
    <row r="38" spans="1:30" ht="13.5" thickBot="1">
      <c r="A38" s="2825" t="s">
        <v>2912</v>
      </c>
      <c r="B38" s="2627"/>
      <c r="C38" s="2627"/>
      <c r="D38" s="2627"/>
      <c r="E38" s="2627" t="s">
        <v>3224</v>
      </c>
      <c r="F38" s="2865"/>
      <c r="G38" s="2859"/>
      <c r="H38" s="2859"/>
      <c r="I38" s="2859"/>
      <c r="J38" s="2634"/>
      <c r="K38" s="2809"/>
      <c r="L38" s="2806"/>
      <c r="M38" s="2806"/>
      <c r="N38" s="2634"/>
      <c r="O38" s="2645"/>
      <c r="P38" s="2634"/>
      <c r="Q38" s="2634"/>
      <c r="R38" s="2634"/>
      <c r="S38" s="2634"/>
      <c r="T38" s="2634"/>
      <c r="U38" s="2634"/>
      <c r="V38" s="2634"/>
    </row>
    <row r="39" spans="1:30" s="2630" customFormat="1" ht="14.25" thickTop="1" thickBot="1">
      <c r="A39" s="2628" t="s">
        <v>2913</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3"/>
      <c r="B40" s="2563"/>
      <c r="C40" s="2563"/>
      <c r="D40" s="2563"/>
      <c r="E40" s="2563"/>
      <c r="F40" s="2563"/>
      <c r="G40" s="2563"/>
      <c r="H40" s="2563"/>
      <c r="I40" s="1732"/>
      <c r="J40" s="2702"/>
      <c r="K40" s="2808"/>
      <c r="L40" s="2646"/>
      <c r="M40" s="2646"/>
      <c r="N40" s="2702"/>
      <c r="O40" s="2646"/>
      <c r="P40" s="2634"/>
      <c r="Q40" s="2634"/>
      <c r="R40" s="2634"/>
      <c r="S40" s="2634"/>
      <c r="T40" s="2634"/>
      <c r="U40" s="2634"/>
      <c r="V40" s="2634"/>
    </row>
    <row r="41" spans="1:30">
      <c r="A41" s="2631" t="s">
        <v>2914</v>
      </c>
      <c r="B41" s="1912"/>
      <c r="C41" s="1526"/>
      <c r="D41" s="2563"/>
      <c r="E41" s="2563"/>
      <c r="F41" s="2563"/>
      <c r="G41" s="2563"/>
      <c r="H41" s="2563"/>
      <c r="I41" s="1730"/>
      <c r="J41" s="2634"/>
      <c r="K41" s="2809"/>
      <c r="L41" s="2806"/>
      <c r="M41" s="2806"/>
      <c r="N41" s="2634"/>
      <c r="O41" s="2645"/>
      <c r="P41" s="2634"/>
      <c r="Q41" s="2634"/>
      <c r="R41" s="2634"/>
      <c r="S41" s="2634"/>
      <c r="T41" s="2634"/>
      <c r="U41" s="2634"/>
      <c r="V41" s="2634"/>
    </row>
    <row r="42" spans="1:30" ht="25.5">
      <c r="A42" s="328" t="s">
        <v>2915</v>
      </c>
      <c r="B42" s="11" t="s">
        <v>2916</v>
      </c>
      <c r="C42" s="11" t="s">
        <v>2917</v>
      </c>
      <c r="D42" s="11" t="s">
        <v>2918</v>
      </c>
      <c r="E42" s="11" t="s">
        <v>2919</v>
      </c>
      <c r="F42" s="11" t="s">
        <v>2920</v>
      </c>
      <c r="G42" s="11" t="s">
        <v>2921</v>
      </c>
      <c r="H42" s="11" t="s">
        <v>2922</v>
      </c>
      <c r="I42" s="11" t="s">
        <v>2923</v>
      </c>
      <c r="J42" s="2820" t="s">
        <v>2924</v>
      </c>
      <c r="K42" s="2821" t="s">
        <v>2925</v>
      </c>
      <c r="L42" s="2821" t="s">
        <v>2926</v>
      </c>
      <c r="M42" s="2821" t="s">
        <v>2927</v>
      </c>
      <c r="N42" s="2814" t="s">
        <v>2928</v>
      </c>
      <c r="O42" s="2814" t="s">
        <v>2929</v>
      </c>
      <c r="P42" s="2814" t="s">
        <v>2930</v>
      </c>
      <c r="Q42" s="2815" t="s">
        <v>2931</v>
      </c>
      <c r="R42" s="2815" t="s">
        <v>2932</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3219"/>
      <c r="B3" s="13">
        <f>IF(C3="否",G5-AT5,G5)</f>
        <v>17109.73</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4" t="s">
        <v>1697</v>
      </c>
      <c r="B5" s="1500"/>
      <c r="C5" s="1500"/>
      <c r="D5" s="1502"/>
      <c r="E5" s="15" t="s">
        <v>1</v>
      </c>
      <c r="F5" s="15">
        <f>SUM(F13:F587)</f>
        <v>0</v>
      </c>
      <c r="G5" s="15">
        <f>SUM(G13:G587)</f>
        <v>17109.73</v>
      </c>
      <c r="H5" s="15">
        <f t="shared" ref="H5:AT5" si="0">SUM(H13:H656)</f>
        <v>17109.73</v>
      </c>
      <c r="I5" s="15">
        <f t="shared" si="0"/>
        <v>14258.11</v>
      </c>
      <c r="J5" s="15">
        <f t="shared" si="0"/>
        <v>0</v>
      </c>
      <c r="K5" s="15">
        <f t="shared" si="0"/>
        <v>2851.619999999999</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9"/>
      <c r="AV5" s="14" t="s">
        <v>1697</v>
      </c>
      <c r="AW5" s="1500"/>
      <c r="AX5" s="1500"/>
      <c r="AY5" s="16" t="s">
        <v>3</v>
      </c>
      <c r="AZ5" s="17">
        <f t="shared" ref="AZ5:BT5" si="1">SUM(AZ13:AZ656)</f>
        <v>17109.73</v>
      </c>
      <c r="BA5" s="17">
        <f t="shared" si="1"/>
        <v>17109.73</v>
      </c>
      <c r="BB5" s="17">
        <f t="shared" si="1"/>
        <v>14258.11</v>
      </c>
      <c r="BC5" s="17">
        <f t="shared" si="1"/>
        <v>2851.619999999999</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3" customFormat="1" ht="12.75">
      <c r="A6" s="14" t="s">
        <v>1698</v>
      </c>
      <c r="B6" s="1740"/>
      <c r="C6" s="1740"/>
      <c r="D6" s="174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2"/>
      <c r="AV6" s="14" t="s">
        <v>1698</v>
      </c>
      <c r="AW6" s="1740"/>
      <c r="AX6" s="174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2" t="s">
        <v>1707</v>
      </c>
      <c r="AW7" s="1732" t="s">
        <v>1708</v>
      </c>
      <c r="AX7" s="22"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5"/>
    </row>
    <row r="9" spans="1:72" s="1755" customFormat="1" ht="12.75">
      <c r="A9" s="1748"/>
      <c r="B9" s="1748"/>
      <c r="C9" s="1748"/>
      <c r="D9" s="1748"/>
      <c r="E9" s="1748"/>
      <c r="F9" s="1748"/>
      <c r="G9" s="1201"/>
      <c r="H9" s="1756" t="s">
        <v>1717</v>
      </c>
      <c r="I9" s="1757" t="s">
        <v>3123</v>
      </c>
      <c r="J9" s="917"/>
      <c r="K9" s="1757" t="s">
        <v>3217</v>
      </c>
      <c r="L9" s="917"/>
      <c r="M9" s="1757"/>
      <c r="N9" s="917"/>
      <c r="O9" s="1757"/>
      <c r="P9" s="917"/>
      <c r="Q9" s="1757"/>
      <c r="R9" s="917"/>
      <c r="S9" s="1757"/>
      <c r="T9" s="917"/>
      <c r="U9" s="1757"/>
      <c r="V9" s="917"/>
      <c r="W9" s="1757"/>
      <c r="X9" s="1758"/>
      <c r="Y9" s="1757"/>
      <c r="Z9" s="917"/>
      <c r="AA9" s="1757"/>
      <c r="AB9" s="917"/>
      <c r="AC9" s="1749" t="s">
        <v>1717</v>
      </c>
      <c r="AD9" s="14" t="s">
        <v>1718</v>
      </c>
      <c r="AE9" s="1207"/>
      <c r="AF9" s="14" t="s">
        <v>1719</v>
      </c>
      <c r="AG9" s="1207"/>
      <c r="AH9" s="14" t="s">
        <v>1718</v>
      </c>
      <c r="AI9" s="1207"/>
      <c r="AJ9" s="14" t="s">
        <v>1719</v>
      </c>
      <c r="AK9" s="1207"/>
      <c r="AL9" s="14" t="s">
        <v>1718</v>
      </c>
      <c r="AM9" s="1207"/>
      <c r="AN9" s="14" t="s">
        <v>1719</v>
      </c>
      <c r="AO9" s="1207"/>
      <c r="AP9" s="14" t="s">
        <v>1718</v>
      </c>
      <c r="AQ9" s="1207"/>
      <c r="AR9" s="14" t="s">
        <v>1719</v>
      </c>
      <c r="AS9" s="1759"/>
      <c r="AT9" s="1748"/>
      <c r="AU9" s="1748" t="s">
        <v>1720</v>
      </c>
      <c r="AV9" s="1201"/>
      <c r="AW9" s="1731"/>
      <c r="AX9" s="1201"/>
      <c r="AY9" s="27"/>
      <c r="AZ9" s="27" t="s">
        <v>1710</v>
      </c>
      <c r="BA9" s="1760" t="s">
        <v>1721</v>
      </c>
      <c r="BB9" s="1761"/>
      <c r="BC9" s="1219"/>
      <c r="BD9" s="1219"/>
      <c r="BE9" s="1219"/>
      <c r="BF9" s="1219"/>
      <c r="BG9" s="1219"/>
      <c r="BH9" s="1219"/>
      <c r="BI9" s="1219"/>
      <c r="BJ9" s="1219"/>
      <c r="BK9" s="1762"/>
      <c r="BL9" s="14" t="s">
        <v>1722</v>
      </c>
      <c r="BM9" s="1513"/>
      <c r="BN9" s="1751"/>
      <c r="BO9" s="1513"/>
      <c r="BP9" s="1513"/>
      <c r="BQ9" s="1513"/>
      <c r="BR9" s="1513"/>
      <c r="BS9" s="1513"/>
      <c r="BT9" s="25"/>
    </row>
    <row r="10" spans="1:72" s="1755" customFormat="1" ht="12.75">
      <c r="A10" s="1748"/>
      <c r="B10" s="1748"/>
      <c r="C10" s="1748"/>
      <c r="D10" s="1748"/>
      <c r="E10" s="1748"/>
      <c r="F10" s="1748"/>
      <c r="G10" s="1201"/>
      <c r="H10" s="27"/>
      <c r="I10" s="1757" t="s">
        <v>6</v>
      </c>
      <c r="J10" s="917"/>
      <c r="K10" s="1763" t="s">
        <v>3219</v>
      </c>
      <c r="L10" s="917"/>
      <c r="M10" s="1763"/>
      <c r="N10" s="917"/>
      <c r="O10" s="1763"/>
      <c r="P10" s="917"/>
      <c r="Q10" s="1763"/>
      <c r="R10" s="917"/>
      <c r="S10" s="1763"/>
      <c r="T10" s="917"/>
      <c r="U10" s="1763"/>
      <c r="V10" s="917"/>
      <c r="W10" s="1763"/>
      <c r="X10" s="917"/>
      <c r="Y10" s="1763"/>
      <c r="Z10" s="917"/>
      <c r="AA10" s="1763"/>
      <c r="AB10" s="917"/>
      <c r="AC10" s="1201"/>
      <c r="AD10" s="14" t="s">
        <v>1723</v>
      </c>
      <c r="AE10" s="1764"/>
      <c r="AF10" s="14" t="s">
        <v>1723</v>
      </c>
      <c r="AG10" s="1764"/>
      <c r="AH10" s="14" t="s">
        <v>1724</v>
      </c>
      <c r="AI10" s="1764"/>
      <c r="AJ10" s="14" t="s">
        <v>1724</v>
      </c>
      <c r="AK10" s="1764"/>
      <c r="AL10" s="14" t="s">
        <v>1725</v>
      </c>
      <c r="AM10" s="1207"/>
      <c r="AN10" s="14" t="s">
        <v>1725</v>
      </c>
      <c r="AO10" s="1207"/>
      <c r="AP10" s="14" t="s">
        <v>1726</v>
      </c>
      <c r="AQ10" s="1207"/>
      <c r="AR10" s="14" t="s">
        <v>1726</v>
      </c>
      <c r="AS10" s="1207"/>
      <c r="AT10" s="1748"/>
      <c r="AU10" s="1748"/>
      <c r="AV10" s="1201"/>
      <c r="AW10" s="1731"/>
      <c r="AX10" s="1201"/>
      <c r="AY10" s="27"/>
      <c r="AZ10" s="27"/>
      <c r="BA10" s="1765" t="s">
        <v>1717</v>
      </c>
      <c r="BB10" s="1766" t="str">
        <f>I9</f>
        <v>地上</v>
      </c>
      <c r="BC10" s="28" t="str">
        <f>K9</f>
        <v>地下</v>
      </c>
      <c r="BD10" s="28">
        <f>M9</f>
        <v>0</v>
      </c>
      <c r="BE10" s="28">
        <f>O9</f>
        <v>0</v>
      </c>
      <c r="BF10" s="28">
        <f>Q9</f>
        <v>0</v>
      </c>
      <c r="BG10" s="28">
        <f>S9</f>
        <v>0</v>
      </c>
      <c r="BH10" s="28">
        <f>U9</f>
        <v>0</v>
      </c>
      <c r="BI10" s="28">
        <f>W9</f>
        <v>0</v>
      </c>
      <c r="BJ10" s="28">
        <f>Y9</f>
        <v>0</v>
      </c>
      <c r="BK10" s="28">
        <f>AA9</f>
        <v>0</v>
      </c>
      <c r="BL10" s="24" t="s">
        <v>1717</v>
      </c>
      <c r="BM10" s="1512" t="str">
        <f>AD9</f>
        <v>地上</v>
      </c>
      <c r="BN10" s="28" t="str">
        <f>AF9</f>
        <v>地下</v>
      </c>
      <c r="BO10" s="1512" t="str">
        <f>AH9</f>
        <v>地上</v>
      </c>
      <c r="BP10" s="28" t="str">
        <f>AJ9</f>
        <v>地下</v>
      </c>
      <c r="BQ10" s="1512" t="str">
        <f>AL9</f>
        <v>地上</v>
      </c>
      <c r="BR10" s="28" t="str">
        <f>AN9</f>
        <v>地下</v>
      </c>
      <c r="BS10" s="1512" t="str">
        <f>AP9</f>
        <v>地上</v>
      </c>
      <c r="BT10" s="1767" t="str">
        <f>AR9</f>
        <v>地下</v>
      </c>
    </row>
    <row r="11" spans="1:72" s="1755" customFormat="1" ht="12.75">
      <c r="A11" s="1748"/>
      <c r="B11" s="1748"/>
      <c r="C11" s="1748"/>
      <c r="D11" s="1748"/>
      <c r="E11" s="1748"/>
      <c r="F11" s="1748"/>
      <c r="G11" s="1201"/>
      <c r="H11" s="1765"/>
      <c r="I11" s="1768" t="s">
        <v>3124</v>
      </c>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7"/>
      <c r="AZ11" s="27"/>
      <c r="BA11" s="27"/>
      <c r="BB11" s="1753" t="str">
        <f>I10</f>
        <v>工业</v>
      </c>
      <c r="BC11" s="1753" t="str">
        <f>K10</f>
        <v>仓储</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3" t="str">
        <f>AH10</f>
        <v>物业管理用房</v>
      </c>
      <c r="BP11" s="23" t="str">
        <f>AJ10</f>
        <v>物业管理用房</v>
      </c>
      <c r="BQ11" s="23" t="str">
        <f>AL10</f>
        <v>设备及其他</v>
      </c>
      <c r="BR11" s="23" t="str">
        <f>AN10</f>
        <v>设备及其他</v>
      </c>
      <c r="BS11" s="24" t="str">
        <f>AP10</f>
        <v>未注明</v>
      </c>
      <c r="BT11" s="1772" t="str">
        <f>AR10</f>
        <v>未注明</v>
      </c>
    </row>
    <row r="12" spans="1:72" s="1733" customFormat="1" ht="12.75">
      <c r="A12" s="1773"/>
      <c r="B12" s="1773"/>
      <c r="C12" s="1773"/>
      <c r="D12" s="1773"/>
      <c r="E12" s="1773"/>
      <c r="F12" s="1773"/>
      <c r="G12" s="29"/>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73" t="s">
        <v>1730</v>
      </c>
      <c r="AT12" s="1776"/>
      <c r="AU12" s="1773"/>
      <c r="AV12" s="30"/>
      <c r="AW12" s="1732"/>
      <c r="AX12" s="30"/>
      <c r="AY12" s="1777"/>
      <c r="AZ12" s="27"/>
      <c r="BA12" s="1765"/>
      <c r="BB12" s="23" t="str">
        <f>I11</f>
        <v>标准厂房</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3" t="str">
        <f>AH11</f>
        <v>（住宅、计出让金）</v>
      </c>
      <c r="BP12" s="23" t="str">
        <f>AJ11</f>
        <v>（住宅、计出让金）</v>
      </c>
      <c r="BQ12" s="23">
        <f>AL11</f>
        <v>0</v>
      </c>
      <c r="BR12" s="23">
        <f>AN11</f>
        <v>0</v>
      </c>
      <c r="BS12" s="24">
        <f>AP11</f>
        <v>0</v>
      </c>
      <c r="BT12" s="1772">
        <f>AR11</f>
        <v>0</v>
      </c>
    </row>
    <row r="13" spans="1:72" s="1733" customFormat="1" ht="12.75">
      <c r="A13" s="1181"/>
      <c r="B13" s="1181"/>
      <c r="C13" s="1181"/>
      <c r="D13" s="1779" t="s">
        <v>3121</v>
      </c>
      <c r="E13" s="15">
        <f>IF($C$3="是",ROUND($A$3*G13/$B$3,2),ROUND($A$3*(G13-AT13)/$B$3,2))</f>
        <v>0</v>
      </c>
      <c r="F13" s="31"/>
      <c r="G13" s="32">
        <f>H13+AC13+AT13</f>
        <v>17109.73</v>
      </c>
      <c r="H13" s="19">
        <f>SUMIF(I$12:AB$12,"总值",I13:AB13)</f>
        <v>17109.73</v>
      </c>
      <c r="I13" s="1780">
        <f>ROUND(17109.73/6*5,2)</f>
        <v>14258.11</v>
      </c>
      <c r="J13" s="1780"/>
      <c r="K13" s="1780">
        <f>17109.73-I13</f>
        <v>2851.619999999999</v>
      </c>
      <c r="L13" s="1780"/>
      <c r="M13" s="1780"/>
      <c r="N13" s="1780"/>
      <c r="O13" s="1780"/>
      <c r="P13" s="1780"/>
      <c r="Q13" s="1780"/>
      <c r="R13" s="1780"/>
      <c r="S13" s="1780"/>
      <c r="T13" s="1780"/>
      <c r="U13" s="1780"/>
      <c r="V13" s="1780"/>
      <c r="W13" s="1780"/>
      <c r="X13" s="1780"/>
      <c r="Y13" s="1780"/>
      <c r="Z13" s="1780"/>
      <c r="AA13" s="1780"/>
      <c r="AB13" s="1780"/>
      <c r="AC13" s="15">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5">
        <f>BA13+BL13</f>
        <v>17109.73</v>
      </c>
      <c r="BA13" s="15">
        <f>SUM(BB13:BK13)</f>
        <v>17109.73</v>
      </c>
      <c r="BB13" s="15">
        <f>IF($D13="是",I13-J13,0)</f>
        <v>14258.11</v>
      </c>
      <c r="BC13" s="15">
        <f>IF($D13="是",K13-L13,0)</f>
        <v>2851.619999999999</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3" customFormat="1" ht="12.75">
      <c r="A14" s="1181"/>
      <c r="B14" s="1181"/>
      <c r="C14" s="1724"/>
      <c r="D14" s="1779" t="s">
        <v>3121</v>
      </c>
      <c r="E14" s="15">
        <f>IF($C$3="是",ROUND($A$3*G14/$B$3,2),ROUND($A$3*(G14-AT14)/$B$3,2))</f>
        <v>0</v>
      </c>
      <c r="F14" s="31"/>
      <c r="G14" s="32">
        <f>H14+AC14+AT14</f>
        <v>0</v>
      </c>
      <c r="H14" s="19">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5">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3" customFormat="1" ht="12.75">
      <c r="A15" s="1181"/>
      <c r="B15" s="1181"/>
      <c r="C15" s="1724"/>
      <c r="D15" s="1779"/>
      <c r="E15" s="15">
        <f>IF($C$3="是",ROUND($A$3*G15/$B$3,2),ROUND($A$3*(G15-AT15)/$B$3,2))</f>
        <v>0</v>
      </c>
      <c r="F15" s="31"/>
      <c r="G15" s="32">
        <f>H15+AC15+AT15</f>
        <v>0</v>
      </c>
      <c r="H15" s="19">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5">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3" customFormat="1" ht="12.75">
      <c r="A16" s="1181"/>
      <c r="B16" s="1181"/>
      <c r="C16" s="1724"/>
      <c r="D16" s="1779"/>
      <c r="E16" s="15">
        <f>IF($C$3="是",ROUND($A$3*G16/$B$3,2),ROUND($A$3*(G16-AT16)/$B$3,2))</f>
        <v>0</v>
      </c>
      <c r="F16" s="31"/>
      <c r="G16" s="32">
        <f>H16+AC16+AT16</f>
        <v>0</v>
      </c>
      <c r="H16" s="19">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5">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3" customFormat="1" ht="12.75">
      <c r="A17" s="1181"/>
      <c r="B17" s="1181"/>
      <c r="C17" s="1724"/>
      <c r="D17" s="1779"/>
      <c r="E17" s="15">
        <f>IF($C$3="是",ROUND($A$3*G17/$B$3,2),ROUND($A$3*(G17-AT17)/$B$3,2))</f>
        <v>0</v>
      </c>
      <c r="F17" s="31"/>
      <c r="G17" s="32">
        <f>H17+AC17+AT17</f>
        <v>0</v>
      </c>
      <c r="H17" s="19">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5">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8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5"/>
      <c r="AV18" s="1496">
        <f t="shared" ref="AV18:AV112" si="11">A18</f>
        <v>0</v>
      </c>
      <c r="AW18" s="1496">
        <f t="shared" ref="AW18:AW112" si="12">B18</f>
        <v>0</v>
      </c>
      <c r="AX18" s="14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8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5"/>
      <c r="AV19" s="1496">
        <f t="shared" si="11"/>
        <v>0</v>
      </c>
      <c r="AW19" s="1496">
        <f t="shared" si="12"/>
        <v>0</v>
      </c>
      <c r="AX19" s="14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8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5"/>
      <c r="AV20" s="1496">
        <f t="shared" si="11"/>
        <v>0</v>
      </c>
      <c r="AW20" s="1496">
        <f t="shared" si="12"/>
        <v>0</v>
      </c>
      <c r="AX20" s="14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8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5"/>
      <c r="AV21" s="1496">
        <f t="shared" si="11"/>
        <v>0</v>
      </c>
      <c r="AW21" s="1496">
        <f t="shared" si="12"/>
        <v>0</v>
      </c>
      <c r="AX21" s="14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8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5"/>
      <c r="AV22" s="1496">
        <f t="shared" si="11"/>
        <v>0</v>
      </c>
      <c r="AW22" s="1496">
        <f t="shared" si="12"/>
        <v>0</v>
      </c>
      <c r="AX22" s="14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8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5"/>
      <c r="AV23" s="1496">
        <f t="shared" si="11"/>
        <v>0</v>
      </c>
      <c r="AW23" s="1496">
        <f t="shared" si="12"/>
        <v>0</v>
      </c>
      <c r="AX23" s="14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5"/>
      <c r="AV24" s="1496">
        <f t="shared" si="11"/>
        <v>0</v>
      </c>
      <c r="AW24" s="1496">
        <f t="shared" si="12"/>
        <v>0</v>
      </c>
      <c r="AX24" s="14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5"/>
      <c r="AV25" s="1496">
        <f t="shared" si="11"/>
        <v>0</v>
      </c>
      <c r="AW25" s="1496">
        <f t="shared" si="12"/>
        <v>0</v>
      </c>
      <c r="AX25" s="14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8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5"/>
      <c r="AV26" s="1496">
        <f t="shared" si="11"/>
        <v>0</v>
      </c>
      <c r="AW26" s="1496">
        <f t="shared" si="12"/>
        <v>0</v>
      </c>
      <c r="AX26" s="14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5"/>
      <c r="AV27" s="1496">
        <f t="shared" si="11"/>
        <v>0</v>
      </c>
      <c r="AW27" s="1496">
        <f t="shared" si="12"/>
        <v>0</v>
      </c>
      <c r="AX27" s="14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5"/>
      <c r="AV28" s="1496">
        <f t="shared" si="11"/>
        <v>0</v>
      </c>
      <c r="AW28" s="1496">
        <f t="shared" si="12"/>
        <v>0</v>
      </c>
      <c r="AX28" s="14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5"/>
      <c r="AV29" s="1496">
        <f t="shared" si="11"/>
        <v>0</v>
      </c>
      <c r="AW29" s="1496">
        <f t="shared" si="12"/>
        <v>0</v>
      </c>
      <c r="AX29" s="14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5"/>
      <c r="AV30" s="1496">
        <f t="shared" si="11"/>
        <v>0</v>
      </c>
      <c r="AW30" s="1496">
        <f t="shared" si="12"/>
        <v>0</v>
      </c>
      <c r="AX30" s="14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5"/>
      <c r="AV31" s="1496">
        <f t="shared" si="11"/>
        <v>0</v>
      </c>
      <c r="AW31" s="1496">
        <f t="shared" si="12"/>
        <v>0</v>
      </c>
      <c r="AX31" s="14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5"/>
      <c r="AV32" s="1496">
        <f t="shared" si="11"/>
        <v>0</v>
      </c>
      <c r="AW32" s="1496">
        <f t="shared" si="12"/>
        <v>0</v>
      </c>
      <c r="AX32" s="14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5"/>
      <c r="AV33" s="1496">
        <f t="shared" si="11"/>
        <v>0</v>
      </c>
      <c r="AW33" s="1496">
        <f t="shared" si="12"/>
        <v>0</v>
      </c>
      <c r="AX33" s="14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5"/>
      <c r="AV34" s="1496">
        <f t="shared" si="11"/>
        <v>0</v>
      </c>
      <c r="AW34" s="1496">
        <f t="shared" si="12"/>
        <v>0</v>
      </c>
      <c r="AX34" s="14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5"/>
      <c r="AV35" s="1496">
        <f t="shared" si="11"/>
        <v>0</v>
      </c>
      <c r="AW35" s="1496">
        <f t="shared" si="12"/>
        <v>0</v>
      </c>
      <c r="AX35" s="14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5"/>
      <c r="AV36" s="1496">
        <f t="shared" si="11"/>
        <v>0</v>
      </c>
      <c r="AW36" s="1496">
        <f t="shared" si="12"/>
        <v>0</v>
      </c>
      <c r="AX36" s="14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5"/>
      <c r="AV37" s="1496">
        <f t="shared" si="11"/>
        <v>0</v>
      </c>
      <c r="AW37" s="1496">
        <f t="shared" si="12"/>
        <v>0</v>
      </c>
      <c r="AX37" s="14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5"/>
      <c r="AV38" s="1496">
        <f t="shared" si="11"/>
        <v>0</v>
      </c>
      <c r="AW38" s="1496">
        <f t="shared" si="12"/>
        <v>0</v>
      </c>
      <c r="AX38" s="14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5"/>
      <c r="AV39" s="1496">
        <f t="shared" si="11"/>
        <v>0</v>
      </c>
      <c r="AW39" s="1496">
        <f t="shared" si="12"/>
        <v>0</v>
      </c>
      <c r="AX39" s="14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5"/>
      <c r="AV40" s="1496">
        <f t="shared" si="11"/>
        <v>0</v>
      </c>
      <c r="AW40" s="1496">
        <f t="shared" si="12"/>
        <v>0</v>
      </c>
      <c r="AX40" s="14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5"/>
      <c r="AV41" s="1496">
        <f t="shared" si="11"/>
        <v>0</v>
      </c>
      <c r="AW41" s="1496">
        <f t="shared" si="12"/>
        <v>0</v>
      </c>
      <c r="AX41" s="14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5"/>
      <c r="AV42" s="1496">
        <f t="shared" si="11"/>
        <v>0</v>
      </c>
      <c r="AW42" s="1496">
        <f t="shared" si="12"/>
        <v>0</v>
      </c>
      <c r="AX42" s="14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5"/>
      <c r="AV43" s="1496">
        <f t="shared" si="11"/>
        <v>0</v>
      </c>
      <c r="AW43" s="1496">
        <f t="shared" si="12"/>
        <v>0</v>
      </c>
      <c r="AX43" s="14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5"/>
      <c r="AV44" s="1496">
        <f t="shared" si="11"/>
        <v>0</v>
      </c>
      <c r="AW44" s="1496">
        <f t="shared" si="12"/>
        <v>0</v>
      </c>
      <c r="AX44" s="14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5"/>
      <c r="AV45" s="1496">
        <f t="shared" si="11"/>
        <v>0</v>
      </c>
      <c r="AW45" s="1496">
        <f t="shared" si="12"/>
        <v>0</v>
      </c>
      <c r="AX45" s="14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5"/>
      <c r="AV46" s="1496">
        <f t="shared" si="11"/>
        <v>0</v>
      </c>
      <c r="AW46" s="1496">
        <f t="shared" si="12"/>
        <v>0</v>
      </c>
      <c r="AX46" s="14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5"/>
      <c r="AV47" s="1496">
        <f t="shared" si="11"/>
        <v>0</v>
      </c>
      <c r="AW47" s="1496">
        <f t="shared" si="12"/>
        <v>0</v>
      </c>
      <c r="AX47" s="14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5"/>
      <c r="AV48" s="1496">
        <f t="shared" si="11"/>
        <v>0</v>
      </c>
      <c r="AW48" s="1496">
        <f t="shared" si="12"/>
        <v>0</v>
      </c>
      <c r="AX48" s="14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5"/>
      <c r="AV49" s="1496">
        <f t="shared" si="11"/>
        <v>0</v>
      </c>
      <c r="AW49" s="1496">
        <f t="shared" si="12"/>
        <v>0</v>
      </c>
      <c r="AX49" s="14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5"/>
      <c r="AV50" s="1496">
        <f t="shared" si="11"/>
        <v>0</v>
      </c>
      <c r="AW50" s="1496">
        <f t="shared" si="12"/>
        <v>0</v>
      </c>
      <c r="AX50" s="14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5"/>
      <c r="AV51" s="1496">
        <f t="shared" si="11"/>
        <v>0</v>
      </c>
      <c r="AW51" s="1496">
        <f t="shared" si="12"/>
        <v>0</v>
      </c>
      <c r="AX51" s="14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5"/>
      <c r="AV52" s="1496">
        <f t="shared" si="11"/>
        <v>0</v>
      </c>
      <c r="AW52" s="1496">
        <f t="shared" si="12"/>
        <v>0</v>
      </c>
      <c r="AX52" s="14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5"/>
      <c r="AV53" s="1496">
        <f t="shared" si="11"/>
        <v>0</v>
      </c>
      <c r="AW53" s="1496">
        <f t="shared" si="12"/>
        <v>0</v>
      </c>
      <c r="AX53" s="14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5"/>
      <c r="AV54" s="1496">
        <f t="shared" si="11"/>
        <v>0</v>
      </c>
      <c r="AW54" s="1496">
        <f t="shared" si="12"/>
        <v>0</v>
      </c>
      <c r="AX54" s="14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5"/>
      <c r="AV55" s="1496">
        <f t="shared" si="11"/>
        <v>0</v>
      </c>
      <c r="AW55" s="1496">
        <f t="shared" si="12"/>
        <v>0</v>
      </c>
      <c r="AX55" s="14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5"/>
      <c r="AV56" s="1496">
        <f t="shared" si="11"/>
        <v>0</v>
      </c>
      <c r="AW56" s="1496">
        <f t="shared" si="12"/>
        <v>0</v>
      </c>
      <c r="AX56" s="14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5"/>
      <c r="AV57" s="1496">
        <f t="shared" si="11"/>
        <v>0</v>
      </c>
      <c r="AW57" s="1496">
        <f t="shared" si="12"/>
        <v>0</v>
      </c>
      <c r="AX57" s="14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5"/>
      <c r="AV58" s="1496">
        <f t="shared" si="11"/>
        <v>0</v>
      </c>
      <c r="AW58" s="1496">
        <f t="shared" si="12"/>
        <v>0</v>
      </c>
      <c r="AX58" s="14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5"/>
      <c r="AV59" s="1496">
        <f t="shared" si="11"/>
        <v>0</v>
      </c>
      <c r="AW59" s="1496">
        <f t="shared" si="12"/>
        <v>0</v>
      </c>
      <c r="AX59" s="14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5"/>
      <c r="AV60" s="1496">
        <f t="shared" si="11"/>
        <v>0</v>
      </c>
      <c r="AW60" s="1496">
        <f t="shared" si="12"/>
        <v>0</v>
      </c>
      <c r="AX60" s="14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5"/>
      <c r="AV61" s="1496">
        <f t="shared" si="11"/>
        <v>0</v>
      </c>
      <c r="AW61" s="1496">
        <f t="shared" si="12"/>
        <v>0</v>
      </c>
      <c r="AX61" s="14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5"/>
      <c r="AV62" s="1496">
        <f t="shared" si="11"/>
        <v>0</v>
      </c>
      <c r="AW62" s="1496">
        <f t="shared" si="12"/>
        <v>0</v>
      </c>
      <c r="AX62" s="14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5"/>
      <c r="AV63" s="1496">
        <f t="shared" si="11"/>
        <v>0</v>
      </c>
      <c r="AW63" s="1496">
        <f t="shared" si="12"/>
        <v>0</v>
      </c>
      <c r="AX63" s="14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5"/>
      <c r="AV64" s="1496">
        <f t="shared" si="11"/>
        <v>0</v>
      </c>
      <c r="AW64" s="1496">
        <f t="shared" si="12"/>
        <v>0</v>
      </c>
      <c r="AX64" s="14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5"/>
      <c r="AV65" s="1496">
        <f t="shared" si="11"/>
        <v>0</v>
      </c>
      <c r="AW65" s="1496">
        <f t="shared" si="12"/>
        <v>0</v>
      </c>
      <c r="AX65" s="14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5"/>
      <c r="AV66" s="1496">
        <f t="shared" si="11"/>
        <v>0</v>
      </c>
      <c r="AW66" s="1496">
        <f t="shared" si="12"/>
        <v>0</v>
      </c>
      <c r="AX66" s="14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5"/>
      <c r="AV67" s="1496">
        <f t="shared" si="11"/>
        <v>0</v>
      </c>
      <c r="AW67" s="1496">
        <f t="shared" si="12"/>
        <v>0</v>
      </c>
      <c r="AX67" s="14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5"/>
      <c r="AV68" s="1496">
        <f t="shared" si="11"/>
        <v>0</v>
      </c>
      <c r="AW68" s="1496">
        <f t="shared" si="12"/>
        <v>0</v>
      </c>
      <c r="AX68" s="14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5"/>
      <c r="AV69" s="1496">
        <f t="shared" si="11"/>
        <v>0</v>
      </c>
      <c r="AW69" s="1496">
        <f t="shared" si="12"/>
        <v>0</v>
      </c>
      <c r="AX69" s="14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5"/>
      <c r="AV70" s="1496">
        <f t="shared" si="11"/>
        <v>0</v>
      </c>
      <c r="AW70" s="1496">
        <f t="shared" si="12"/>
        <v>0</v>
      </c>
      <c r="AX70" s="14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5"/>
      <c r="AV71" s="1496">
        <f t="shared" si="11"/>
        <v>0</v>
      </c>
      <c r="AW71" s="1496">
        <f t="shared" si="12"/>
        <v>0</v>
      </c>
      <c r="AX71" s="14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5"/>
      <c r="AV72" s="1496">
        <f t="shared" si="11"/>
        <v>0</v>
      </c>
      <c r="AW72" s="1496">
        <f t="shared" si="12"/>
        <v>0</v>
      </c>
      <c r="AX72" s="14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5"/>
      <c r="AV73" s="1496">
        <f t="shared" si="11"/>
        <v>0</v>
      </c>
      <c r="AW73" s="1496">
        <f t="shared" si="12"/>
        <v>0</v>
      </c>
      <c r="AX73" s="14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5"/>
      <c r="AV74" s="1496">
        <f t="shared" si="11"/>
        <v>0</v>
      </c>
      <c r="AW74" s="1496">
        <f t="shared" si="12"/>
        <v>0</v>
      </c>
      <c r="AX74" s="14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5"/>
      <c r="AV75" s="1496">
        <f t="shared" si="11"/>
        <v>0</v>
      </c>
      <c r="AW75" s="1496">
        <f t="shared" si="12"/>
        <v>0</v>
      </c>
      <c r="AX75" s="14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5"/>
      <c r="AV76" s="1496">
        <f t="shared" si="11"/>
        <v>0</v>
      </c>
      <c r="AW76" s="1496">
        <f t="shared" si="12"/>
        <v>0</v>
      </c>
      <c r="AX76" s="14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5"/>
      <c r="AV77" s="1496">
        <f t="shared" si="11"/>
        <v>0</v>
      </c>
      <c r="AW77" s="1496">
        <f t="shared" si="12"/>
        <v>0</v>
      </c>
      <c r="AX77" s="14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5"/>
      <c r="AV78" s="1496">
        <f t="shared" si="11"/>
        <v>0</v>
      </c>
      <c r="AW78" s="1496">
        <f t="shared" si="12"/>
        <v>0</v>
      </c>
      <c r="AX78" s="14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5"/>
      <c r="AV79" s="1496">
        <f t="shared" si="11"/>
        <v>0</v>
      </c>
      <c r="AW79" s="1496">
        <f t="shared" si="12"/>
        <v>0</v>
      </c>
      <c r="AX79" s="14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5"/>
      <c r="AV80" s="1496">
        <f t="shared" si="11"/>
        <v>0</v>
      </c>
      <c r="AW80" s="1496">
        <f t="shared" si="12"/>
        <v>0</v>
      </c>
      <c r="AX80" s="14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5"/>
      <c r="AV81" s="1496">
        <f t="shared" si="11"/>
        <v>0</v>
      </c>
      <c r="AW81" s="1496">
        <f t="shared" si="12"/>
        <v>0</v>
      </c>
      <c r="AX81" s="14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5"/>
      <c r="AV82" s="1496">
        <f t="shared" si="11"/>
        <v>0</v>
      </c>
      <c r="AW82" s="1496">
        <f t="shared" si="12"/>
        <v>0</v>
      </c>
      <c r="AX82" s="14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5"/>
      <c r="AV83" s="1496">
        <f t="shared" si="11"/>
        <v>0</v>
      </c>
      <c r="AW83" s="1496">
        <f t="shared" si="12"/>
        <v>0</v>
      </c>
      <c r="AX83" s="14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5"/>
      <c r="AV84" s="1496">
        <f t="shared" si="11"/>
        <v>0</v>
      </c>
      <c r="AW84" s="1496">
        <f t="shared" si="12"/>
        <v>0</v>
      </c>
      <c r="AX84" s="14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5"/>
      <c r="AV85" s="1496">
        <f t="shared" si="11"/>
        <v>0</v>
      </c>
      <c r="AW85" s="1496">
        <f t="shared" si="12"/>
        <v>0</v>
      </c>
      <c r="AX85" s="14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5"/>
      <c r="AV86" s="1496">
        <f t="shared" si="11"/>
        <v>0</v>
      </c>
      <c r="AW86" s="1496">
        <f t="shared" si="12"/>
        <v>0</v>
      </c>
      <c r="AX86" s="14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5"/>
      <c r="AV87" s="1496">
        <f t="shared" si="11"/>
        <v>0</v>
      </c>
      <c r="AW87" s="1496">
        <f t="shared" si="12"/>
        <v>0</v>
      </c>
      <c r="AX87" s="14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5"/>
      <c r="AV88" s="1496">
        <f t="shared" si="11"/>
        <v>0</v>
      </c>
      <c r="AW88" s="1496">
        <f t="shared" si="12"/>
        <v>0</v>
      </c>
      <c r="AX88" s="14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5"/>
      <c r="AV89" s="1496">
        <f t="shared" si="11"/>
        <v>0</v>
      </c>
      <c r="AW89" s="1496">
        <f t="shared" si="12"/>
        <v>0</v>
      </c>
      <c r="AX89" s="14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5"/>
      <c r="AV90" s="1496">
        <f t="shared" si="11"/>
        <v>0</v>
      </c>
      <c r="AW90" s="1496">
        <f t="shared" si="12"/>
        <v>0</v>
      </c>
      <c r="AX90" s="14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5"/>
      <c r="AV91" s="1496">
        <f t="shared" si="11"/>
        <v>0</v>
      </c>
      <c r="AW91" s="1496">
        <f t="shared" si="12"/>
        <v>0</v>
      </c>
      <c r="AX91" s="14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5"/>
      <c r="AV92" s="1496">
        <f t="shared" si="11"/>
        <v>0</v>
      </c>
      <c r="AW92" s="1496">
        <f t="shared" si="12"/>
        <v>0</v>
      </c>
      <c r="AX92" s="14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5"/>
      <c r="AV93" s="1496">
        <f t="shared" si="11"/>
        <v>0</v>
      </c>
      <c r="AW93" s="1496">
        <f t="shared" si="12"/>
        <v>0</v>
      </c>
      <c r="AX93" s="14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5"/>
      <c r="AV94" s="1496">
        <f t="shared" si="11"/>
        <v>0</v>
      </c>
      <c r="AW94" s="1496">
        <f t="shared" si="12"/>
        <v>0</v>
      </c>
      <c r="AX94" s="14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5"/>
      <c r="AV95" s="1496">
        <f t="shared" si="11"/>
        <v>0</v>
      </c>
      <c r="AW95" s="1496">
        <f t="shared" si="12"/>
        <v>0</v>
      </c>
      <c r="AX95" s="14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5"/>
      <c r="AV96" s="1496">
        <f t="shared" si="11"/>
        <v>0</v>
      </c>
      <c r="AW96" s="1496">
        <f t="shared" si="12"/>
        <v>0</v>
      </c>
      <c r="AX96" s="14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5"/>
      <c r="AV97" s="1496">
        <f t="shared" si="11"/>
        <v>0</v>
      </c>
      <c r="AW97" s="1496">
        <f t="shared" si="12"/>
        <v>0</v>
      </c>
      <c r="AX97" s="14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5"/>
      <c r="AV98" s="1496">
        <f t="shared" si="11"/>
        <v>0</v>
      </c>
      <c r="AW98" s="1496">
        <f t="shared" si="12"/>
        <v>0</v>
      </c>
      <c r="AX98" s="14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5"/>
      <c r="AV99" s="1496">
        <f t="shared" si="11"/>
        <v>0</v>
      </c>
      <c r="AW99" s="1496">
        <f t="shared" si="12"/>
        <v>0</v>
      </c>
      <c r="AX99" s="14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5"/>
      <c r="AV100" s="1496">
        <f t="shared" si="11"/>
        <v>0</v>
      </c>
      <c r="AW100" s="1496">
        <f t="shared" si="12"/>
        <v>0</v>
      </c>
      <c r="AX100" s="14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5"/>
      <c r="AV101" s="1496">
        <f t="shared" si="11"/>
        <v>0</v>
      </c>
      <c r="AW101" s="1496">
        <f t="shared" si="12"/>
        <v>0</v>
      </c>
      <c r="AX101" s="14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5"/>
      <c r="AV102" s="1496">
        <f t="shared" si="11"/>
        <v>0</v>
      </c>
      <c r="AW102" s="1496">
        <f t="shared" si="12"/>
        <v>0</v>
      </c>
      <c r="AX102" s="14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5"/>
      <c r="AV103" s="1496">
        <f t="shared" si="11"/>
        <v>0</v>
      </c>
      <c r="AW103" s="1496">
        <f t="shared" si="12"/>
        <v>0</v>
      </c>
      <c r="AX103" s="14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5"/>
      <c r="AV104" s="1496">
        <f t="shared" si="11"/>
        <v>0</v>
      </c>
      <c r="AW104" s="1496">
        <f t="shared" si="12"/>
        <v>0</v>
      </c>
      <c r="AX104" s="14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5"/>
      <c r="AV105" s="1496">
        <f t="shared" si="11"/>
        <v>0</v>
      </c>
      <c r="AW105" s="1496">
        <f t="shared" si="12"/>
        <v>0</v>
      </c>
      <c r="AX105" s="14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5"/>
      <c r="AV106" s="1496">
        <f t="shared" si="11"/>
        <v>0</v>
      </c>
      <c r="AW106" s="1496">
        <f t="shared" si="12"/>
        <v>0</v>
      </c>
      <c r="AX106" s="14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5"/>
      <c r="AV107" s="1496">
        <f t="shared" si="11"/>
        <v>0</v>
      </c>
      <c r="AW107" s="1496">
        <f t="shared" si="12"/>
        <v>0</v>
      </c>
      <c r="AX107" s="14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5"/>
      <c r="AV108" s="1496">
        <f t="shared" si="11"/>
        <v>0</v>
      </c>
      <c r="AW108" s="1496">
        <f t="shared" si="12"/>
        <v>0</v>
      </c>
      <c r="AX108" s="14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5"/>
      <c r="AV109" s="1496">
        <f t="shared" si="11"/>
        <v>0</v>
      </c>
      <c r="AW109" s="1496">
        <f t="shared" si="12"/>
        <v>0</v>
      </c>
      <c r="AX109" s="14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5"/>
      <c r="AV110" s="1496">
        <f t="shared" si="11"/>
        <v>0</v>
      </c>
      <c r="AW110" s="1496">
        <f t="shared" si="12"/>
        <v>0</v>
      </c>
      <c r="AX110" s="14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5"/>
      <c r="AV111" s="1496">
        <f t="shared" si="11"/>
        <v>0</v>
      </c>
      <c r="AW111" s="1496">
        <f t="shared" si="12"/>
        <v>0</v>
      </c>
      <c r="AX111" s="14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5"/>
      <c r="AV112" s="1496">
        <f t="shared" si="11"/>
        <v>0</v>
      </c>
      <c r="AW112" s="1496">
        <f t="shared" si="12"/>
        <v>0</v>
      </c>
      <c r="AX112" s="14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5"/>
      <c r="AV113" s="1496">
        <f t="shared" ref="AV113:AV144" si="62">A113</f>
        <v>0</v>
      </c>
      <c r="AW113" s="1496">
        <f t="shared" ref="AW113:AW144" si="63">B113</f>
        <v>0</v>
      </c>
      <c r="AX113" s="14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5"/>
      <c r="AV114" s="1496">
        <f t="shared" si="62"/>
        <v>0</v>
      </c>
      <c r="AW114" s="1496">
        <f t="shared" si="63"/>
        <v>0</v>
      </c>
      <c r="AX114" s="14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5"/>
      <c r="AV115" s="1496">
        <f t="shared" si="62"/>
        <v>0</v>
      </c>
      <c r="AW115" s="1496">
        <f t="shared" si="63"/>
        <v>0</v>
      </c>
      <c r="AX115" s="14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5"/>
      <c r="AV116" s="1496">
        <f t="shared" si="62"/>
        <v>0</v>
      </c>
      <c r="AW116" s="1496">
        <f t="shared" si="63"/>
        <v>0</v>
      </c>
      <c r="AX116" s="14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5"/>
      <c r="AV117" s="1496">
        <f t="shared" si="62"/>
        <v>0</v>
      </c>
      <c r="AW117" s="1496">
        <f t="shared" si="63"/>
        <v>0</v>
      </c>
      <c r="AX117" s="14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5"/>
      <c r="AV118" s="1496">
        <f t="shared" si="62"/>
        <v>0</v>
      </c>
      <c r="AW118" s="1496">
        <f t="shared" si="63"/>
        <v>0</v>
      </c>
      <c r="AX118" s="14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5"/>
      <c r="AV119" s="1496">
        <f t="shared" si="62"/>
        <v>0</v>
      </c>
      <c r="AW119" s="1496">
        <f t="shared" si="63"/>
        <v>0</v>
      </c>
      <c r="AX119" s="14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5"/>
      <c r="AV120" s="1496">
        <f t="shared" si="62"/>
        <v>0</v>
      </c>
      <c r="AW120" s="1496">
        <f t="shared" si="63"/>
        <v>0</v>
      </c>
      <c r="AX120" s="14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5"/>
      <c r="AV121" s="1496">
        <f t="shared" si="62"/>
        <v>0</v>
      </c>
      <c r="AW121" s="1496">
        <f t="shared" si="63"/>
        <v>0</v>
      </c>
      <c r="AX121" s="14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5"/>
      <c r="AV122" s="1496">
        <f t="shared" si="62"/>
        <v>0</v>
      </c>
      <c r="AW122" s="1496">
        <f t="shared" si="63"/>
        <v>0</v>
      </c>
      <c r="AX122" s="14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5"/>
      <c r="AV123" s="1496">
        <f t="shared" si="62"/>
        <v>0</v>
      </c>
      <c r="AW123" s="1496">
        <f t="shared" si="63"/>
        <v>0</v>
      </c>
      <c r="AX123" s="14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5"/>
      <c r="AV124" s="1496">
        <f t="shared" si="62"/>
        <v>0</v>
      </c>
      <c r="AW124" s="1496">
        <f t="shared" si="63"/>
        <v>0</v>
      </c>
      <c r="AX124" s="14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5"/>
      <c r="AV125" s="1496">
        <f t="shared" si="62"/>
        <v>0</v>
      </c>
      <c r="AW125" s="1496">
        <f t="shared" si="63"/>
        <v>0</v>
      </c>
      <c r="AX125" s="14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5"/>
      <c r="AV126" s="1496">
        <f t="shared" si="62"/>
        <v>0</v>
      </c>
      <c r="AW126" s="1496">
        <f t="shared" si="63"/>
        <v>0</v>
      </c>
      <c r="AX126" s="14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5"/>
      <c r="AV127" s="1496">
        <f t="shared" si="62"/>
        <v>0</v>
      </c>
      <c r="AW127" s="1496">
        <f t="shared" si="63"/>
        <v>0</v>
      </c>
      <c r="AX127" s="14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5"/>
      <c r="AV128" s="1496">
        <f t="shared" si="62"/>
        <v>0</v>
      </c>
      <c r="AW128" s="1496">
        <f t="shared" si="63"/>
        <v>0</v>
      </c>
      <c r="AX128" s="14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5"/>
      <c r="AV129" s="1496">
        <f t="shared" si="62"/>
        <v>0</v>
      </c>
      <c r="AW129" s="1496">
        <f t="shared" si="63"/>
        <v>0</v>
      </c>
      <c r="AX129" s="14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5"/>
      <c r="AV130" s="1496">
        <f t="shared" si="62"/>
        <v>0</v>
      </c>
      <c r="AW130" s="1496">
        <f t="shared" si="63"/>
        <v>0</v>
      </c>
      <c r="AX130" s="14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5"/>
      <c r="AV131" s="1496">
        <f t="shared" si="62"/>
        <v>0</v>
      </c>
      <c r="AW131" s="1496">
        <f t="shared" si="63"/>
        <v>0</v>
      </c>
      <c r="AX131" s="14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5"/>
      <c r="AV132" s="1496">
        <f t="shared" si="62"/>
        <v>0</v>
      </c>
      <c r="AW132" s="1496">
        <f t="shared" si="63"/>
        <v>0</v>
      </c>
      <c r="AX132" s="14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5"/>
      <c r="AV133" s="1496">
        <f t="shared" si="62"/>
        <v>0</v>
      </c>
      <c r="AW133" s="1496">
        <f t="shared" si="63"/>
        <v>0</v>
      </c>
      <c r="AX133" s="14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5"/>
      <c r="AV134" s="1496">
        <f t="shared" si="62"/>
        <v>0</v>
      </c>
      <c r="AW134" s="1496">
        <f t="shared" si="63"/>
        <v>0</v>
      </c>
      <c r="AX134" s="14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5"/>
      <c r="AV135" s="1496">
        <f t="shared" si="62"/>
        <v>0</v>
      </c>
      <c r="AW135" s="1496">
        <f t="shared" si="63"/>
        <v>0</v>
      </c>
      <c r="AX135" s="14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5"/>
      <c r="AV136" s="1496">
        <f t="shared" si="62"/>
        <v>0</v>
      </c>
      <c r="AW136" s="1496">
        <f t="shared" si="63"/>
        <v>0</v>
      </c>
      <c r="AX136" s="14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5"/>
      <c r="AV137" s="1496">
        <f t="shared" si="62"/>
        <v>0</v>
      </c>
      <c r="AW137" s="1496">
        <f t="shared" si="63"/>
        <v>0</v>
      </c>
      <c r="AX137" s="14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5"/>
      <c r="AV138" s="1496">
        <f t="shared" si="62"/>
        <v>0</v>
      </c>
      <c r="AW138" s="1496">
        <f t="shared" si="63"/>
        <v>0</v>
      </c>
      <c r="AX138" s="14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5"/>
      <c r="AV139" s="1496">
        <f t="shared" si="62"/>
        <v>0</v>
      </c>
      <c r="AW139" s="1496">
        <f t="shared" si="63"/>
        <v>0</v>
      </c>
      <c r="AX139" s="14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5"/>
      <c r="AV140" s="1496">
        <f t="shared" si="62"/>
        <v>0</v>
      </c>
      <c r="AW140" s="1496">
        <f t="shared" si="63"/>
        <v>0</v>
      </c>
      <c r="AX140" s="14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5"/>
      <c r="AV141" s="1496">
        <f t="shared" si="62"/>
        <v>0</v>
      </c>
      <c r="AW141" s="1496">
        <f t="shared" si="63"/>
        <v>0</v>
      </c>
      <c r="AX141" s="14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5"/>
      <c r="AV142" s="1496">
        <f t="shared" si="62"/>
        <v>0</v>
      </c>
      <c r="AW142" s="1496">
        <f t="shared" si="63"/>
        <v>0</v>
      </c>
      <c r="AX142" s="14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5"/>
      <c r="AV143" s="1496">
        <f t="shared" si="62"/>
        <v>0</v>
      </c>
      <c r="AW143" s="1496">
        <f t="shared" si="63"/>
        <v>0</v>
      </c>
      <c r="AX143" s="14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5"/>
      <c r="AV144" s="1496">
        <f t="shared" si="62"/>
        <v>0</v>
      </c>
      <c r="AW144" s="1496">
        <f t="shared" si="63"/>
        <v>0</v>
      </c>
      <c r="AX144" s="14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5"/>
      <c r="AV145" s="1496">
        <f t="shared" ref="AV145:AV176" si="91">A145</f>
        <v>0</v>
      </c>
      <c r="AW145" s="1496">
        <f t="shared" ref="AW145:AW176" si="92">B145</f>
        <v>0</v>
      </c>
      <c r="AX145" s="14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5"/>
      <c r="AV146" s="1496">
        <f t="shared" si="91"/>
        <v>0</v>
      </c>
      <c r="AW146" s="1496">
        <f t="shared" si="92"/>
        <v>0</v>
      </c>
      <c r="AX146" s="14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5"/>
      <c r="AV147" s="1496">
        <f t="shared" si="91"/>
        <v>0</v>
      </c>
      <c r="AW147" s="1496">
        <f t="shared" si="92"/>
        <v>0</v>
      </c>
      <c r="AX147" s="14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5"/>
      <c r="AV148" s="1496">
        <f t="shared" si="91"/>
        <v>0</v>
      </c>
      <c r="AW148" s="1496">
        <f t="shared" si="92"/>
        <v>0</v>
      </c>
      <c r="AX148" s="14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5"/>
      <c r="AV149" s="1496">
        <f t="shared" si="91"/>
        <v>0</v>
      </c>
      <c r="AW149" s="1496">
        <f t="shared" si="92"/>
        <v>0</v>
      </c>
      <c r="AX149" s="14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5"/>
      <c r="AV150" s="1496">
        <f t="shared" si="91"/>
        <v>0</v>
      </c>
      <c r="AW150" s="1496">
        <f t="shared" si="92"/>
        <v>0</v>
      </c>
      <c r="AX150" s="14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5"/>
      <c r="AV151" s="1496">
        <f t="shared" si="91"/>
        <v>0</v>
      </c>
      <c r="AW151" s="1496">
        <f t="shared" si="92"/>
        <v>0</v>
      </c>
      <c r="AX151" s="14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5"/>
      <c r="AV152" s="1496">
        <f t="shared" si="91"/>
        <v>0</v>
      </c>
      <c r="AW152" s="1496">
        <f t="shared" si="92"/>
        <v>0</v>
      </c>
      <c r="AX152" s="14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5"/>
      <c r="AV153" s="1496">
        <f t="shared" si="91"/>
        <v>0</v>
      </c>
      <c r="AW153" s="1496">
        <f t="shared" si="92"/>
        <v>0</v>
      </c>
      <c r="AX153" s="14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5"/>
      <c r="AV154" s="1496">
        <f t="shared" si="91"/>
        <v>0</v>
      </c>
      <c r="AW154" s="1496">
        <f t="shared" si="92"/>
        <v>0</v>
      </c>
      <c r="AX154" s="14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5"/>
      <c r="AV155" s="1496">
        <f t="shared" si="91"/>
        <v>0</v>
      </c>
      <c r="AW155" s="1496">
        <f t="shared" si="92"/>
        <v>0</v>
      </c>
      <c r="AX155" s="14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5"/>
      <c r="AV156" s="1496">
        <f t="shared" si="91"/>
        <v>0</v>
      </c>
      <c r="AW156" s="1496">
        <f t="shared" si="92"/>
        <v>0</v>
      </c>
      <c r="AX156" s="14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5"/>
      <c r="AV157" s="1496">
        <f t="shared" si="91"/>
        <v>0</v>
      </c>
      <c r="AW157" s="1496">
        <f t="shared" si="92"/>
        <v>0</v>
      </c>
      <c r="AX157" s="14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5"/>
      <c r="AV158" s="1496">
        <f t="shared" si="91"/>
        <v>0</v>
      </c>
      <c r="AW158" s="1496">
        <f t="shared" si="92"/>
        <v>0</v>
      </c>
      <c r="AX158" s="14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5"/>
      <c r="AV159" s="1496">
        <f t="shared" si="91"/>
        <v>0</v>
      </c>
      <c r="AW159" s="1496">
        <f t="shared" si="92"/>
        <v>0</v>
      </c>
      <c r="AX159" s="14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5"/>
      <c r="AV160" s="1496">
        <f t="shared" si="91"/>
        <v>0</v>
      </c>
      <c r="AW160" s="1496">
        <f t="shared" si="92"/>
        <v>0</v>
      </c>
      <c r="AX160" s="14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5"/>
      <c r="AV161" s="1496">
        <f t="shared" si="91"/>
        <v>0</v>
      </c>
      <c r="AW161" s="1496">
        <f t="shared" si="92"/>
        <v>0</v>
      </c>
      <c r="AX161" s="14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5"/>
      <c r="AV162" s="1496">
        <f t="shared" si="91"/>
        <v>0</v>
      </c>
      <c r="AW162" s="1496">
        <f t="shared" si="92"/>
        <v>0</v>
      </c>
      <c r="AX162" s="14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5"/>
      <c r="AV163" s="1496">
        <f t="shared" si="91"/>
        <v>0</v>
      </c>
      <c r="AW163" s="1496">
        <f t="shared" si="92"/>
        <v>0</v>
      </c>
      <c r="AX163" s="14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5"/>
      <c r="AV164" s="1496">
        <f t="shared" si="91"/>
        <v>0</v>
      </c>
      <c r="AW164" s="1496">
        <f t="shared" si="92"/>
        <v>0</v>
      </c>
      <c r="AX164" s="14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5"/>
      <c r="AV165" s="1496">
        <f t="shared" si="91"/>
        <v>0</v>
      </c>
      <c r="AW165" s="1496">
        <f t="shared" si="92"/>
        <v>0</v>
      </c>
      <c r="AX165" s="14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5"/>
      <c r="AV166" s="1496">
        <f t="shared" si="91"/>
        <v>0</v>
      </c>
      <c r="AW166" s="1496">
        <f t="shared" si="92"/>
        <v>0</v>
      </c>
      <c r="AX166" s="14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5"/>
      <c r="AV167" s="1496">
        <f t="shared" si="91"/>
        <v>0</v>
      </c>
      <c r="AW167" s="1496">
        <f t="shared" si="92"/>
        <v>0</v>
      </c>
      <c r="AX167" s="14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5"/>
      <c r="AV168" s="1496">
        <f t="shared" si="91"/>
        <v>0</v>
      </c>
      <c r="AW168" s="1496">
        <f t="shared" si="92"/>
        <v>0</v>
      </c>
      <c r="AX168" s="14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5"/>
      <c r="AV169" s="1496">
        <f t="shared" si="91"/>
        <v>0</v>
      </c>
      <c r="AW169" s="1496">
        <f t="shared" si="92"/>
        <v>0</v>
      </c>
      <c r="AX169" s="14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5"/>
      <c r="AV170" s="1496">
        <f t="shared" si="91"/>
        <v>0</v>
      </c>
      <c r="AW170" s="1496">
        <f t="shared" si="92"/>
        <v>0</v>
      </c>
      <c r="AX170" s="14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5"/>
      <c r="AV171" s="1496">
        <f t="shared" si="91"/>
        <v>0</v>
      </c>
      <c r="AW171" s="1496">
        <f t="shared" si="92"/>
        <v>0</v>
      </c>
      <c r="AX171" s="14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5"/>
      <c r="AV172" s="1496">
        <f t="shared" si="91"/>
        <v>0</v>
      </c>
      <c r="AW172" s="1496">
        <f t="shared" si="92"/>
        <v>0</v>
      </c>
      <c r="AX172" s="14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5"/>
      <c r="AV173" s="1496">
        <f t="shared" si="91"/>
        <v>0</v>
      </c>
      <c r="AW173" s="1496">
        <f t="shared" si="92"/>
        <v>0</v>
      </c>
      <c r="AX173" s="14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5"/>
      <c r="AV174" s="1496">
        <f t="shared" si="91"/>
        <v>0</v>
      </c>
      <c r="AW174" s="1496">
        <f t="shared" si="92"/>
        <v>0</v>
      </c>
      <c r="AX174" s="14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5"/>
      <c r="AV175" s="1496">
        <f t="shared" si="91"/>
        <v>0</v>
      </c>
      <c r="AW175" s="1496">
        <f t="shared" si="92"/>
        <v>0</v>
      </c>
      <c r="AX175" s="14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5"/>
      <c r="AV176" s="1496">
        <f t="shared" si="91"/>
        <v>0</v>
      </c>
      <c r="AW176" s="1496">
        <f t="shared" si="92"/>
        <v>0</v>
      </c>
      <c r="AX176" s="14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5"/>
      <c r="AV177" s="1496">
        <f t="shared" ref="AV177:AV207" si="120">A177</f>
        <v>0</v>
      </c>
      <c r="AW177" s="1496">
        <f t="shared" ref="AW177:AW207" si="121">B177</f>
        <v>0</v>
      </c>
      <c r="AX177" s="14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5"/>
      <c r="AV178" s="1496">
        <f t="shared" si="120"/>
        <v>0</v>
      </c>
      <c r="AW178" s="1496">
        <f t="shared" si="121"/>
        <v>0</v>
      </c>
      <c r="AX178" s="14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5"/>
      <c r="AV179" s="1496">
        <f t="shared" si="120"/>
        <v>0</v>
      </c>
      <c r="AW179" s="1496">
        <f t="shared" si="121"/>
        <v>0</v>
      </c>
      <c r="AX179" s="14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5"/>
      <c r="AV180" s="1496">
        <f t="shared" si="120"/>
        <v>0</v>
      </c>
      <c r="AW180" s="1496">
        <f t="shared" si="121"/>
        <v>0</v>
      </c>
      <c r="AX180" s="14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5"/>
      <c r="AV181" s="1496">
        <f t="shared" si="120"/>
        <v>0</v>
      </c>
      <c r="AW181" s="1496">
        <f t="shared" si="121"/>
        <v>0</v>
      </c>
      <c r="AX181" s="14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5"/>
      <c r="AV182" s="1496">
        <f t="shared" si="120"/>
        <v>0</v>
      </c>
      <c r="AW182" s="1496">
        <f t="shared" si="121"/>
        <v>0</v>
      </c>
      <c r="AX182" s="14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5"/>
      <c r="AV183" s="1496">
        <f t="shared" si="120"/>
        <v>0</v>
      </c>
      <c r="AW183" s="1496">
        <f t="shared" si="121"/>
        <v>0</v>
      </c>
      <c r="AX183" s="14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5"/>
      <c r="AV184" s="1496">
        <f t="shared" si="120"/>
        <v>0</v>
      </c>
      <c r="AW184" s="1496">
        <f t="shared" si="121"/>
        <v>0</v>
      </c>
      <c r="AX184" s="14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5"/>
      <c r="AV185" s="1496">
        <f t="shared" si="120"/>
        <v>0</v>
      </c>
      <c r="AW185" s="1496">
        <f t="shared" si="121"/>
        <v>0</v>
      </c>
      <c r="AX185" s="14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5"/>
      <c r="AV186" s="1496">
        <f t="shared" si="120"/>
        <v>0</v>
      </c>
      <c r="AW186" s="1496">
        <f t="shared" si="121"/>
        <v>0</v>
      </c>
      <c r="AX186" s="14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5"/>
      <c r="AV187" s="1496">
        <f t="shared" si="120"/>
        <v>0</v>
      </c>
      <c r="AW187" s="1496">
        <f t="shared" si="121"/>
        <v>0</v>
      </c>
      <c r="AX187" s="14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5"/>
      <c r="AV188" s="1496">
        <f t="shared" si="120"/>
        <v>0</v>
      </c>
      <c r="AW188" s="1496">
        <f t="shared" si="121"/>
        <v>0</v>
      </c>
      <c r="AX188" s="14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5"/>
      <c r="AV189" s="1496">
        <f t="shared" si="120"/>
        <v>0</v>
      </c>
      <c r="AW189" s="1496">
        <f t="shared" si="121"/>
        <v>0</v>
      </c>
      <c r="AX189" s="14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5"/>
      <c r="AV190" s="1496">
        <f t="shared" si="120"/>
        <v>0</v>
      </c>
      <c r="AW190" s="1496">
        <f t="shared" si="121"/>
        <v>0</v>
      </c>
      <c r="AX190" s="14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5"/>
      <c r="AV191" s="1496">
        <f t="shared" si="120"/>
        <v>0</v>
      </c>
      <c r="AW191" s="1496">
        <f t="shared" si="121"/>
        <v>0</v>
      </c>
      <c r="AX191" s="14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5"/>
      <c r="AV192" s="1496">
        <f t="shared" si="120"/>
        <v>0</v>
      </c>
      <c r="AW192" s="1496">
        <f t="shared" si="121"/>
        <v>0</v>
      </c>
      <c r="AX192" s="14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5"/>
      <c r="AV193" s="1496">
        <f t="shared" si="120"/>
        <v>0</v>
      </c>
      <c r="AW193" s="1496">
        <f t="shared" si="121"/>
        <v>0</v>
      </c>
      <c r="AX193" s="14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5"/>
      <c r="AV194" s="1496">
        <f t="shared" si="120"/>
        <v>0</v>
      </c>
      <c r="AW194" s="1496">
        <f t="shared" si="121"/>
        <v>0</v>
      </c>
      <c r="AX194" s="14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5"/>
      <c r="AV195" s="1496">
        <f t="shared" si="120"/>
        <v>0</v>
      </c>
      <c r="AW195" s="1496">
        <f t="shared" si="121"/>
        <v>0</v>
      </c>
      <c r="AX195" s="14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5"/>
      <c r="AV196" s="1496">
        <f t="shared" si="120"/>
        <v>0</v>
      </c>
      <c r="AW196" s="1496">
        <f t="shared" si="121"/>
        <v>0</v>
      </c>
      <c r="AX196" s="14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5"/>
      <c r="AV197" s="1496">
        <f t="shared" si="120"/>
        <v>0</v>
      </c>
      <c r="AW197" s="1496">
        <f t="shared" si="121"/>
        <v>0</v>
      </c>
      <c r="AX197" s="14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5"/>
      <c r="AV198" s="1496">
        <f t="shared" si="120"/>
        <v>0</v>
      </c>
      <c r="AW198" s="1496">
        <f t="shared" si="121"/>
        <v>0</v>
      </c>
      <c r="AX198" s="14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5"/>
      <c r="AV199" s="1496">
        <f t="shared" si="120"/>
        <v>0</v>
      </c>
      <c r="AW199" s="1496">
        <f t="shared" si="121"/>
        <v>0</v>
      </c>
      <c r="AX199" s="14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5"/>
      <c r="AV200" s="1496">
        <f t="shared" si="120"/>
        <v>0</v>
      </c>
      <c r="AW200" s="1496">
        <f t="shared" si="121"/>
        <v>0</v>
      </c>
      <c r="AX200" s="14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5"/>
      <c r="AV201" s="1496">
        <f t="shared" si="120"/>
        <v>0</v>
      </c>
      <c r="AW201" s="1496">
        <f t="shared" si="121"/>
        <v>0</v>
      </c>
      <c r="AX201" s="14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5"/>
      <c r="AV202" s="1496">
        <f t="shared" si="120"/>
        <v>0</v>
      </c>
      <c r="AW202" s="1496">
        <f t="shared" si="121"/>
        <v>0</v>
      </c>
      <c r="AX202" s="14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5"/>
      <c r="AV203" s="1496">
        <f t="shared" si="120"/>
        <v>0</v>
      </c>
      <c r="AW203" s="1496">
        <f t="shared" si="121"/>
        <v>0</v>
      </c>
      <c r="AX203" s="14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5"/>
      <c r="AV204" s="1496">
        <f t="shared" si="120"/>
        <v>0</v>
      </c>
      <c r="AW204" s="1496">
        <f t="shared" si="121"/>
        <v>0</v>
      </c>
      <c r="AX204" s="14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5"/>
      <c r="AV205" s="1496">
        <f t="shared" si="120"/>
        <v>0</v>
      </c>
      <c r="AW205" s="1496">
        <f t="shared" si="121"/>
        <v>0</v>
      </c>
      <c r="AX205" s="14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5"/>
      <c r="AV206" s="1496">
        <f t="shared" si="120"/>
        <v>0</v>
      </c>
      <c r="AW206" s="1496">
        <f t="shared" si="121"/>
        <v>0</v>
      </c>
      <c r="AX206" s="14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5"/>
      <c r="AV207" s="1496">
        <f t="shared" si="120"/>
        <v>0</v>
      </c>
      <c r="AW207" s="1496">
        <f t="shared" si="121"/>
        <v>0</v>
      </c>
      <c r="AX207" s="14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5"/>
      <c r="AV208" s="1496">
        <f t="shared" ref="AV208:AV302" si="127">A208</f>
        <v>0</v>
      </c>
      <c r="AW208" s="1496">
        <f t="shared" ref="AW208:AW302" si="128">B208</f>
        <v>0</v>
      </c>
      <c r="AX208" s="14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5"/>
      <c r="AV209" s="1496">
        <f t="shared" si="127"/>
        <v>0</v>
      </c>
      <c r="AW209" s="1496">
        <f t="shared" si="128"/>
        <v>0</v>
      </c>
      <c r="AX209" s="14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5"/>
      <c r="AV210" s="1496">
        <f t="shared" si="127"/>
        <v>0</v>
      </c>
      <c r="AW210" s="1496">
        <f t="shared" si="128"/>
        <v>0</v>
      </c>
      <c r="AX210" s="14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5"/>
      <c r="AV211" s="1496">
        <f t="shared" si="127"/>
        <v>0</v>
      </c>
      <c r="AW211" s="1496">
        <f t="shared" si="128"/>
        <v>0</v>
      </c>
      <c r="AX211" s="14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5"/>
      <c r="AV212" s="1496">
        <f t="shared" si="127"/>
        <v>0</v>
      </c>
      <c r="AW212" s="1496">
        <f t="shared" si="128"/>
        <v>0</v>
      </c>
      <c r="AX212" s="14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5"/>
      <c r="AV213" s="1496">
        <f t="shared" si="127"/>
        <v>0</v>
      </c>
      <c r="AW213" s="1496">
        <f t="shared" si="128"/>
        <v>0</v>
      </c>
      <c r="AX213" s="14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5"/>
      <c r="AV214" s="1496">
        <f t="shared" si="127"/>
        <v>0</v>
      </c>
      <c r="AW214" s="1496">
        <f t="shared" si="128"/>
        <v>0</v>
      </c>
      <c r="AX214" s="14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5"/>
      <c r="AV215" s="1496">
        <f t="shared" si="127"/>
        <v>0</v>
      </c>
      <c r="AW215" s="1496">
        <f t="shared" si="128"/>
        <v>0</v>
      </c>
      <c r="AX215" s="14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5"/>
      <c r="AV216" s="1496">
        <f t="shared" si="127"/>
        <v>0</v>
      </c>
      <c r="AW216" s="1496">
        <f t="shared" si="128"/>
        <v>0</v>
      </c>
      <c r="AX216" s="14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5"/>
      <c r="AV217" s="1496">
        <f t="shared" si="127"/>
        <v>0</v>
      </c>
      <c r="AW217" s="1496">
        <f t="shared" si="128"/>
        <v>0</v>
      </c>
      <c r="AX217" s="14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5"/>
      <c r="AV218" s="1496">
        <f t="shared" si="127"/>
        <v>0</v>
      </c>
      <c r="AW218" s="1496">
        <f t="shared" si="128"/>
        <v>0</v>
      </c>
      <c r="AX218" s="14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5"/>
      <c r="AV219" s="1496">
        <f t="shared" si="127"/>
        <v>0</v>
      </c>
      <c r="AW219" s="1496">
        <f t="shared" si="128"/>
        <v>0</v>
      </c>
      <c r="AX219" s="14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5"/>
      <c r="AV220" s="1496">
        <f t="shared" si="127"/>
        <v>0</v>
      </c>
      <c r="AW220" s="1496">
        <f t="shared" si="128"/>
        <v>0</v>
      </c>
      <c r="AX220" s="14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5"/>
      <c r="AV221" s="1496">
        <f t="shared" si="127"/>
        <v>0</v>
      </c>
      <c r="AW221" s="1496">
        <f t="shared" si="128"/>
        <v>0</v>
      </c>
      <c r="AX221" s="14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5"/>
      <c r="AV222" s="1496">
        <f t="shared" si="127"/>
        <v>0</v>
      </c>
      <c r="AW222" s="1496">
        <f t="shared" si="128"/>
        <v>0</v>
      </c>
      <c r="AX222" s="14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5"/>
      <c r="AV223" s="1496">
        <f t="shared" si="127"/>
        <v>0</v>
      </c>
      <c r="AW223" s="1496">
        <f t="shared" si="128"/>
        <v>0</v>
      </c>
      <c r="AX223" s="14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5"/>
      <c r="AV224" s="1496">
        <f t="shared" si="127"/>
        <v>0</v>
      </c>
      <c r="AW224" s="1496">
        <f t="shared" si="128"/>
        <v>0</v>
      </c>
      <c r="AX224" s="14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5"/>
      <c r="AV225" s="1496">
        <f t="shared" si="127"/>
        <v>0</v>
      </c>
      <c r="AW225" s="1496">
        <f t="shared" si="128"/>
        <v>0</v>
      </c>
      <c r="AX225" s="14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5"/>
      <c r="AV226" s="1496">
        <f t="shared" si="127"/>
        <v>0</v>
      </c>
      <c r="AW226" s="1496">
        <f t="shared" si="128"/>
        <v>0</v>
      </c>
      <c r="AX226" s="14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5"/>
      <c r="AV227" s="1496">
        <f t="shared" si="127"/>
        <v>0</v>
      </c>
      <c r="AW227" s="1496">
        <f t="shared" si="128"/>
        <v>0</v>
      </c>
      <c r="AX227" s="14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5"/>
      <c r="AV228" s="1496">
        <f t="shared" si="127"/>
        <v>0</v>
      </c>
      <c r="AW228" s="1496">
        <f t="shared" si="128"/>
        <v>0</v>
      </c>
      <c r="AX228" s="14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5"/>
      <c r="AV229" s="1496">
        <f t="shared" si="127"/>
        <v>0</v>
      </c>
      <c r="AW229" s="1496">
        <f t="shared" si="128"/>
        <v>0</v>
      </c>
      <c r="AX229" s="14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5"/>
      <c r="AV230" s="1496">
        <f t="shared" si="127"/>
        <v>0</v>
      </c>
      <c r="AW230" s="1496">
        <f t="shared" si="128"/>
        <v>0</v>
      </c>
      <c r="AX230" s="14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5"/>
      <c r="AV231" s="1496">
        <f t="shared" si="127"/>
        <v>0</v>
      </c>
      <c r="AW231" s="1496">
        <f t="shared" si="128"/>
        <v>0</v>
      </c>
      <c r="AX231" s="14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5"/>
      <c r="AV232" s="1496">
        <f t="shared" si="127"/>
        <v>0</v>
      </c>
      <c r="AW232" s="1496">
        <f t="shared" si="128"/>
        <v>0</v>
      </c>
      <c r="AX232" s="14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5"/>
      <c r="AV233" s="1496">
        <f t="shared" si="127"/>
        <v>0</v>
      </c>
      <c r="AW233" s="1496">
        <f t="shared" si="128"/>
        <v>0</v>
      </c>
      <c r="AX233" s="14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5"/>
      <c r="AV234" s="1496">
        <f t="shared" si="127"/>
        <v>0</v>
      </c>
      <c r="AW234" s="1496">
        <f t="shared" si="128"/>
        <v>0</v>
      </c>
      <c r="AX234" s="14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5"/>
      <c r="AV235" s="1496">
        <f t="shared" si="127"/>
        <v>0</v>
      </c>
      <c r="AW235" s="1496">
        <f t="shared" si="128"/>
        <v>0</v>
      </c>
      <c r="AX235" s="14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5"/>
      <c r="AV236" s="1496">
        <f t="shared" si="127"/>
        <v>0</v>
      </c>
      <c r="AW236" s="1496">
        <f t="shared" si="128"/>
        <v>0</v>
      </c>
      <c r="AX236" s="14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5"/>
      <c r="AV237" s="1496">
        <f t="shared" si="127"/>
        <v>0</v>
      </c>
      <c r="AW237" s="1496">
        <f t="shared" si="128"/>
        <v>0</v>
      </c>
      <c r="AX237" s="14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5"/>
      <c r="AV238" s="1496">
        <f t="shared" si="127"/>
        <v>0</v>
      </c>
      <c r="AW238" s="1496">
        <f t="shared" si="128"/>
        <v>0</v>
      </c>
      <c r="AX238" s="14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5"/>
      <c r="AV239" s="1496">
        <f t="shared" si="127"/>
        <v>0</v>
      </c>
      <c r="AW239" s="1496">
        <f t="shared" si="128"/>
        <v>0</v>
      </c>
      <c r="AX239" s="14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5"/>
      <c r="AV240" s="1496">
        <f t="shared" si="127"/>
        <v>0</v>
      </c>
      <c r="AW240" s="1496">
        <f t="shared" si="128"/>
        <v>0</v>
      </c>
      <c r="AX240" s="14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5"/>
      <c r="AV241" s="1496">
        <f t="shared" si="127"/>
        <v>0</v>
      </c>
      <c r="AW241" s="1496">
        <f t="shared" si="128"/>
        <v>0</v>
      </c>
      <c r="AX241" s="14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5"/>
      <c r="AV242" s="1496">
        <f t="shared" si="127"/>
        <v>0</v>
      </c>
      <c r="AW242" s="1496">
        <f t="shared" si="128"/>
        <v>0</v>
      </c>
      <c r="AX242" s="14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5"/>
      <c r="AV243" s="1496">
        <f t="shared" si="127"/>
        <v>0</v>
      </c>
      <c r="AW243" s="1496">
        <f t="shared" si="128"/>
        <v>0</v>
      </c>
      <c r="AX243" s="14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5"/>
      <c r="AV244" s="1496">
        <f t="shared" si="127"/>
        <v>0</v>
      </c>
      <c r="AW244" s="1496">
        <f t="shared" si="128"/>
        <v>0</v>
      </c>
      <c r="AX244" s="14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5"/>
      <c r="AV245" s="1496">
        <f t="shared" si="127"/>
        <v>0</v>
      </c>
      <c r="AW245" s="1496">
        <f t="shared" si="128"/>
        <v>0</v>
      </c>
      <c r="AX245" s="14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5"/>
      <c r="AV246" s="1496">
        <f t="shared" si="127"/>
        <v>0</v>
      </c>
      <c r="AW246" s="1496">
        <f t="shared" si="128"/>
        <v>0</v>
      </c>
      <c r="AX246" s="14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5"/>
      <c r="AV247" s="1496">
        <f t="shared" si="127"/>
        <v>0</v>
      </c>
      <c r="AW247" s="1496">
        <f t="shared" si="128"/>
        <v>0</v>
      </c>
      <c r="AX247" s="14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5"/>
      <c r="AV248" s="1496">
        <f t="shared" si="127"/>
        <v>0</v>
      </c>
      <c r="AW248" s="1496">
        <f t="shared" si="128"/>
        <v>0</v>
      </c>
      <c r="AX248" s="14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5"/>
      <c r="AV249" s="1496">
        <f t="shared" si="127"/>
        <v>0</v>
      </c>
      <c r="AW249" s="1496">
        <f t="shared" si="128"/>
        <v>0</v>
      </c>
      <c r="AX249" s="14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5"/>
      <c r="AV250" s="1496">
        <f t="shared" si="127"/>
        <v>0</v>
      </c>
      <c r="AW250" s="1496">
        <f t="shared" si="128"/>
        <v>0</v>
      </c>
      <c r="AX250" s="14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5"/>
      <c r="AV251" s="1496">
        <f t="shared" si="127"/>
        <v>0</v>
      </c>
      <c r="AW251" s="1496">
        <f t="shared" si="128"/>
        <v>0</v>
      </c>
      <c r="AX251" s="14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5"/>
      <c r="AV252" s="1496">
        <f t="shared" si="127"/>
        <v>0</v>
      </c>
      <c r="AW252" s="1496">
        <f t="shared" si="128"/>
        <v>0</v>
      </c>
      <c r="AX252" s="14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5"/>
      <c r="AV253" s="1496">
        <f t="shared" si="127"/>
        <v>0</v>
      </c>
      <c r="AW253" s="1496">
        <f t="shared" si="128"/>
        <v>0</v>
      </c>
      <c r="AX253" s="14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5"/>
      <c r="AV254" s="1496">
        <f t="shared" si="127"/>
        <v>0</v>
      </c>
      <c r="AW254" s="1496">
        <f t="shared" si="128"/>
        <v>0</v>
      </c>
      <c r="AX254" s="14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5"/>
      <c r="AV255" s="1496">
        <f t="shared" si="127"/>
        <v>0</v>
      </c>
      <c r="AW255" s="1496">
        <f t="shared" si="128"/>
        <v>0</v>
      </c>
      <c r="AX255" s="14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5"/>
      <c r="AV256" s="1496">
        <f t="shared" si="127"/>
        <v>0</v>
      </c>
      <c r="AW256" s="1496">
        <f t="shared" si="128"/>
        <v>0</v>
      </c>
      <c r="AX256" s="14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5"/>
      <c r="AV257" s="1496">
        <f t="shared" si="127"/>
        <v>0</v>
      </c>
      <c r="AW257" s="1496">
        <f t="shared" si="128"/>
        <v>0</v>
      </c>
      <c r="AX257" s="14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5"/>
      <c r="AV258" s="1496">
        <f t="shared" si="127"/>
        <v>0</v>
      </c>
      <c r="AW258" s="1496">
        <f t="shared" si="128"/>
        <v>0</v>
      </c>
      <c r="AX258" s="14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5"/>
      <c r="AV259" s="1496">
        <f t="shared" si="127"/>
        <v>0</v>
      </c>
      <c r="AW259" s="1496">
        <f t="shared" si="128"/>
        <v>0</v>
      </c>
      <c r="AX259" s="14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5"/>
      <c r="AV260" s="1496">
        <f t="shared" si="127"/>
        <v>0</v>
      </c>
      <c r="AW260" s="1496">
        <f t="shared" si="128"/>
        <v>0</v>
      </c>
      <c r="AX260" s="14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5"/>
      <c r="AV261" s="1496">
        <f t="shared" si="127"/>
        <v>0</v>
      </c>
      <c r="AW261" s="1496">
        <f t="shared" si="128"/>
        <v>0</v>
      </c>
      <c r="AX261" s="14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5"/>
      <c r="AV262" s="1496">
        <f t="shared" si="127"/>
        <v>0</v>
      </c>
      <c r="AW262" s="1496">
        <f t="shared" si="128"/>
        <v>0</v>
      </c>
      <c r="AX262" s="14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5"/>
      <c r="AV263" s="1496">
        <f t="shared" si="127"/>
        <v>0</v>
      </c>
      <c r="AW263" s="1496">
        <f t="shared" si="128"/>
        <v>0</v>
      </c>
      <c r="AX263" s="14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5"/>
      <c r="AV264" s="1496">
        <f t="shared" si="127"/>
        <v>0</v>
      </c>
      <c r="AW264" s="1496">
        <f t="shared" si="128"/>
        <v>0</v>
      </c>
      <c r="AX264" s="14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5"/>
      <c r="AV265" s="1496">
        <f t="shared" si="127"/>
        <v>0</v>
      </c>
      <c r="AW265" s="1496">
        <f t="shared" si="128"/>
        <v>0</v>
      </c>
      <c r="AX265" s="14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5"/>
      <c r="AV266" s="1496">
        <f t="shared" si="127"/>
        <v>0</v>
      </c>
      <c r="AW266" s="1496">
        <f t="shared" si="128"/>
        <v>0</v>
      </c>
      <c r="AX266" s="14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5"/>
      <c r="AV267" s="1496">
        <f t="shared" si="127"/>
        <v>0</v>
      </c>
      <c r="AW267" s="1496">
        <f t="shared" si="128"/>
        <v>0</v>
      </c>
      <c r="AX267" s="14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5"/>
      <c r="AV268" s="1496">
        <f t="shared" si="127"/>
        <v>0</v>
      </c>
      <c r="AW268" s="1496">
        <f t="shared" si="128"/>
        <v>0</v>
      </c>
      <c r="AX268" s="14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5"/>
      <c r="AV269" s="1496">
        <f t="shared" si="127"/>
        <v>0</v>
      </c>
      <c r="AW269" s="1496">
        <f t="shared" si="128"/>
        <v>0</v>
      </c>
      <c r="AX269" s="14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5"/>
      <c r="AV270" s="1496">
        <f t="shared" si="127"/>
        <v>0</v>
      </c>
      <c r="AW270" s="1496">
        <f t="shared" si="128"/>
        <v>0</v>
      </c>
      <c r="AX270" s="14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5"/>
      <c r="AV271" s="1496">
        <f t="shared" si="127"/>
        <v>0</v>
      </c>
      <c r="AW271" s="1496">
        <f t="shared" si="128"/>
        <v>0</v>
      </c>
      <c r="AX271" s="14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5"/>
      <c r="AV272" s="1496">
        <f t="shared" si="127"/>
        <v>0</v>
      </c>
      <c r="AW272" s="1496">
        <f t="shared" si="128"/>
        <v>0</v>
      </c>
      <c r="AX272" s="14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5"/>
      <c r="AV273" s="1496">
        <f t="shared" si="127"/>
        <v>0</v>
      </c>
      <c r="AW273" s="1496">
        <f t="shared" si="128"/>
        <v>0</v>
      </c>
      <c r="AX273" s="14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5"/>
      <c r="AV274" s="1496">
        <f t="shared" si="127"/>
        <v>0</v>
      </c>
      <c r="AW274" s="1496">
        <f t="shared" si="128"/>
        <v>0</v>
      </c>
      <c r="AX274" s="14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5"/>
      <c r="AV275" s="1496">
        <f t="shared" si="127"/>
        <v>0</v>
      </c>
      <c r="AW275" s="1496">
        <f t="shared" si="128"/>
        <v>0</v>
      </c>
      <c r="AX275" s="14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5"/>
      <c r="AV276" s="1496">
        <f t="shared" si="127"/>
        <v>0</v>
      </c>
      <c r="AW276" s="1496">
        <f t="shared" si="128"/>
        <v>0</v>
      </c>
      <c r="AX276" s="14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5"/>
      <c r="AV277" s="1496">
        <f t="shared" si="127"/>
        <v>0</v>
      </c>
      <c r="AW277" s="1496">
        <f t="shared" si="128"/>
        <v>0</v>
      </c>
      <c r="AX277" s="14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5"/>
      <c r="AV278" s="1496">
        <f t="shared" si="127"/>
        <v>0</v>
      </c>
      <c r="AW278" s="1496">
        <f t="shared" si="128"/>
        <v>0</v>
      </c>
      <c r="AX278" s="14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5"/>
      <c r="AV279" s="1496">
        <f t="shared" si="127"/>
        <v>0</v>
      </c>
      <c r="AW279" s="1496">
        <f t="shared" si="128"/>
        <v>0</v>
      </c>
      <c r="AX279" s="14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5"/>
      <c r="AV280" s="1496">
        <f t="shared" si="127"/>
        <v>0</v>
      </c>
      <c r="AW280" s="1496">
        <f t="shared" si="128"/>
        <v>0</v>
      </c>
      <c r="AX280" s="14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5"/>
      <c r="AV281" s="1496">
        <f t="shared" si="127"/>
        <v>0</v>
      </c>
      <c r="AW281" s="1496">
        <f t="shared" si="128"/>
        <v>0</v>
      </c>
      <c r="AX281" s="14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5"/>
      <c r="AV282" s="1496">
        <f t="shared" si="127"/>
        <v>0</v>
      </c>
      <c r="AW282" s="1496">
        <f t="shared" si="128"/>
        <v>0</v>
      </c>
      <c r="AX282" s="14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5"/>
      <c r="AV283" s="1496">
        <f t="shared" si="127"/>
        <v>0</v>
      </c>
      <c r="AW283" s="1496">
        <f t="shared" si="128"/>
        <v>0</v>
      </c>
      <c r="AX283" s="14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5"/>
      <c r="AV284" s="1496">
        <f t="shared" si="127"/>
        <v>0</v>
      </c>
      <c r="AW284" s="1496">
        <f t="shared" si="128"/>
        <v>0</v>
      </c>
      <c r="AX284" s="14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5"/>
      <c r="AV285" s="1496">
        <f t="shared" si="127"/>
        <v>0</v>
      </c>
      <c r="AW285" s="1496">
        <f t="shared" si="128"/>
        <v>0</v>
      </c>
      <c r="AX285" s="14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5"/>
      <c r="AV286" s="1496">
        <f t="shared" si="127"/>
        <v>0</v>
      </c>
      <c r="AW286" s="1496">
        <f t="shared" si="128"/>
        <v>0</v>
      </c>
      <c r="AX286" s="14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5"/>
      <c r="AV287" s="1496">
        <f t="shared" si="127"/>
        <v>0</v>
      </c>
      <c r="AW287" s="1496">
        <f t="shared" si="128"/>
        <v>0</v>
      </c>
      <c r="AX287" s="14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5"/>
      <c r="AV288" s="1496">
        <f t="shared" si="127"/>
        <v>0</v>
      </c>
      <c r="AW288" s="1496">
        <f t="shared" si="128"/>
        <v>0</v>
      </c>
      <c r="AX288" s="14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5"/>
      <c r="AV289" s="1496">
        <f t="shared" si="127"/>
        <v>0</v>
      </c>
      <c r="AW289" s="1496">
        <f t="shared" si="128"/>
        <v>0</v>
      </c>
      <c r="AX289" s="14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5"/>
      <c r="AV290" s="1496">
        <f t="shared" si="127"/>
        <v>0</v>
      </c>
      <c r="AW290" s="1496">
        <f t="shared" si="128"/>
        <v>0</v>
      </c>
      <c r="AX290" s="14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5"/>
      <c r="AV291" s="1496">
        <f t="shared" si="127"/>
        <v>0</v>
      </c>
      <c r="AW291" s="1496">
        <f t="shared" si="128"/>
        <v>0</v>
      </c>
      <c r="AX291" s="14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5"/>
      <c r="AV292" s="1496">
        <f t="shared" si="127"/>
        <v>0</v>
      </c>
      <c r="AW292" s="1496">
        <f t="shared" si="128"/>
        <v>0</v>
      </c>
      <c r="AX292" s="14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5"/>
      <c r="AV293" s="1496">
        <f t="shared" si="127"/>
        <v>0</v>
      </c>
      <c r="AW293" s="1496">
        <f t="shared" si="128"/>
        <v>0</v>
      </c>
      <c r="AX293" s="14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5"/>
      <c r="AV294" s="1496">
        <f t="shared" si="127"/>
        <v>0</v>
      </c>
      <c r="AW294" s="1496">
        <f t="shared" si="128"/>
        <v>0</v>
      </c>
      <c r="AX294" s="14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5"/>
      <c r="AV295" s="1496">
        <f t="shared" si="127"/>
        <v>0</v>
      </c>
      <c r="AW295" s="1496">
        <f t="shared" si="128"/>
        <v>0</v>
      </c>
      <c r="AX295" s="14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5"/>
      <c r="AV296" s="1496">
        <f t="shared" si="127"/>
        <v>0</v>
      </c>
      <c r="AW296" s="1496">
        <f t="shared" si="128"/>
        <v>0</v>
      </c>
      <c r="AX296" s="14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5"/>
      <c r="AV297" s="1496">
        <f t="shared" si="127"/>
        <v>0</v>
      </c>
      <c r="AW297" s="1496">
        <f t="shared" si="128"/>
        <v>0</v>
      </c>
      <c r="AX297" s="14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5"/>
      <c r="AV298" s="1496">
        <f t="shared" si="127"/>
        <v>0</v>
      </c>
      <c r="AW298" s="1496">
        <f t="shared" si="128"/>
        <v>0</v>
      </c>
      <c r="AX298" s="14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5"/>
      <c r="AV299" s="1496">
        <f t="shared" si="127"/>
        <v>0</v>
      </c>
      <c r="AW299" s="1496">
        <f t="shared" si="128"/>
        <v>0</v>
      </c>
      <c r="AX299" s="14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5"/>
      <c r="AV300" s="1496">
        <f t="shared" si="127"/>
        <v>0</v>
      </c>
      <c r="AW300" s="1496">
        <f t="shared" si="128"/>
        <v>0</v>
      </c>
      <c r="AX300" s="14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5"/>
      <c r="AV301" s="1496">
        <f t="shared" si="127"/>
        <v>0</v>
      </c>
      <c r="AW301" s="1496">
        <f t="shared" si="128"/>
        <v>0</v>
      </c>
      <c r="AX301" s="14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5"/>
      <c r="AV302" s="1496">
        <f t="shared" si="127"/>
        <v>0</v>
      </c>
      <c r="AW302" s="1496">
        <f t="shared" si="128"/>
        <v>0</v>
      </c>
      <c r="AX302" s="14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5"/>
      <c r="AV303" s="1496">
        <f t="shared" ref="AV303:AV334" si="178">A303</f>
        <v>0</v>
      </c>
      <c r="AW303" s="1496">
        <f t="shared" ref="AW303:AW334" si="179">B303</f>
        <v>0</v>
      </c>
      <c r="AX303" s="14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5"/>
      <c r="AV304" s="1496">
        <f t="shared" si="178"/>
        <v>0</v>
      </c>
      <c r="AW304" s="1496">
        <f t="shared" si="179"/>
        <v>0</v>
      </c>
      <c r="AX304" s="14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5"/>
      <c r="AV305" s="1496">
        <f t="shared" si="178"/>
        <v>0</v>
      </c>
      <c r="AW305" s="1496">
        <f t="shared" si="179"/>
        <v>0</v>
      </c>
      <c r="AX305" s="14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5"/>
      <c r="AV306" s="1496">
        <f t="shared" si="178"/>
        <v>0</v>
      </c>
      <c r="AW306" s="1496">
        <f t="shared" si="179"/>
        <v>0</v>
      </c>
      <c r="AX306" s="14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5"/>
      <c r="AV307" s="1496">
        <f t="shared" si="178"/>
        <v>0</v>
      </c>
      <c r="AW307" s="1496">
        <f t="shared" si="179"/>
        <v>0</v>
      </c>
      <c r="AX307" s="14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5"/>
      <c r="AV308" s="1496">
        <f t="shared" si="178"/>
        <v>0</v>
      </c>
      <c r="AW308" s="1496">
        <f t="shared" si="179"/>
        <v>0</v>
      </c>
      <c r="AX308" s="14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5"/>
      <c r="AV309" s="1496">
        <f t="shared" si="178"/>
        <v>0</v>
      </c>
      <c r="AW309" s="1496">
        <f t="shared" si="179"/>
        <v>0</v>
      </c>
      <c r="AX309" s="14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5"/>
      <c r="AV310" s="1496">
        <f t="shared" si="178"/>
        <v>0</v>
      </c>
      <c r="AW310" s="1496">
        <f t="shared" si="179"/>
        <v>0</v>
      </c>
      <c r="AX310" s="14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5"/>
      <c r="AV311" s="1496">
        <f t="shared" si="178"/>
        <v>0</v>
      </c>
      <c r="AW311" s="1496">
        <f t="shared" si="179"/>
        <v>0</v>
      </c>
      <c r="AX311" s="14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5"/>
      <c r="AV312" s="1496">
        <f t="shared" si="178"/>
        <v>0</v>
      </c>
      <c r="AW312" s="1496">
        <f t="shared" si="179"/>
        <v>0</v>
      </c>
      <c r="AX312" s="14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5"/>
      <c r="AV313" s="1496">
        <f t="shared" si="178"/>
        <v>0</v>
      </c>
      <c r="AW313" s="1496">
        <f t="shared" si="179"/>
        <v>0</v>
      </c>
      <c r="AX313" s="14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5"/>
      <c r="AV314" s="1496">
        <f t="shared" si="178"/>
        <v>0</v>
      </c>
      <c r="AW314" s="1496">
        <f t="shared" si="179"/>
        <v>0</v>
      </c>
      <c r="AX314" s="14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5"/>
      <c r="AV315" s="1496">
        <f t="shared" si="178"/>
        <v>0</v>
      </c>
      <c r="AW315" s="1496">
        <f t="shared" si="179"/>
        <v>0</v>
      </c>
      <c r="AX315" s="14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5"/>
      <c r="AV316" s="1496">
        <f t="shared" si="178"/>
        <v>0</v>
      </c>
      <c r="AW316" s="1496">
        <f t="shared" si="179"/>
        <v>0</v>
      </c>
      <c r="AX316" s="14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5"/>
      <c r="AV317" s="1496">
        <f t="shared" si="178"/>
        <v>0</v>
      </c>
      <c r="AW317" s="1496">
        <f t="shared" si="179"/>
        <v>0</v>
      </c>
      <c r="AX317" s="14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5"/>
      <c r="AV318" s="1496">
        <f t="shared" si="178"/>
        <v>0</v>
      </c>
      <c r="AW318" s="1496">
        <f t="shared" si="179"/>
        <v>0</v>
      </c>
      <c r="AX318" s="14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5"/>
      <c r="AV319" s="1496">
        <f t="shared" si="178"/>
        <v>0</v>
      </c>
      <c r="AW319" s="1496">
        <f t="shared" si="179"/>
        <v>0</v>
      </c>
      <c r="AX319" s="14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5"/>
      <c r="AV320" s="1496">
        <f t="shared" si="178"/>
        <v>0</v>
      </c>
      <c r="AW320" s="1496">
        <f t="shared" si="179"/>
        <v>0</v>
      </c>
      <c r="AX320" s="14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5"/>
      <c r="AV321" s="1496">
        <f t="shared" si="178"/>
        <v>0</v>
      </c>
      <c r="AW321" s="1496">
        <f t="shared" si="179"/>
        <v>0</v>
      </c>
      <c r="AX321" s="14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5"/>
      <c r="AV322" s="1496">
        <f t="shared" si="178"/>
        <v>0</v>
      </c>
      <c r="AW322" s="1496">
        <f t="shared" si="179"/>
        <v>0</v>
      </c>
      <c r="AX322" s="14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5"/>
      <c r="AV323" s="1496">
        <f t="shared" si="178"/>
        <v>0</v>
      </c>
      <c r="AW323" s="1496">
        <f t="shared" si="179"/>
        <v>0</v>
      </c>
      <c r="AX323" s="14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5"/>
      <c r="AV324" s="1496">
        <f t="shared" si="178"/>
        <v>0</v>
      </c>
      <c r="AW324" s="1496">
        <f t="shared" si="179"/>
        <v>0</v>
      </c>
      <c r="AX324" s="14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5"/>
      <c r="AV325" s="1496">
        <f t="shared" si="178"/>
        <v>0</v>
      </c>
      <c r="AW325" s="1496">
        <f t="shared" si="179"/>
        <v>0</v>
      </c>
      <c r="AX325" s="14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5"/>
      <c r="AV326" s="1496">
        <f t="shared" si="178"/>
        <v>0</v>
      </c>
      <c r="AW326" s="1496">
        <f t="shared" si="179"/>
        <v>0</v>
      </c>
      <c r="AX326" s="14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5"/>
      <c r="AV327" s="1496">
        <f t="shared" si="178"/>
        <v>0</v>
      </c>
      <c r="AW327" s="1496">
        <f t="shared" si="179"/>
        <v>0</v>
      </c>
      <c r="AX327" s="14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5"/>
      <c r="AV328" s="1496">
        <f t="shared" si="178"/>
        <v>0</v>
      </c>
      <c r="AW328" s="1496">
        <f t="shared" si="179"/>
        <v>0</v>
      </c>
      <c r="AX328" s="14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5"/>
      <c r="AV329" s="1496">
        <f t="shared" si="178"/>
        <v>0</v>
      </c>
      <c r="AW329" s="1496">
        <f t="shared" si="179"/>
        <v>0</v>
      </c>
      <c r="AX329" s="14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5"/>
      <c r="AV330" s="1496">
        <f t="shared" si="178"/>
        <v>0</v>
      </c>
      <c r="AW330" s="1496">
        <f t="shared" si="179"/>
        <v>0</v>
      </c>
      <c r="AX330" s="14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5"/>
      <c r="AV331" s="1496">
        <f t="shared" si="178"/>
        <v>0</v>
      </c>
      <c r="AW331" s="1496">
        <f t="shared" si="179"/>
        <v>0</v>
      </c>
      <c r="AX331" s="14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5"/>
      <c r="AV332" s="1496">
        <f t="shared" si="178"/>
        <v>0</v>
      </c>
      <c r="AW332" s="1496">
        <f t="shared" si="179"/>
        <v>0</v>
      </c>
      <c r="AX332" s="14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5"/>
      <c r="AV333" s="1496">
        <f t="shared" si="178"/>
        <v>0</v>
      </c>
      <c r="AW333" s="1496">
        <f t="shared" si="179"/>
        <v>0</v>
      </c>
      <c r="AX333" s="14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5"/>
      <c r="AV334" s="1496">
        <f t="shared" si="178"/>
        <v>0</v>
      </c>
      <c r="AW334" s="1496">
        <f t="shared" si="179"/>
        <v>0</v>
      </c>
      <c r="AX334" s="14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5"/>
      <c r="AV335" s="1496">
        <f t="shared" ref="AV335:AV366" si="207">A335</f>
        <v>0</v>
      </c>
      <c r="AW335" s="1496">
        <f t="shared" ref="AW335:AW366" si="208">B335</f>
        <v>0</v>
      </c>
      <c r="AX335" s="14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5"/>
      <c r="AV336" s="1496">
        <f t="shared" si="207"/>
        <v>0</v>
      </c>
      <c r="AW336" s="1496">
        <f t="shared" si="208"/>
        <v>0</v>
      </c>
      <c r="AX336" s="14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5"/>
      <c r="AV337" s="1496">
        <f t="shared" si="207"/>
        <v>0</v>
      </c>
      <c r="AW337" s="1496">
        <f t="shared" si="208"/>
        <v>0</v>
      </c>
      <c r="AX337" s="14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5"/>
      <c r="AV338" s="1496">
        <f t="shared" si="207"/>
        <v>0</v>
      </c>
      <c r="AW338" s="1496">
        <f t="shared" si="208"/>
        <v>0</v>
      </c>
      <c r="AX338" s="14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5"/>
      <c r="AV339" s="1496">
        <f t="shared" si="207"/>
        <v>0</v>
      </c>
      <c r="AW339" s="1496">
        <f t="shared" si="208"/>
        <v>0</v>
      </c>
      <c r="AX339" s="14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5"/>
      <c r="AV340" s="1496">
        <f t="shared" si="207"/>
        <v>0</v>
      </c>
      <c r="AW340" s="1496">
        <f t="shared" si="208"/>
        <v>0</v>
      </c>
      <c r="AX340" s="14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5"/>
      <c r="AV341" s="1496">
        <f t="shared" si="207"/>
        <v>0</v>
      </c>
      <c r="AW341" s="1496">
        <f t="shared" si="208"/>
        <v>0</v>
      </c>
      <c r="AX341" s="14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5"/>
      <c r="AV342" s="1496">
        <f t="shared" si="207"/>
        <v>0</v>
      </c>
      <c r="AW342" s="1496">
        <f t="shared" si="208"/>
        <v>0</v>
      </c>
      <c r="AX342" s="14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5"/>
      <c r="AV343" s="1496">
        <f t="shared" si="207"/>
        <v>0</v>
      </c>
      <c r="AW343" s="1496">
        <f t="shared" si="208"/>
        <v>0</v>
      </c>
      <c r="AX343" s="14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5"/>
      <c r="AV344" s="1496">
        <f t="shared" si="207"/>
        <v>0</v>
      </c>
      <c r="AW344" s="1496">
        <f t="shared" si="208"/>
        <v>0</v>
      </c>
      <c r="AX344" s="14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5"/>
      <c r="AV345" s="1496">
        <f t="shared" si="207"/>
        <v>0</v>
      </c>
      <c r="AW345" s="1496">
        <f t="shared" si="208"/>
        <v>0</v>
      </c>
      <c r="AX345" s="14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5"/>
      <c r="AV346" s="1496">
        <f t="shared" si="207"/>
        <v>0</v>
      </c>
      <c r="AW346" s="1496">
        <f t="shared" si="208"/>
        <v>0</v>
      </c>
      <c r="AX346" s="14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5"/>
      <c r="AV347" s="1496">
        <f t="shared" si="207"/>
        <v>0</v>
      </c>
      <c r="AW347" s="1496">
        <f t="shared" si="208"/>
        <v>0</v>
      </c>
      <c r="AX347" s="14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5"/>
      <c r="AV348" s="1496">
        <f t="shared" si="207"/>
        <v>0</v>
      </c>
      <c r="AW348" s="1496">
        <f t="shared" si="208"/>
        <v>0</v>
      </c>
      <c r="AX348" s="14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5"/>
      <c r="AV349" s="1496">
        <f t="shared" si="207"/>
        <v>0</v>
      </c>
      <c r="AW349" s="1496">
        <f t="shared" si="208"/>
        <v>0</v>
      </c>
      <c r="AX349" s="14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5"/>
      <c r="AV350" s="1496">
        <f t="shared" si="207"/>
        <v>0</v>
      </c>
      <c r="AW350" s="1496">
        <f t="shared" si="208"/>
        <v>0</v>
      </c>
      <c r="AX350" s="14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5"/>
      <c r="AV351" s="1496">
        <f t="shared" si="207"/>
        <v>0</v>
      </c>
      <c r="AW351" s="1496">
        <f t="shared" si="208"/>
        <v>0</v>
      </c>
      <c r="AX351" s="14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5"/>
      <c r="AV352" s="1496">
        <f t="shared" si="207"/>
        <v>0</v>
      </c>
      <c r="AW352" s="1496">
        <f t="shared" si="208"/>
        <v>0</v>
      </c>
      <c r="AX352" s="14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5"/>
      <c r="AV353" s="1496">
        <f t="shared" si="207"/>
        <v>0</v>
      </c>
      <c r="AW353" s="1496">
        <f t="shared" si="208"/>
        <v>0</v>
      </c>
      <c r="AX353" s="14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5"/>
      <c r="AV354" s="1496">
        <f t="shared" si="207"/>
        <v>0</v>
      </c>
      <c r="AW354" s="1496">
        <f t="shared" si="208"/>
        <v>0</v>
      </c>
      <c r="AX354" s="14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5"/>
      <c r="AV355" s="1496">
        <f t="shared" si="207"/>
        <v>0</v>
      </c>
      <c r="AW355" s="1496">
        <f t="shared" si="208"/>
        <v>0</v>
      </c>
      <c r="AX355" s="14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5"/>
      <c r="AV356" s="1496">
        <f t="shared" si="207"/>
        <v>0</v>
      </c>
      <c r="AW356" s="1496">
        <f t="shared" si="208"/>
        <v>0</v>
      </c>
      <c r="AX356" s="14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5"/>
      <c r="AV357" s="1496">
        <f t="shared" si="207"/>
        <v>0</v>
      </c>
      <c r="AW357" s="1496">
        <f t="shared" si="208"/>
        <v>0</v>
      </c>
      <c r="AX357" s="14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5"/>
      <c r="AV358" s="1496">
        <f t="shared" si="207"/>
        <v>0</v>
      </c>
      <c r="AW358" s="1496">
        <f t="shared" si="208"/>
        <v>0</v>
      </c>
      <c r="AX358" s="14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5"/>
      <c r="AV359" s="1496">
        <f t="shared" si="207"/>
        <v>0</v>
      </c>
      <c r="AW359" s="1496">
        <f t="shared" si="208"/>
        <v>0</v>
      </c>
      <c r="AX359" s="14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5"/>
      <c r="AV360" s="1496">
        <f t="shared" si="207"/>
        <v>0</v>
      </c>
      <c r="AW360" s="1496">
        <f t="shared" si="208"/>
        <v>0</v>
      </c>
      <c r="AX360" s="14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5"/>
      <c r="AV361" s="1496">
        <f t="shared" si="207"/>
        <v>0</v>
      </c>
      <c r="AW361" s="1496">
        <f t="shared" si="208"/>
        <v>0</v>
      </c>
      <c r="AX361" s="14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5"/>
      <c r="AV362" s="1496">
        <f t="shared" si="207"/>
        <v>0</v>
      </c>
      <c r="AW362" s="1496">
        <f t="shared" si="208"/>
        <v>0</v>
      </c>
      <c r="AX362" s="14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5"/>
      <c r="AV363" s="1496">
        <f t="shared" si="207"/>
        <v>0</v>
      </c>
      <c r="AW363" s="1496">
        <f t="shared" si="208"/>
        <v>0</v>
      </c>
      <c r="AX363" s="14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5"/>
      <c r="AV364" s="1496">
        <f t="shared" si="207"/>
        <v>0</v>
      </c>
      <c r="AW364" s="1496">
        <f t="shared" si="208"/>
        <v>0</v>
      </c>
      <c r="AX364" s="14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5"/>
      <c r="AV365" s="1496">
        <f t="shared" si="207"/>
        <v>0</v>
      </c>
      <c r="AW365" s="1496">
        <f t="shared" si="208"/>
        <v>0</v>
      </c>
      <c r="AX365" s="14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5"/>
      <c r="AV366" s="1496">
        <f t="shared" si="207"/>
        <v>0</v>
      </c>
      <c r="AW366" s="1496">
        <f t="shared" si="208"/>
        <v>0</v>
      </c>
      <c r="AX366" s="14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5"/>
      <c r="AV367" s="1496">
        <f t="shared" ref="AV367:AV397" si="236">A367</f>
        <v>0</v>
      </c>
      <c r="AW367" s="1496">
        <f t="shared" ref="AW367:AW397" si="237">B367</f>
        <v>0</v>
      </c>
      <c r="AX367" s="14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5"/>
      <c r="AV368" s="1496">
        <f t="shared" si="236"/>
        <v>0</v>
      </c>
      <c r="AW368" s="1496">
        <f t="shared" si="237"/>
        <v>0</v>
      </c>
      <c r="AX368" s="14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5"/>
      <c r="AV369" s="1496">
        <f t="shared" si="236"/>
        <v>0</v>
      </c>
      <c r="AW369" s="1496">
        <f t="shared" si="237"/>
        <v>0</v>
      </c>
      <c r="AX369" s="14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5"/>
      <c r="AV370" s="1496">
        <f t="shared" si="236"/>
        <v>0</v>
      </c>
      <c r="AW370" s="1496">
        <f t="shared" si="237"/>
        <v>0</v>
      </c>
      <c r="AX370" s="14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5"/>
      <c r="AV371" s="1496">
        <f t="shared" si="236"/>
        <v>0</v>
      </c>
      <c r="AW371" s="1496">
        <f t="shared" si="237"/>
        <v>0</v>
      </c>
      <c r="AX371" s="14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5"/>
      <c r="AV372" s="1496">
        <f t="shared" si="236"/>
        <v>0</v>
      </c>
      <c r="AW372" s="1496">
        <f t="shared" si="237"/>
        <v>0</v>
      </c>
      <c r="AX372" s="14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5"/>
      <c r="AV373" s="1496">
        <f t="shared" si="236"/>
        <v>0</v>
      </c>
      <c r="AW373" s="1496">
        <f t="shared" si="237"/>
        <v>0</v>
      </c>
      <c r="AX373" s="14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5"/>
      <c r="AV374" s="1496">
        <f t="shared" si="236"/>
        <v>0</v>
      </c>
      <c r="AW374" s="1496">
        <f t="shared" si="237"/>
        <v>0</v>
      </c>
      <c r="AX374" s="14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5"/>
      <c r="AV375" s="1496">
        <f t="shared" si="236"/>
        <v>0</v>
      </c>
      <c r="AW375" s="1496">
        <f t="shared" si="237"/>
        <v>0</v>
      </c>
      <c r="AX375" s="14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5"/>
      <c r="AV376" s="1496">
        <f t="shared" si="236"/>
        <v>0</v>
      </c>
      <c r="AW376" s="1496">
        <f t="shared" si="237"/>
        <v>0</v>
      </c>
      <c r="AX376" s="14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5"/>
      <c r="AV377" s="1496">
        <f t="shared" si="236"/>
        <v>0</v>
      </c>
      <c r="AW377" s="1496">
        <f t="shared" si="237"/>
        <v>0</v>
      </c>
      <c r="AX377" s="14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5"/>
      <c r="AV378" s="1496">
        <f t="shared" si="236"/>
        <v>0</v>
      </c>
      <c r="AW378" s="1496">
        <f t="shared" si="237"/>
        <v>0</v>
      </c>
      <c r="AX378" s="14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5"/>
      <c r="AV379" s="1496">
        <f t="shared" si="236"/>
        <v>0</v>
      </c>
      <c r="AW379" s="1496">
        <f t="shared" si="237"/>
        <v>0</v>
      </c>
      <c r="AX379" s="14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5"/>
      <c r="AV380" s="1496">
        <f t="shared" si="236"/>
        <v>0</v>
      </c>
      <c r="AW380" s="1496">
        <f t="shared" si="237"/>
        <v>0</v>
      </c>
      <c r="AX380" s="14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5"/>
      <c r="AV381" s="1496">
        <f t="shared" si="236"/>
        <v>0</v>
      </c>
      <c r="AW381" s="1496">
        <f t="shared" si="237"/>
        <v>0</v>
      </c>
      <c r="AX381" s="14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5"/>
      <c r="AV382" s="1496">
        <f t="shared" si="236"/>
        <v>0</v>
      </c>
      <c r="AW382" s="1496">
        <f t="shared" si="237"/>
        <v>0</v>
      </c>
      <c r="AX382" s="14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5"/>
      <c r="AV383" s="1496">
        <f t="shared" si="236"/>
        <v>0</v>
      </c>
      <c r="AW383" s="1496">
        <f t="shared" si="237"/>
        <v>0</v>
      </c>
      <c r="AX383" s="14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5"/>
      <c r="AV384" s="1496">
        <f t="shared" si="236"/>
        <v>0</v>
      </c>
      <c r="AW384" s="1496">
        <f t="shared" si="237"/>
        <v>0</v>
      </c>
      <c r="AX384" s="14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5"/>
      <c r="AV385" s="1496">
        <f t="shared" si="236"/>
        <v>0</v>
      </c>
      <c r="AW385" s="1496">
        <f t="shared" si="237"/>
        <v>0</v>
      </c>
      <c r="AX385" s="14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5"/>
      <c r="AV386" s="1496">
        <f t="shared" si="236"/>
        <v>0</v>
      </c>
      <c r="AW386" s="1496">
        <f t="shared" si="237"/>
        <v>0</v>
      </c>
      <c r="AX386" s="14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5"/>
      <c r="AV387" s="1496">
        <f t="shared" si="236"/>
        <v>0</v>
      </c>
      <c r="AW387" s="1496">
        <f t="shared" si="237"/>
        <v>0</v>
      </c>
      <c r="AX387" s="14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5"/>
      <c r="AV388" s="1496">
        <f t="shared" si="236"/>
        <v>0</v>
      </c>
      <c r="AW388" s="1496">
        <f t="shared" si="237"/>
        <v>0</v>
      </c>
      <c r="AX388" s="14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5"/>
      <c r="AV389" s="1496">
        <f t="shared" si="236"/>
        <v>0</v>
      </c>
      <c r="AW389" s="1496">
        <f t="shared" si="237"/>
        <v>0</v>
      </c>
      <c r="AX389" s="14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5"/>
      <c r="AV390" s="1496">
        <f t="shared" si="236"/>
        <v>0</v>
      </c>
      <c r="AW390" s="1496">
        <f t="shared" si="237"/>
        <v>0</v>
      </c>
      <c r="AX390" s="14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5"/>
      <c r="AV391" s="1496">
        <f t="shared" si="236"/>
        <v>0</v>
      </c>
      <c r="AW391" s="1496">
        <f t="shared" si="237"/>
        <v>0</v>
      </c>
      <c r="AX391" s="14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5"/>
      <c r="AV392" s="1496">
        <f t="shared" si="236"/>
        <v>0</v>
      </c>
      <c r="AW392" s="1496">
        <f t="shared" si="237"/>
        <v>0</v>
      </c>
      <c r="AX392" s="14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5"/>
      <c r="AV393" s="1496">
        <f t="shared" si="236"/>
        <v>0</v>
      </c>
      <c r="AW393" s="1496">
        <f t="shared" si="237"/>
        <v>0</v>
      </c>
      <c r="AX393" s="14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5"/>
      <c r="AV394" s="1496">
        <f t="shared" si="236"/>
        <v>0</v>
      </c>
      <c r="AW394" s="1496">
        <f t="shared" si="237"/>
        <v>0</v>
      </c>
      <c r="AX394" s="14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5"/>
      <c r="AV395" s="1496">
        <f t="shared" si="236"/>
        <v>0</v>
      </c>
      <c r="AW395" s="1496">
        <f t="shared" si="237"/>
        <v>0</v>
      </c>
      <c r="AX395" s="14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5"/>
      <c r="AV396" s="1496">
        <f t="shared" si="236"/>
        <v>0</v>
      </c>
      <c r="AW396" s="1496">
        <f t="shared" si="237"/>
        <v>0</v>
      </c>
      <c r="AX396" s="14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5"/>
      <c r="AV397" s="1496">
        <f t="shared" si="236"/>
        <v>0</v>
      </c>
      <c r="AW397" s="1496">
        <f t="shared" si="237"/>
        <v>0</v>
      </c>
      <c r="AX397" s="14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5"/>
      <c r="AV398" s="1496">
        <f t="shared" ref="AV398:AV492" si="243">A398</f>
        <v>0</v>
      </c>
      <c r="AW398" s="1496">
        <f t="shared" ref="AW398:AW492" si="244">B398</f>
        <v>0</v>
      </c>
      <c r="AX398" s="14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5"/>
      <c r="AV399" s="1496">
        <f t="shared" si="243"/>
        <v>0</v>
      </c>
      <c r="AW399" s="1496">
        <f t="shared" si="244"/>
        <v>0</v>
      </c>
      <c r="AX399" s="14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5"/>
      <c r="AV400" s="1496">
        <f t="shared" si="243"/>
        <v>0</v>
      </c>
      <c r="AW400" s="1496">
        <f t="shared" si="244"/>
        <v>0</v>
      </c>
      <c r="AX400" s="14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5"/>
      <c r="AV401" s="1496">
        <f t="shared" si="243"/>
        <v>0</v>
      </c>
      <c r="AW401" s="1496">
        <f t="shared" si="244"/>
        <v>0</v>
      </c>
      <c r="AX401" s="14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5"/>
      <c r="AV402" s="1496">
        <f t="shared" si="243"/>
        <v>0</v>
      </c>
      <c r="AW402" s="1496">
        <f t="shared" si="244"/>
        <v>0</v>
      </c>
      <c r="AX402" s="14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5"/>
      <c r="AV403" s="1496">
        <f t="shared" si="243"/>
        <v>0</v>
      </c>
      <c r="AW403" s="1496">
        <f t="shared" si="244"/>
        <v>0</v>
      </c>
      <c r="AX403" s="14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5"/>
      <c r="AV404" s="1496">
        <f t="shared" si="243"/>
        <v>0</v>
      </c>
      <c r="AW404" s="1496">
        <f t="shared" si="244"/>
        <v>0</v>
      </c>
      <c r="AX404" s="14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5"/>
      <c r="AV405" s="1496">
        <f t="shared" si="243"/>
        <v>0</v>
      </c>
      <c r="AW405" s="1496">
        <f t="shared" si="244"/>
        <v>0</v>
      </c>
      <c r="AX405" s="14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5"/>
      <c r="AV406" s="1496">
        <f t="shared" si="243"/>
        <v>0</v>
      </c>
      <c r="AW406" s="1496">
        <f t="shared" si="244"/>
        <v>0</v>
      </c>
      <c r="AX406" s="14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5"/>
      <c r="AV407" s="1496">
        <f t="shared" si="243"/>
        <v>0</v>
      </c>
      <c r="AW407" s="1496">
        <f t="shared" si="244"/>
        <v>0</v>
      </c>
      <c r="AX407" s="14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5"/>
      <c r="AV408" s="1496">
        <f t="shared" si="243"/>
        <v>0</v>
      </c>
      <c r="AW408" s="1496">
        <f t="shared" si="244"/>
        <v>0</v>
      </c>
      <c r="AX408" s="14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5"/>
      <c r="AV409" s="1496">
        <f t="shared" si="243"/>
        <v>0</v>
      </c>
      <c r="AW409" s="1496">
        <f t="shared" si="244"/>
        <v>0</v>
      </c>
      <c r="AX409" s="14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5"/>
      <c r="AV410" s="1496">
        <f t="shared" si="243"/>
        <v>0</v>
      </c>
      <c r="AW410" s="1496">
        <f t="shared" si="244"/>
        <v>0</v>
      </c>
      <c r="AX410" s="14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5"/>
      <c r="AV411" s="1496">
        <f t="shared" si="243"/>
        <v>0</v>
      </c>
      <c r="AW411" s="1496">
        <f t="shared" si="244"/>
        <v>0</v>
      </c>
      <c r="AX411" s="14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5"/>
      <c r="AV412" s="1496">
        <f t="shared" si="243"/>
        <v>0</v>
      </c>
      <c r="AW412" s="1496">
        <f t="shared" si="244"/>
        <v>0</v>
      </c>
      <c r="AX412" s="14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5"/>
      <c r="AV413" s="1496">
        <f t="shared" si="243"/>
        <v>0</v>
      </c>
      <c r="AW413" s="1496">
        <f t="shared" si="244"/>
        <v>0</v>
      </c>
      <c r="AX413" s="14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5"/>
      <c r="AV414" s="1496">
        <f t="shared" si="243"/>
        <v>0</v>
      </c>
      <c r="AW414" s="1496">
        <f t="shared" si="244"/>
        <v>0</v>
      </c>
      <c r="AX414" s="14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5"/>
      <c r="AV415" s="1496">
        <f t="shared" si="243"/>
        <v>0</v>
      </c>
      <c r="AW415" s="1496">
        <f t="shared" si="244"/>
        <v>0</v>
      </c>
      <c r="AX415" s="14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5"/>
      <c r="AV416" s="1496">
        <f t="shared" si="243"/>
        <v>0</v>
      </c>
      <c r="AW416" s="1496">
        <f t="shared" si="244"/>
        <v>0</v>
      </c>
      <c r="AX416" s="14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5"/>
      <c r="AV417" s="1496">
        <f t="shared" si="243"/>
        <v>0</v>
      </c>
      <c r="AW417" s="1496">
        <f t="shared" si="244"/>
        <v>0</v>
      </c>
      <c r="AX417" s="14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5"/>
      <c r="AV418" s="1496">
        <f t="shared" si="243"/>
        <v>0</v>
      </c>
      <c r="AW418" s="1496">
        <f t="shared" si="244"/>
        <v>0</v>
      </c>
      <c r="AX418" s="14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5"/>
      <c r="AV419" s="1496">
        <f t="shared" si="243"/>
        <v>0</v>
      </c>
      <c r="AW419" s="1496">
        <f t="shared" si="244"/>
        <v>0</v>
      </c>
      <c r="AX419" s="14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5"/>
      <c r="AV420" s="1496">
        <f t="shared" si="243"/>
        <v>0</v>
      </c>
      <c r="AW420" s="1496">
        <f t="shared" si="244"/>
        <v>0</v>
      </c>
      <c r="AX420" s="14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5"/>
      <c r="AV421" s="1496">
        <f t="shared" si="243"/>
        <v>0</v>
      </c>
      <c r="AW421" s="1496">
        <f t="shared" si="244"/>
        <v>0</v>
      </c>
      <c r="AX421" s="14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5"/>
      <c r="AV422" s="1496">
        <f t="shared" si="243"/>
        <v>0</v>
      </c>
      <c r="AW422" s="1496">
        <f t="shared" si="244"/>
        <v>0</v>
      </c>
      <c r="AX422" s="14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5"/>
      <c r="AV423" s="1496">
        <f t="shared" si="243"/>
        <v>0</v>
      </c>
      <c r="AW423" s="1496">
        <f t="shared" si="244"/>
        <v>0</v>
      </c>
      <c r="AX423" s="14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5"/>
      <c r="AV424" s="1496">
        <f t="shared" si="243"/>
        <v>0</v>
      </c>
      <c r="AW424" s="1496">
        <f t="shared" si="244"/>
        <v>0</v>
      </c>
      <c r="AX424" s="14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5"/>
      <c r="AV425" s="1496">
        <f t="shared" si="243"/>
        <v>0</v>
      </c>
      <c r="AW425" s="1496">
        <f t="shared" si="244"/>
        <v>0</v>
      </c>
      <c r="AX425" s="14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5"/>
      <c r="AV426" s="1496">
        <f t="shared" si="243"/>
        <v>0</v>
      </c>
      <c r="AW426" s="1496">
        <f t="shared" si="244"/>
        <v>0</v>
      </c>
      <c r="AX426" s="14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5"/>
      <c r="AV427" s="1496">
        <f t="shared" si="243"/>
        <v>0</v>
      </c>
      <c r="AW427" s="1496">
        <f t="shared" si="244"/>
        <v>0</v>
      </c>
      <c r="AX427" s="14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5"/>
      <c r="AV428" s="1496">
        <f t="shared" si="243"/>
        <v>0</v>
      </c>
      <c r="AW428" s="1496">
        <f t="shared" si="244"/>
        <v>0</v>
      </c>
      <c r="AX428" s="14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5"/>
      <c r="AV429" s="1496">
        <f t="shared" si="243"/>
        <v>0</v>
      </c>
      <c r="AW429" s="1496">
        <f t="shared" si="244"/>
        <v>0</v>
      </c>
      <c r="AX429" s="14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5"/>
      <c r="AV430" s="1496">
        <f t="shared" si="243"/>
        <v>0</v>
      </c>
      <c r="AW430" s="1496">
        <f t="shared" si="244"/>
        <v>0</v>
      </c>
      <c r="AX430" s="14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5"/>
      <c r="AV431" s="1496">
        <f t="shared" si="243"/>
        <v>0</v>
      </c>
      <c r="AW431" s="1496">
        <f t="shared" si="244"/>
        <v>0</v>
      </c>
      <c r="AX431" s="14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5"/>
      <c r="AV432" s="1496">
        <f t="shared" si="243"/>
        <v>0</v>
      </c>
      <c r="AW432" s="1496">
        <f t="shared" si="244"/>
        <v>0</v>
      </c>
      <c r="AX432" s="14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5"/>
      <c r="AV433" s="1496">
        <f t="shared" si="243"/>
        <v>0</v>
      </c>
      <c r="AW433" s="1496">
        <f t="shared" si="244"/>
        <v>0</v>
      </c>
      <c r="AX433" s="14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5"/>
      <c r="AV434" s="1496">
        <f t="shared" si="243"/>
        <v>0</v>
      </c>
      <c r="AW434" s="1496">
        <f t="shared" si="244"/>
        <v>0</v>
      </c>
      <c r="AX434" s="14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5"/>
      <c r="AV435" s="1496">
        <f t="shared" si="243"/>
        <v>0</v>
      </c>
      <c r="AW435" s="1496">
        <f t="shared" si="244"/>
        <v>0</v>
      </c>
      <c r="AX435" s="14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5"/>
      <c r="AV436" s="1496">
        <f t="shared" si="243"/>
        <v>0</v>
      </c>
      <c r="AW436" s="1496">
        <f t="shared" si="244"/>
        <v>0</v>
      </c>
      <c r="AX436" s="14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5"/>
      <c r="AV437" s="1496">
        <f t="shared" si="243"/>
        <v>0</v>
      </c>
      <c r="AW437" s="1496">
        <f t="shared" si="244"/>
        <v>0</v>
      </c>
      <c r="AX437" s="14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5"/>
      <c r="AV438" s="1496">
        <f t="shared" si="243"/>
        <v>0</v>
      </c>
      <c r="AW438" s="1496">
        <f t="shared" si="244"/>
        <v>0</v>
      </c>
      <c r="AX438" s="14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5"/>
      <c r="AV439" s="1496">
        <f t="shared" si="243"/>
        <v>0</v>
      </c>
      <c r="AW439" s="1496">
        <f t="shared" si="244"/>
        <v>0</v>
      </c>
      <c r="AX439" s="14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5"/>
      <c r="AV440" s="1496">
        <f t="shared" si="243"/>
        <v>0</v>
      </c>
      <c r="AW440" s="1496">
        <f t="shared" si="244"/>
        <v>0</v>
      </c>
      <c r="AX440" s="14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5"/>
      <c r="AV441" s="1496">
        <f t="shared" si="243"/>
        <v>0</v>
      </c>
      <c r="AW441" s="1496">
        <f t="shared" si="244"/>
        <v>0</v>
      </c>
      <c r="AX441" s="14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5"/>
      <c r="AV442" s="1496">
        <f t="shared" si="243"/>
        <v>0</v>
      </c>
      <c r="AW442" s="1496">
        <f t="shared" si="244"/>
        <v>0</v>
      </c>
      <c r="AX442" s="14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5"/>
      <c r="AV443" s="1496">
        <f t="shared" si="243"/>
        <v>0</v>
      </c>
      <c r="AW443" s="1496">
        <f t="shared" si="244"/>
        <v>0</v>
      </c>
      <c r="AX443" s="14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5"/>
      <c r="AV444" s="1496">
        <f t="shared" si="243"/>
        <v>0</v>
      </c>
      <c r="AW444" s="1496">
        <f t="shared" si="244"/>
        <v>0</v>
      </c>
      <c r="AX444" s="14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5"/>
      <c r="AV445" s="1496">
        <f t="shared" si="243"/>
        <v>0</v>
      </c>
      <c r="AW445" s="1496">
        <f t="shared" si="244"/>
        <v>0</v>
      </c>
      <c r="AX445" s="14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5"/>
      <c r="AV446" s="1496">
        <f t="shared" si="243"/>
        <v>0</v>
      </c>
      <c r="AW446" s="1496">
        <f t="shared" si="244"/>
        <v>0</v>
      </c>
      <c r="AX446" s="14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5"/>
      <c r="AV447" s="1496">
        <f t="shared" si="243"/>
        <v>0</v>
      </c>
      <c r="AW447" s="1496">
        <f t="shared" si="244"/>
        <v>0</v>
      </c>
      <c r="AX447" s="14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5"/>
      <c r="AV448" s="1496">
        <f t="shared" si="243"/>
        <v>0</v>
      </c>
      <c r="AW448" s="1496">
        <f t="shared" si="244"/>
        <v>0</v>
      </c>
      <c r="AX448" s="14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5"/>
      <c r="AV449" s="1496">
        <f t="shared" si="243"/>
        <v>0</v>
      </c>
      <c r="AW449" s="1496">
        <f t="shared" si="244"/>
        <v>0</v>
      </c>
      <c r="AX449" s="14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5"/>
      <c r="AV450" s="1496">
        <f t="shared" si="243"/>
        <v>0</v>
      </c>
      <c r="AW450" s="1496">
        <f t="shared" si="244"/>
        <v>0</v>
      </c>
      <c r="AX450" s="14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5"/>
      <c r="AV451" s="1496">
        <f t="shared" si="243"/>
        <v>0</v>
      </c>
      <c r="AW451" s="1496">
        <f t="shared" si="244"/>
        <v>0</v>
      </c>
      <c r="AX451" s="14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5"/>
      <c r="AV452" s="1496">
        <f t="shared" si="243"/>
        <v>0</v>
      </c>
      <c r="AW452" s="1496">
        <f t="shared" si="244"/>
        <v>0</v>
      </c>
      <c r="AX452" s="14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5"/>
      <c r="AV453" s="1496">
        <f t="shared" si="243"/>
        <v>0</v>
      </c>
      <c r="AW453" s="1496">
        <f t="shared" si="244"/>
        <v>0</v>
      </c>
      <c r="AX453" s="14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5"/>
      <c r="AV454" s="1496">
        <f t="shared" si="243"/>
        <v>0</v>
      </c>
      <c r="AW454" s="1496">
        <f t="shared" si="244"/>
        <v>0</v>
      </c>
      <c r="AX454" s="14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5"/>
      <c r="AV455" s="1496">
        <f t="shared" si="243"/>
        <v>0</v>
      </c>
      <c r="AW455" s="1496">
        <f t="shared" si="244"/>
        <v>0</v>
      </c>
      <c r="AX455" s="14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5"/>
      <c r="AV456" s="1496">
        <f t="shared" si="243"/>
        <v>0</v>
      </c>
      <c r="AW456" s="1496">
        <f t="shared" si="244"/>
        <v>0</v>
      </c>
      <c r="AX456" s="14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5"/>
      <c r="AV457" s="1496">
        <f t="shared" si="243"/>
        <v>0</v>
      </c>
      <c r="AW457" s="1496">
        <f t="shared" si="244"/>
        <v>0</v>
      </c>
      <c r="AX457" s="14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5"/>
      <c r="AV458" s="1496">
        <f t="shared" si="243"/>
        <v>0</v>
      </c>
      <c r="AW458" s="1496">
        <f t="shared" si="244"/>
        <v>0</v>
      </c>
      <c r="AX458" s="14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5"/>
      <c r="AV459" s="1496">
        <f t="shared" si="243"/>
        <v>0</v>
      </c>
      <c r="AW459" s="1496">
        <f t="shared" si="244"/>
        <v>0</v>
      </c>
      <c r="AX459" s="14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5"/>
      <c r="AV460" s="1496">
        <f t="shared" si="243"/>
        <v>0</v>
      </c>
      <c r="AW460" s="1496">
        <f t="shared" si="244"/>
        <v>0</v>
      </c>
      <c r="AX460" s="14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5"/>
      <c r="AV461" s="1496">
        <f t="shared" si="243"/>
        <v>0</v>
      </c>
      <c r="AW461" s="1496">
        <f t="shared" si="244"/>
        <v>0</v>
      </c>
      <c r="AX461" s="14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5"/>
      <c r="AV462" s="1496">
        <f t="shared" si="243"/>
        <v>0</v>
      </c>
      <c r="AW462" s="1496">
        <f t="shared" si="244"/>
        <v>0</v>
      </c>
      <c r="AX462" s="14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5"/>
      <c r="AV463" s="1496">
        <f t="shared" si="243"/>
        <v>0</v>
      </c>
      <c r="AW463" s="1496">
        <f t="shared" si="244"/>
        <v>0</v>
      </c>
      <c r="AX463" s="14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5"/>
      <c r="AV464" s="1496">
        <f t="shared" si="243"/>
        <v>0</v>
      </c>
      <c r="AW464" s="1496">
        <f t="shared" si="244"/>
        <v>0</v>
      </c>
      <c r="AX464" s="14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5"/>
      <c r="AV465" s="1496">
        <f t="shared" si="243"/>
        <v>0</v>
      </c>
      <c r="AW465" s="1496">
        <f t="shared" si="244"/>
        <v>0</v>
      </c>
      <c r="AX465" s="14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5"/>
      <c r="AV466" s="1496">
        <f t="shared" si="243"/>
        <v>0</v>
      </c>
      <c r="AW466" s="1496">
        <f t="shared" si="244"/>
        <v>0</v>
      </c>
      <c r="AX466" s="14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5"/>
      <c r="AV467" s="1496">
        <f t="shared" si="243"/>
        <v>0</v>
      </c>
      <c r="AW467" s="1496">
        <f t="shared" si="244"/>
        <v>0</v>
      </c>
      <c r="AX467" s="14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5"/>
      <c r="AV468" s="1496">
        <f t="shared" si="243"/>
        <v>0</v>
      </c>
      <c r="AW468" s="1496">
        <f t="shared" si="244"/>
        <v>0</v>
      </c>
      <c r="AX468" s="14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5"/>
      <c r="AV469" s="1496">
        <f t="shared" si="243"/>
        <v>0</v>
      </c>
      <c r="AW469" s="1496">
        <f t="shared" si="244"/>
        <v>0</v>
      </c>
      <c r="AX469" s="14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5"/>
      <c r="AV470" s="1496">
        <f t="shared" si="243"/>
        <v>0</v>
      </c>
      <c r="AW470" s="1496">
        <f t="shared" si="244"/>
        <v>0</v>
      </c>
      <c r="AX470" s="14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5"/>
      <c r="AV471" s="1496">
        <f t="shared" si="243"/>
        <v>0</v>
      </c>
      <c r="AW471" s="1496">
        <f t="shared" si="244"/>
        <v>0</v>
      </c>
      <c r="AX471" s="14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5"/>
      <c r="AV472" s="1496">
        <f t="shared" si="243"/>
        <v>0</v>
      </c>
      <c r="AW472" s="1496">
        <f t="shared" si="244"/>
        <v>0</v>
      </c>
      <c r="AX472" s="14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5"/>
      <c r="AV473" s="1496">
        <f t="shared" si="243"/>
        <v>0</v>
      </c>
      <c r="AW473" s="1496">
        <f t="shared" si="244"/>
        <v>0</v>
      </c>
      <c r="AX473" s="14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5"/>
      <c r="AV474" s="1496">
        <f t="shared" si="243"/>
        <v>0</v>
      </c>
      <c r="AW474" s="1496">
        <f t="shared" si="244"/>
        <v>0</v>
      </c>
      <c r="AX474" s="14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5"/>
      <c r="AV475" s="1496">
        <f t="shared" si="243"/>
        <v>0</v>
      </c>
      <c r="AW475" s="1496">
        <f t="shared" si="244"/>
        <v>0</v>
      </c>
      <c r="AX475" s="14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5"/>
      <c r="AV476" s="1496">
        <f t="shared" si="243"/>
        <v>0</v>
      </c>
      <c r="AW476" s="1496">
        <f t="shared" si="244"/>
        <v>0</v>
      </c>
      <c r="AX476" s="14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5"/>
      <c r="AV477" s="1496">
        <f t="shared" si="243"/>
        <v>0</v>
      </c>
      <c r="AW477" s="1496">
        <f t="shared" si="244"/>
        <v>0</v>
      </c>
      <c r="AX477" s="14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5"/>
      <c r="AV478" s="1496">
        <f t="shared" si="243"/>
        <v>0</v>
      </c>
      <c r="AW478" s="1496">
        <f t="shared" si="244"/>
        <v>0</v>
      </c>
      <c r="AX478" s="14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5"/>
      <c r="AV479" s="1496">
        <f t="shared" si="243"/>
        <v>0</v>
      </c>
      <c r="AW479" s="1496">
        <f t="shared" si="244"/>
        <v>0</v>
      </c>
      <c r="AX479" s="14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5"/>
      <c r="AV480" s="1496">
        <f t="shared" si="243"/>
        <v>0</v>
      </c>
      <c r="AW480" s="1496">
        <f t="shared" si="244"/>
        <v>0</v>
      </c>
      <c r="AX480" s="14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5"/>
      <c r="AV481" s="1496">
        <f t="shared" si="243"/>
        <v>0</v>
      </c>
      <c r="AW481" s="1496">
        <f t="shared" si="244"/>
        <v>0</v>
      </c>
      <c r="AX481" s="14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5"/>
      <c r="AV482" s="1496">
        <f t="shared" si="243"/>
        <v>0</v>
      </c>
      <c r="AW482" s="1496">
        <f t="shared" si="244"/>
        <v>0</v>
      </c>
      <c r="AX482" s="14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5"/>
      <c r="AV483" s="1496">
        <f t="shared" si="243"/>
        <v>0</v>
      </c>
      <c r="AW483" s="1496">
        <f t="shared" si="244"/>
        <v>0</v>
      </c>
      <c r="AX483" s="14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5"/>
      <c r="AV484" s="1496">
        <f t="shared" si="243"/>
        <v>0</v>
      </c>
      <c r="AW484" s="1496">
        <f t="shared" si="244"/>
        <v>0</v>
      </c>
      <c r="AX484" s="14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5"/>
      <c r="AV485" s="1496">
        <f t="shared" si="243"/>
        <v>0</v>
      </c>
      <c r="AW485" s="1496">
        <f t="shared" si="244"/>
        <v>0</v>
      </c>
      <c r="AX485" s="14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5"/>
      <c r="AV486" s="1496">
        <f t="shared" si="243"/>
        <v>0</v>
      </c>
      <c r="AW486" s="1496">
        <f t="shared" si="244"/>
        <v>0</v>
      </c>
      <c r="AX486" s="14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5"/>
      <c r="AV487" s="1496">
        <f t="shared" si="243"/>
        <v>0</v>
      </c>
      <c r="AW487" s="1496">
        <f t="shared" si="244"/>
        <v>0</v>
      </c>
      <c r="AX487" s="14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5"/>
      <c r="AV488" s="1496">
        <f t="shared" si="243"/>
        <v>0</v>
      </c>
      <c r="AW488" s="1496">
        <f t="shared" si="244"/>
        <v>0</v>
      </c>
      <c r="AX488" s="14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5"/>
      <c r="AV489" s="1496">
        <f t="shared" si="243"/>
        <v>0</v>
      </c>
      <c r="AW489" s="1496">
        <f t="shared" si="244"/>
        <v>0</v>
      </c>
      <c r="AX489" s="14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5"/>
      <c r="AV490" s="1496">
        <f t="shared" si="243"/>
        <v>0</v>
      </c>
      <c r="AW490" s="1496">
        <f t="shared" si="244"/>
        <v>0</v>
      </c>
      <c r="AX490" s="14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5"/>
      <c r="AV491" s="1496">
        <f t="shared" si="243"/>
        <v>0</v>
      </c>
      <c r="AW491" s="1496">
        <f t="shared" si="244"/>
        <v>0</v>
      </c>
      <c r="AX491" s="14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5"/>
      <c r="AV492" s="1496">
        <f t="shared" si="243"/>
        <v>0</v>
      </c>
      <c r="AW492" s="1496">
        <f t="shared" si="244"/>
        <v>0</v>
      </c>
      <c r="AX492" s="14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5"/>
      <c r="AV493" s="1496">
        <f t="shared" ref="AV493:AV520" si="294">A493</f>
        <v>0</v>
      </c>
      <c r="AW493" s="1496">
        <f t="shared" ref="AW493:AW520" si="295">B493</f>
        <v>0</v>
      </c>
      <c r="AX493" s="14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5"/>
      <c r="AV494" s="1496">
        <f t="shared" si="294"/>
        <v>0</v>
      </c>
      <c r="AW494" s="1496">
        <f t="shared" si="295"/>
        <v>0</v>
      </c>
      <c r="AX494" s="14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5"/>
      <c r="AV495" s="1496">
        <f t="shared" si="294"/>
        <v>0</v>
      </c>
      <c r="AW495" s="1496">
        <f t="shared" si="295"/>
        <v>0</v>
      </c>
      <c r="AX495" s="14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5"/>
      <c r="AV496" s="1496">
        <f t="shared" si="294"/>
        <v>0</v>
      </c>
      <c r="AW496" s="1496">
        <f t="shared" si="295"/>
        <v>0</v>
      </c>
      <c r="AX496" s="14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5"/>
      <c r="AV497" s="1496">
        <f t="shared" si="294"/>
        <v>0</v>
      </c>
      <c r="AW497" s="1496">
        <f t="shared" si="295"/>
        <v>0</v>
      </c>
      <c r="AX497" s="14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5"/>
      <c r="AV498" s="1496">
        <f t="shared" si="294"/>
        <v>0</v>
      </c>
      <c r="AW498" s="1496">
        <f t="shared" si="295"/>
        <v>0</v>
      </c>
      <c r="AX498" s="14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5"/>
      <c r="AV499" s="1496">
        <f t="shared" si="294"/>
        <v>0</v>
      </c>
      <c r="AW499" s="1496">
        <f t="shared" si="295"/>
        <v>0</v>
      </c>
      <c r="AX499" s="14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5"/>
      <c r="AV500" s="1496">
        <f t="shared" si="294"/>
        <v>0</v>
      </c>
      <c r="AW500" s="1496">
        <f t="shared" si="295"/>
        <v>0</v>
      </c>
      <c r="AX500" s="14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5"/>
      <c r="AV501" s="1496">
        <f t="shared" si="294"/>
        <v>0</v>
      </c>
      <c r="AW501" s="1496">
        <f t="shared" si="295"/>
        <v>0</v>
      </c>
      <c r="AX501" s="14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5"/>
      <c r="AV502" s="1496">
        <f t="shared" si="294"/>
        <v>0</v>
      </c>
      <c r="AW502" s="1496">
        <f t="shared" si="295"/>
        <v>0</v>
      </c>
      <c r="AX502" s="14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5"/>
      <c r="AV503" s="1496">
        <f t="shared" si="294"/>
        <v>0</v>
      </c>
      <c r="AW503" s="1496">
        <f t="shared" si="295"/>
        <v>0</v>
      </c>
      <c r="AX503" s="14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5"/>
      <c r="AV504" s="1496">
        <f t="shared" si="294"/>
        <v>0</v>
      </c>
      <c r="AW504" s="1496">
        <f t="shared" si="295"/>
        <v>0</v>
      </c>
      <c r="AX504" s="14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5"/>
      <c r="AV505" s="1496">
        <f t="shared" si="294"/>
        <v>0</v>
      </c>
      <c r="AW505" s="1496">
        <f t="shared" si="295"/>
        <v>0</v>
      </c>
      <c r="AX505" s="14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5"/>
      <c r="AV506" s="1496">
        <f t="shared" si="294"/>
        <v>0</v>
      </c>
      <c r="AW506" s="1496">
        <f t="shared" si="295"/>
        <v>0</v>
      </c>
      <c r="AX506" s="14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5"/>
      <c r="AV507" s="1496">
        <f t="shared" si="294"/>
        <v>0</v>
      </c>
      <c r="AW507" s="1496">
        <f t="shared" si="295"/>
        <v>0</v>
      </c>
      <c r="AX507" s="14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5"/>
      <c r="AV508" s="1496">
        <f t="shared" si="294"/>
        <v>0</v>
      </c>
      <c r="AW508" s="1496">
        <f t="shared" si="295"/>
        <v>0</v>
      </c>
      <c r="AX508" s="14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5"/>
      <c r="AV509" s="1496">
        <f t="shared" si="294"/>
        <v>0</v>
      </c>
      <c r="AW509" s="1496">
        <f t="shared" si="295"/>
        <v>0</v>
      </c>
      <c r="AX509" s="14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5"/>
      <c r="AV510" s="1496">
        <f t="shared" si="294"/>
        <v>0</v>
      </c>
      <c r="AW510" s="1496">
        <f t="shared" si="295"/>
        <v>0</v>
      </c>
      <c r="AX510" s="14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5"/>
      <c r="AV511" s="1496">
        <f t="shared" si="294"/>
        <v>0</v>
      </c>
      <c r="AW511" s="1496">
        <f t="shared" si="295"/>
        <v>0</v>
      </c>
      <c r="AX511" s="14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5"/>
      <c r="AV512" s="1496">
        <f t="shared" si="294"/>
        <v>0</v>
      </c>
      <c r="AW512" s="1496">
        <f t="shared" si="295"/>
        <v>0</v>
      </c>
      <c r="AX512" s="14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5"/>
      <c r="AV513" s="1496">
        <f t="shared" si="294"/>
        <v>0</v>
      </c>
      <c r="AW513" s="1496">
        <f t="shared" si="295"/>
        <v>0</v>
      </c>
      <c r="AX513" s="14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5"/>
      <c r="AV514" s="1496">
        <f t="shared" si="294"/>
        <v>0</v>
      </c>
      <c r="AW514" s="1496">
        <f t="shared" si="295"/>
        <v>0</v>
      </c>
      <c r="AX514" s="14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5"/>
      <c r="AV515" s="1496">
        <f t="shared" si="294"/>
        <v>0</v>
      </c>
      <c r="AW515" s="1496">
        <f t="shared" si="295"/>
        <v>0</v>
      </c>
      <c r="AX515" s="14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5"/>
      <c r="AV516" s="1496">
        <f t="shared" si="294"/>
        <v>0</v>
      </c>
      <c r="AW516" s="1496">
        <f t="shared" si="295"/>
        <v>0</v>
      </c>
      <c r="AX516" s="14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5"/>
      <c r="AV517" s="1496">
        <f t="shared" si="294"/>
        <v>0</v>
      </c>
      <c r="AW517" s="1496">
        <f t="shared" si="295"/>
        <v>0</v>
      </c>
      <c r="AX517" s="14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5"/>
      <c r="AV518" s="1496">
        <f t="shared" si="294"/>
        <v>0</v>
      </c>
      <c r="AW518" s="1496">
        <f t="shared" si="295"/>
        <v>0</v>
      </c>
      <c r="AX518" s="14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5"/>
      <c r="AV519" s="1496">
        <f t="shared" si="294"/>
        <v>0</v>
      </c>
      <c r="AW519" s="1496">
        <f t="shared" si="295"/>
        <v>0</v>
      </c>
      <c r="AX519" s="14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5"/>
      <c r="AV520" s="1496">
        <f t="shared" si="294"/>
        <v>0</v>
      </c>
      <c r="AW520" s="1496">
        <f t="shared" si="295"/>
        <v>0</v>
      </c>
      <c r="AX520" s="14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5"/>
      <c r="AV521" s="1496">
        <f t="shared" ref="AV521:AV552" si="298">A521</f>
        <v>0</v>
      </c>
      <c r="AW521" s="1496">
        <f t="shared" ref="AW521:AW552" si="299">B521</f>
        <v>0</v>
      </c>
      <c r="AX521" s="14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5"/>
      <c r="AV522" s="1496">
        <f t="shared" si="298"/>
        <v>0</v>
      </c>
      <c r="AW522" s="1496">
        <f t="shared" si="299"/>
        <v>0</v>
      </c>
      <c r="AX522" s="14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5"/>
      <c r="AV523" s="1496">
        <f t="shared" si="298"/>
        <v>0</v>
      </c>
      <c r="AW523" s="1496">
        <f t="shared" si="299"/>
        <v>0</v>
      </c>
      <c r="AX523" s="14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5"/>
      <c r="AV524" s="1496">
        <f t="shared" si="298"/>
        <v>0</v>
      </c>
      <c r="AW524" s="1496">
        <f t="shared" si="299"/>
        <v>0</v>
      </c>
      <c r="AX524" s="14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5"/>
      <c r="AV525" s="1496">
        <f t="shared" si="298"/>
        <v>0</v>
      </c>
      <c r="AW525" s="1496">
        <f t="shared" si="299"/>
        <v>0</v>
      </c>
      <c r="AX525" s="14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5"/>
      <c r="AV526" s="1496">
        <f t="shared" si="298"/>
        <v>0</v>
      </c>
      <c r="AW526" s="1496">
        <f t="shared" si="299"/>
        <v>0</v>
      </c>
      <c r="AX526" s="14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5"/>
      <c r="AV527" s="1496">
        <f t="shared" si="298"/>
        <v>0</v>
      </c>
      <c r="AW527" s="1496">
        <f t="shared" si="299"/>
        <v>0</v>
      </c>
      <c r="AX527" s="14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5"/>
      <c r="AV528" s="1496">
        <f t="shared" si="298"/>
        <v>0</v>
      </c>
      <c r="AW528" s="1496">
        <f t="shared" si="299"/>
        <v>0</v>
      </c>
      <c r="AX528" s="14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5"/>
      <c r="AV529" s="1496">
        <f t="shared" si="298"/>
        <v>0</v>
      </c>
      <c r="AW529" s="1496">
        <f t="shared" si="299"/>
        <v>0</v>
      </c>
      <c r="AX529" s="14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5"/>
      <c r="AV530" s="1496">
        <f t="shared" si="298"/>
        <v>0</v>
      </c>
      <c r="AW530" s="1496">
        <f t="shared" si="299"/>
        <v>0</v>
      </c>
      <c r="AX530" s="14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5"/>
      <c r="AV531" s="1496">
        <f t="shared" si="298"/>
        <v>0</v>
      </c>
      <c r="AW531" s="1496">
        <f t="shared" si="299"/>
        <v>0</v>
      </c>
      <c r="AX531" s="14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5"/>
      <c r="AV532" s="1496">
        <f t="shared" si="298"/>
        <v>0</v>
      </c>
      <c r="AW532" s="1496">
        <f t="shared" si="299"/>
        <v>0</v>
      </c>
      <c r="AX532" s="14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5"/>
      <c r="AV533" s="1496">
        <f t="shared" si="298"/>
        <v>0</v>
      </c>
      <c r="AW533" s="1496">
        <f t="shared" si="299"/>
        <v>0</v>
      </c>
      <c r="AX533" s="14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5"/>
      <c r="AV534" s="1496">
        <f t="shared" si="298"/>
        <v>0</v>
      </c>
      <c r="AW534" s="1496">
        <f t="shared" si="299"/>
        <v>0</v>
      </c>
      <c r="AX534" s="14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5"/>
      <c r="AV535" s="1496">
        <f t="shared" si="298"/>
        <v>0</v>
      </c>
      <c r="AW535" s="1496">
        <f t="shared" si="299"/>
        <v>0</v>
      </c>
      <c r="AX535" s="14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5"/>
      <c r="AV536" s="1496">
        <f t="shared" si="298"/>
        <v>0</v>
      </c>
      <c r="AW536" s="1496">
        <f t="shared" si="299"/>
        <v>0</v>
      </c>
      <c r="AX536" s="14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5"/>
      <c r="AV537" s="1496">
        <f t="shared" si="298"/>
        <v>0</v>
      </c>
      <c r="AW537" s="1496">
        <f t="shared" si="299"/>
        <v>0</v>
      </c>
      <c r="AX537" s="14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5"/>
      <c r="AV538" s="1496">
        <f t="shared" si="298"/>
        <v>0</v>
      </c>
      <c r="AW538" s="1496">
        <f t="shared" si="299"/>
        <v>0</v>
      </c>
      <c r="AX538" s="14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5"/>
      <c r="AV539" s="1496">
        <f t="shared" si="298"/>
        <v>0</v>
      </c>
      <c r="AW539" s="1496">
        <f t="shared" si="299"/>
        <v>0</v>
      </c>
      <c r="AX539" s="14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5"/>
      <c r="AV540" s="1496">
        <f t="shared" si="298"/>
        <v>0</v>
      </c>
      <c r="AW540" s="1496">
        <f t="shared" si="299"/>
        <v>0</v>
      </c>
      <c r="AX540" s="14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5"/>
      <c r="AV541" s="1496">
        <f t="shared" si="298"/>
        <v>0</v>
      </c>
      <c r="AW541" s="1496">
        <f t="shared" si="299"/>
        <v>0</v>
      </c>
      <c r="AX541" s="14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5"/>
      <c r="AV542" s="1496">
        <f t="shared" si="298"/>
        <v>0</v>
      </c>
      <c r="AW542" s="1496">
        <f t="shared" si="299"/>
        <v>0</v>
      </c>
      <c r="AX542" s="14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5"/>
      <c r="AV543" s="1496">
        <f t="shared" si="298"/>
        <v>0</v>
      </c>
      <c r="AW543" s="1496">
        <f t="shared" si="299"/>
        <v>0</v>
      </c>
      <c r="AX543" s="14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5"/>
      <c r="AV544" s="1496">
        <f t="shared" si="298"/>
        <v>0</v>
      </c>
      <c r="AW544" s="1496">
        <f t="shared" si="299"/>
        <v>0</v>
      </c>
      <c r="AX544" s="14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5"/>
      <c r="AV545" s="1496">
        <f t="shared" si="298"/>
        <v>0</v>
      </c>
      <c r="AW545" s="1496">
        <f t="shared" si="299"/>
        <v>0</v>
      </c>
      <c r="AX545" s="14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5"/>
      <c r="AV546" s="1496">
        <f t="shared" si="298"/>
        <v>0</v>
      </c>
      <c r="AW546" s="1496">
        <f t="shared" si="299"/>
        <v>0</v>
      </c>
      <c r="AX546" s="14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5"/>
      <c r="AV547" s="1496">
        <f t="shared" si="298"/>
        <v>0</v>
      </c>
      <c r="AW547" s="1496">
        <f t="shared" si="299"/>
        <v>0</v>
      </c>
      <c r="AX547" s="14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5"/>
      <c r="AV548" s="1496">
        <f t="shared" si="298"/>
        <v>0</v>
      </c>
      <c r="AW548" s="1496">
        <f t="shared" si="299"/>
        <v>0</v>
      </c>
      <c r="AX548" s="14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5"/>
      <c r="AV549" s="1496">
        <f t="shared" si="298"/>
        <v>0</v>
      </c>
      <c r="AW549" s="1496">
        <f t="shared" si="299"/>
        <v>0</v>
      </c>
      <c r="AX549" s="14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5"/>
      <c r="AV550" s="1496">
        <f t="shared" si="298"/>
        <v>0</v>
      </c>
      <c r="AW550" s="1496">
        <f t="shared" si="299"/>
        <v>0</v>
      </c>
      <c r="AX550" s="14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5"/>
      <c r="AV551" s="1496">
        <f t="shared" si="298"/>
        <v>0</v>
      </c>
      <c r="AW551" s="1496">
        <f t="shared" si="299"/>
        <v>0</v>
      </c>
      <c r="AX551" s="14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5"/>
      <c r="AV552" s="1496">
        <f t="shared" si="298"/>
        <v>0</v>
      </c>
      <c r="AW552" s="1496">
        <f t="shared" si="299"/>
        <v>0</v>
      </c>
      <c r="AX552" s="14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5"/>
      <c r="AV553" s="1496">
        <f t="shared" ref="AV553:AV587" si="330">A553</f>
        <v>0</v>
      </c>
      <c r="AW553" s="1496">
        <f t="shared" ref="AW553:AW587" si="331">B553</f>
        <v>0</v>
      </c>
      <c r="AX553" s="14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5"/>
      <c r="AV554" s="1496">
        <f t="shared" si="330"/>
        <v>0</v>
      </c>
      <c r="AW554" s="1496">
        <f t="shared" si="331"/>
        <v>0</v>
      </c>
      <c r="AX554" s="14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5"/>
      <c r="AV555" s="1496">
        <f t="shared" si="330"/>
        <v>0</v>
      </c>
      <c r="AW555" s="1496">
        <f t="shared" si="331"/>
        <v>0</v>
      </c>
      <c r="AX555" s="14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5"/>
      <c r="AV556" s="1496">
        <f t="shared" si="330"/>
        <v>0</v>
      </c>
      <c r="AW556" s="1496">
        <f t="shared" si="331"/>
        <v>0</v>
      </c>
      <c r="AX556" s="14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5"/>
      <c r="AV557" s="1496">
        <f t="shared" si="330"/>
        <v>0</v>
      </c>
      <c r="AW557" s="1496">
        <f t="shared" si="331"/>
        <v>0</v>
      </c>
      <c r="AX557" s="14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5"/>
      <c r="AV558" s="1496">
        <f t="shared" si="330"/>
        <v>0</v>
      </c>
      <c r="AW558" s="1496">
        <f t="shared" si="331"/>
        <v>0</v>
      </c>
      <c r="AX558" s="14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5"/>
      <c r="AV559" s="1496">
        <f t="shared" si="330"/>
        <v>0</v>
      </c>
      <c r="AW559" s="1496">
        <f t="shared" si="331"/>
        <v>0</v>
      </c>
      <c r="AX559" s="14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5"/>
      <c r="AV560" s="1496">
        <f t="shared" si="330"/>
        <v>0</v>
      </c>
      <c r="AW560" s="1496">
        <f t="shared" si="331"/>
        <v>0</v>
      </c>
      <c r="AX560" s="14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5"/>
      <c r="AV561" s="1496">
        <f t="shared" si="330"/>
        <v>0</v>
      </c>
      <c r="AW561" s="1496">
        <f t="shared" si="331"/>
        <v>0</v>
      </c>
      <c r="AX561" s="14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5"/>
      <c r="AV562" s="1496">
        <f t="shared" si="330"/>
        <v>0</v>
      </c>
      <c r="AW562" s="1496">
        <f t="shared" si="331"/>
        <v>0</v>
      </c>
      <c r="AX562" s="14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5"/>
      <c r="AV563" s="1496">
        <f t="shared" si="330"/>
        <v>0</v>
      </c>
      <c r="AW563" s="1496">
        <f t="shared" si="331"/>
        <v>0</v>
      </c>
      <c r="AX563" s="14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5"/>
      <c r="AV564" s="1496">
        <f t="shared" si="330"/>
        <v>0</v>
      </c>
      <c r="AW564" s="1496">
        <f t="shared" si="331"/>
        <v>0</v>
      </c>
      <c r="AX564" s="14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5"/>
      <c r="AV565" s="1496">
        <f t="shared" si="330"/>
        <v>0</v>
      </c>
      <c r="AW565" s="1496">
        <f t="shared" si="331"/>
        <v>0</v>
      </c>
      <c r="AX565" s="14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5"/>
      <c r="AV566" s="1496">
        <f t="shared" si="330"/>
        <v>0</v>
      </c>
      <c r="AW566" s="1496">
        <f t="shared" si="331"/>
        <v>0</v>
      </c>
      <c r="AX566" s="14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5"/>
      <c r="AV567" s="1496">
        <f t="shared" si="330"/>
        <v>0</v>
      </c>
      <c r="AW567" s="1496">
        <f t="shared" si="331"/>
        <v>0</v>
      </c>
      <c r="AX567" s="14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5"/>
      <c r="AV568" s="1496">
        <f t="shared" si="330"/>
        <v>0</v>
      </c>
      <c r="AW568" s="1496">
        <f t="shared" si="331"/>
        <v>0</v>
      </c>
      <c r="AX568" s="14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5"/>
      <c r="AV569" s="1496">
        <f t="shared" si="330"/>
        <v>0</v>
      </c>
      <c r="AW569" s="1496">
        <f t="shared" si="331"/>
        <v>0</v>
      </c>
      <c r="AX569" s="14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5"/>
      <c r="AV570" s="1496">
        <f t="shared" si="330"/>
        <v>0</v>
      </c>
      <c r="AW570" s="1496">
        <f t="shared" si="331"/>
        <v>0</v>
      </c>
      <c r="AX570" s="14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5"/>
      <c r="AV571" s="1496">
        <f t="shared" si="330"/>
        <v>0</v>
      </c>
      <c r="AW571" s="1496">
        <f t="shared" si="331"/>
        <v>0</v>
      </c>
      <c r="AX571" s="14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5"/>
      <c r="AV572" s="1496">
        <f t="shared" si="330"/>
        <v>0</v>
      </c>
      <c r="AW572" s="1496">
        <f t="shared" si="331"/>
        <v>0</v>
      </c>
      <c r="AX572" s="14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5"/>
      <c r="AV573" s="1496">
        <f t="shared" si="330"/>
        <v>0</v>
      </c>
      <c r="AW573" s="1496">
        <f t="shared" si="331"/>
        <v>0</v>
      </c>
      <c r="AX573" s="14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5"/>
      <c r="AV574" s="1496">
        <f t="shared" si="330"/>
        <v>0</v>
      </c>
      <c r="AW574" s="1496">
        <f t="shared" si="331"/>
        <v>0</v>
      </c>
      <c r="AX574" s="14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5"/>
      <c r="AV575" s="1496">
        <f t="shared" si="330"/>
        <v>0</v>
      </c>
      <c r="AW575" s="1496">
        <f t="shared" si="331"/>
        <v>0</v>
      </c>
      <c r="AX575" s="14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5"/>
      <c r="AV576" s="1496">
        <f t="shared" si="330"/>
        <v>0</v>
      </c>
      <c r="AW576" s="1496">
        <f t="shared" si="331"/>
        <v>0</v>
      </c>
      <c r="AX576" s="14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5"/>
      <c r="AV577" s="1496">
        <f t="shared" si="330"/>
        <v>0</v>
      </c>
      <c r="AW577" s="1496">
        <f t="shared" si="331"/>
        <v>0</v>
      </c>
      <c r="AX577" s="14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5"/>
      <c r="AV578" s="1496">
        <f t="shared" si="330"/>
        <v>0</v>
      </c>
      <c r="AW578" s="1496">
        <f t="shared" si="331"/>
        <v>0</v>
      </c>
      <c r="AX578" s="14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5"/>
      <c r="AV579" s="1496">
        <f t="shared" si="330"/>
        <v>0</v>
      </c>
      <c r="AW579" s="1496">
        <f t="shared" si="331"/>
        <v>0</v>
      </c>
      <c r="AX579" s="14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5"/>
      <c r="AV580" s="1496">
        <f t="shared" si="330"/>
        <v>0</v>
      </c>
      <c r="AW580" s="1496">
        <f t="shared" si="331"/>
        <v>0</v>
      </c>
      <c r="AX580" s="14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5"/>
      <c r="AV581" s="1496">
        <f t="shared" si="330"/>
        <v>0</v>
      </c>
      <c r="AW581" s="1496">
        <f t="shared" si="331"/>
        <v>0</v>
      </c>
      <c r="AX581" s="14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5"/>
      <c r="AV582" s="1496">
        <f t="shared" si="330"/>
        <v>0</v>
      </c>
      <c r="AW582" s="1496">
        <f t="shared" si="331"/>
        <v>0</v>
      </c>
      <c r="AX582" s="14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5"/>
      <c r="AV583" s="1496">
        <f t="shared" si="330"/>
        <v>0</v>
      </c>
      <c r="AW583" s="1496">
        <f t="shared" si="331"/>
        <v>0</v>
      </c>
      <c r="AX583" s="14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5"/>
      <c r="AV584" s="1496">
        <f t="shared" si="330"/>
        <v>0</v>
      </c>
      <c r="AW584" s="1496">
        <f t="shared" si="331"/>
        <v>0</v>
      </c>
      <c r="AX584" s="14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5"/>
      <c r="AV585" s="1496">
        <f t="shared" si="330"/>
        <v>0</v>
      </c>
      <c r="AW585" s="1496">
        <f t="shared" si="331"/>
        <v>0</v>
      </c>
      <c r="AX585" s="14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5"/>
      <c r="AV586" s="1496">
        <f t="shared" si="330"/>
        <v>0</v>
      </c>
      <c r="AW586" s="1496">
        <f t="shared" si="331"/>
        <v>0</v>
      </c>
      <c r="AX586" s="14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5"/>
      <c r="AV587" s="1496">
        <f t="shared" si="330"/>
        <v>0</v>
      </c>
      <c r="AW587" s="1496">
        <f t="shared" si="331"/>
        <v>0</v>
      </c>
      <c r="AX587" s="14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7" t="s">
        <v>0</v>
      </c>
      <c r="B1" s="3297" t="s">
        <v>4</v>
      </c>
      <c r="C1" s="3297" t="s">
        <v>5</v>
      </c>
      <c r="D1" s="3298" t="s">
        <v>53</v>
      </c>
      <c r="E1" s="3298" t="s">
        <v>54</v>
      </c>
      <c r="F1" s="3298"/>
      <c r="G1" s="3298"/>
      <c r="H1" s="3298"/>
      <c r="I1" s="3298"/>
      <c r="J1" s="3298"/>
      <c r="K1" s="3298"/>
      <c r="L1" s="3298"/>
      <c r="M1" s="3298"/>
    </row>
    <row r="2" spans="1:13" ht="27" customHeight="1">
      <c r="A2" s="3297"/>
      <c r="B2" s="3297"/>
      <c r="C2" s="3297"/>
      <c r="D2" s="3298"/>
      <c r="E2" s="3298" t="s">
        <v>37</v>
      </c>
      <c r="F2" s="3298" t="s">
        <v>38</v>
      </c>
      <c r="G2" s="3298"/>
      <c r="H2" s="3298"/>
      <c r="I2" s="3298"/>
      <c r="J2" s="3298" t="s">
        <v>39</v>
      </c>
      <c r="K2" s="3298"/>
      <c r="L2" s="3298"/>
      <c r="M2" s="3298"/>
    </row>
    <row r="3" spans="1:13" ht="28.5">
      <c r="A3" s="3297"/>
      <c r="B3" s="3297"/>
      <c r="C3" s="3297"/>
      <c r="D3" s="3298"/>
      <c r="E3" s="32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8" t="s">
        <v>55</v>
      </c>
      <c r="B9" s="3298"/>
      <c r="C9" s="32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F36" sqref="F36"/>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3"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08" t="s">
        <v>1757</v>
      </c>
      <c r="B2" s="3308"/>
      <c r="C2" s="3308"/>
      <c r="D2" s="903" t="s">
        <v>1733</v>
      </c>
      <c r="E2" s="1793" t="s">
        <v>1734</v>
      </c>
      <c r="F2" s="2853"/>
      <c r="G2" s="2844"/>
      <c r="H2" s="2845"/>
      <c r="I2" s="2517" t="s">
        <v>1758</v>
      </c>
      <c r="J2" s="2853"/>
      <c r="K2" s="2853"/>
      <c r="L2" s="2853"/>
      <c r="M2" s="2853"/>
      <c r="N2" s="2855"/>
      <c r="O2" s="2853"/>
      <c r="P2" s="2853"/>
    </row>
    <row r="3" spans="1:16" ht="15.75" thickBot="1">
      <c r="A3" s="3309" t="s">
        <v>1731</v>
      </c>
      <c r="B3" s="3309"/>
      <c r="C3" s="3309"/>
      <c r="D3" s="45">
        <f>'数据-基础表'!AY6</f>
        <v>0</v>
      </c>
      <c r="E3" s="45">
        <f>'数据-基础表'!AZ5</f>
        <v>17109.73</v>
      </c>
      <c r="F3" s="2853"/>
      <c r="G3" s="1278"/>
      <c r="H3" s="1156" t="s">
        <v>1732</v>
      </c>
      <c r="I3" s="963" t="e">
        <f>ROUND('数据-基础表'!B3/'数据-基础表'!A3,2)</f>
        <v>#DIV/0!</v>
      </c>
      <c r="J3" s="2853"/>
      <c r="K3" s="2853"/>
      <c r="L3" s="2853"/>
      <c r="M3" s="2853"/>
      <c r="N3" s="2855"/>
      <c r="O3" s="2853"/>
      <c r="P3" s="2853"/>
    </row>
    <row r="4" spans="1:16" ht="15">
      <c r="A4" s="3310"/>
      <c r="B4" s="3311"/>
      <c r="C4" s="3312"/>
      <c r="D4" s="1795" t="s">
        <v>1733</v>
      </c>
      <c r="E4" s="1796" t="s">
        <v>1734</v>
      </c>
      <c r="F4" s="2853"/>
      <c r="G4" s="2846" t="s">
        <v>1759</v>
      </c>
      <c r="H4" s="1156" t="s">
        <v>1739</v>
      </c>
      <c r="I4" s="963" t="e">
        <f>ROUND(SUMIF('数据-基础表'!I9:AS9,"地上",'数据-基础表'!I5:AS5)/'数据-基础表'!A3,2)</f>
        <v>#DIV/0!</v>
      </c>
      <c r="J4" s="2853"/>
      <c r="K4" s="2853"/>
      <c r="L4" s="2853"/>
      <c r="M4" s="2853"/>
      <c r="N4" s="2855"/>
      <c r="O4" s="2853"/>
      <c r="P4" s="2853"/>
    </row>
    <row r="5" spans="1:16">
      <c r="A5" s="46" t="s">
        <v>1735</v>
      </c>
      <c r="B5" s="3313" t="s">
        <v>1736</v>
      </c>
      <c r="C5" s="3313"/>
      <c r="D5" s="47">
        <f>ROUND($D$3*E5/$E$3,2)</f>
        <v>0</v>
      </c>
      <c r="E5" s="48">
        <f>SUMIF('数据-基础表'!$11:$11,"住宅",'数据-基础表'!$5:$5)</f>
        <v>0</v>
      </c>
      <c r="F5" s="2853"/>
      <c r="G5" s="1278"/>
      <c r="H5" s="1156" t="s">
        <v>1732</v>
      </c>
      <c r="I5" s="963" t="e">
        <f>ROUND(E31/D31,2)</f>
        <v>#DIV/0!</v>
      </c>
      <c r="J5" s="2853"/>
      <c r="K5" s="2853"/>
      <c r="L5" s="2853"/>
      <c r="M5" s="2853"/>
      <c r="N5" s="2853"/>
      <c r="O5" s="2853"/>
      <c r="P5" s="2853"/>
    </row>
    <row r="6" spans="1:16" ht="15" thickBot="1">
      <c r="A6" s="1798"/>
      <c r="B6" s="3313" t="s">
        <v>1737</v>
      </c>
      <c r="C6" s="3313"/>
      <c r="D6" s="47">
        <f>ROUND($D$3*E6/$E$3,2)</f>
        <v>0</v>
      </c>
      <c r="E6" s="48">
        <f>E3-E5</f>
        <v>17109.73</v>
      </c>
      <c r="F6" s="2853"/>
      <c r="G6" s="2847" t="s">
        <v>1738</v>
      </c>
      <c r="H6" s="1279" t="s">
        <v>1739</v>
      </c>
      <c r="I6" s="2848" t="e">
        <f>ROUND(F31/D31,2)</f>
        <v>#DIV/0!</v>
      </c>
      <c r="J6" s="2853"/>
      <c r="K6" s="2853"/>
      <c r="L6" s="2853"/>
      <c r="M6" s="2853"/>
      <c r="N6" s="2853"/>
      <c r="O6" s="2853"/>
      <c r="P6" s="2853"/>
    </row>
    <row r="7" spans="1:16" ht="15.75" thickBot="1">
      <c r="A7" s="3305"/>
      <c r="B7" s="3306"/>
      <c r="C7" s="3307"/>
      <c r="D7" s="1795" t="s">
        <v>1733</v>
      </c>
      <c r="E7" s="1799" t="s">
        <v>1740</v>
      </c>
      <c r="F7" s="2853"/>
      <c r="G7" s="2849" t="s">
        <v>1741</v>
      </c>
      <c r="H7" s="2850"/>
      <c r="I7" s="2851">
        <v>1.8</v>
      </c>
      <c r="J7" s="2853"/>
      <c r="K7" s="2853"/>
      <c r="L7" s="2853"/>
      <c r="M7" s="2853"/>
      <c r="N7" s="2853"/>
      <c r="O7" s="2853"/>
      <c r="P7" s="2853"/>
    </row>
    <row r="8" spans="1:16">
      <c r="A8" s="46" t="s">
        <v>1742</v>
      </c>
      <c r="B8" s="49" t="s">
        <v>1743</v>
      </c>
      <c r="C8" s="47" t="s">
        <v>1744</v>
      </c>
      <c r="D8" s="47">
        <f t="shared" ref="D8:D15" si="0">ROUND($D$3*E8/$E$3,2)</f>
        <v>0</v>
      </c>
      <c r="E8" s="50">
        <f>SUMIF('数据-基础表'!BB10:BK10,"地上",'数据-基础表'!BB5:BK5)</f>
        <v>14258.11</v>
      </c>
      <c r="F8" s="2853"/>
      <c r="G8" s="2854"/>
      <c r="H8" s="2854"/>
      <c r="I8" s="2853"/>
      <c r="J8" s="2853"/>
      <c r="K8" s="2853"/>
      <c r="L8" s="2853"/>
      <c r="M8" s="2853"/>
      <c r="N8" s="2853"/>
      <c r="O8" s="2853"/>
      <c r="P8" s="2853"/>
    </row>
    <row r="9" spans="1:16">
      <c r="A9" s="1800"/>
      <c r="B9" s="1801"/>
      <c r="C9" s="47" t="s">
        <v>1745</v>
      </c>
      <c r="D9" s="47">
        <f t="shared" si="0"/>
        <v>0</v>
      </c>
      <c r="E9" s="51">
        <v>0</v>
      </c>
      <c r="F9" s="2853"/>
      <c r="G9" s="2854"/>
      <c r="H9" s="2854"/>
      <c r="I9" s="2853"/>
      <c r="J9" s="2853"/>
      <c r="K9" s="2853"/>
      <c r="L9" s="2853"/>
      <c r="M9" s="2853"/>
      <c r="N9" s="2853"/>
      <c r="O9" s="2853"/>
      <c r="P9" s="2853"/>
    </row>
    <row r="10" spans="1:16">
      <c r="A10" s="1800"/>
      <c r="B10" s="1801"/>
      <c r="C10" s="47" t="s">
        <v>1754</v>
      </c>
      <c r="D10" s="47">
        <f t="shared" si="0"/>
        <v>0</v>
      </c>
      <c r="E10" s="50">
        <f>SUMPRODUCT(('数据-基础表'!BB10:BK10="地下")*('数据-基础表'!BB11:BK11="商业")*('数据-基础表'!BB5:BK5))</f>
        <v>0</v>
      </c>
      <c r="F10" s="2853"/>
      <c r="G10" s="2854"/>
      <c r="H10" s="2854"/>
      <c r="I10" s="2853"/>
      <c r="J10" s="2853"/>
      <c r="K10" s="2853"/>
      <c r="L10" s="2853"/>
      <c r="M10" s="2853"/>
      <c r="N10" s="2853"/>
      <c r="O10" s="2853"/>
      <c r="P10" s="2853"/>
    </row>
    <row r="11" spans="1:16">
      <c r="A11" s="1800"/>
      <c r="B11" s="1801"/>
      <c r="C11" s="47" t="s">
        <v>1746</v>
      </c>
      <c r="D11" s="47">
        <f t="shared" si="0"/>
        <v>0</v>
      </c>
      <c r="E11" s="50">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0"/>
      <c r="B12" s="1801"/>
      <c r="C12" s="47" t="s">
        <v>1747</v>
      </c>
      <c r="D12" s="47">
        <f t="shared" si="0"/>
        <v>0</v>
      </c>
      <c r="E12" s="50">
        <f>SUMPRODUCT(('数据-基础表'!BB10:BK10="地下")*('数据-基础表'!BB11:BK11="仓储")*('数据-基础表'!BB5:BK5))</f>
        <v>2851.619999999999</v>
      </c>
      <c r="F12" s="2853"/>
      <c r="G12" s="2854"/>
      <c r="H12" s="2854"/>
      <c r="I12" s="2853"/>
      <c r="J12" s="2853"/>
      <c r="K12" s="2853"/>
      <c r="L12" s="2853"/>
      <c r="M12" s="2853"/>
      <c r="N12" s="2853"/>
      <c r="O12" s="2853"/>
      <c r="P12" s="2853"/>
    </row>
    <row r="13" spans="1:16">
      <c r="A13" s="1800"/>
      <c r="B13" s="1801"/>
      <c r="C13" s="47" t="s">
        <v>1748</v>
      </c>
      <c r="D13" s="47">
        <f t="shared" si="0"/>
        <v>0</v>
      </c>
      <c r="E13" s="50">
        <f>SUMPRODUCT(('数据-基础表'!BB10:BK10="地下")*('数据-基础表'!BB11:BK11="车库")*('数据-基础表'!BB5:BK5))</f>
        <v>0</v>
      </c>
      <c r="F13" s="2853"/>
      <c r="G13" s="2854"/>
      <c r="H13" s="2854"/>
      <c r="I13" s="2853"/>
      <c r="J13" s="2853"/>
      <c r="K13" s="2853"/>
      <c r="L13" s="2853"/>
      <c r="M13" s="2853"/>
      <c r="N13" s="2853"/>
      <c r="O13" s="2853"/>
      <c r="P13" s="2853"/>
    </row>
    <row r="14" spans="1:16">
      <c r="A14" s="1800"/>
      <c r="B14" s="1801"/>
      <c r="C14" s="47" t="s">
        <v>1760</v>
      </c>
      <c r="D14" s="47">
        <f t="shared" si="0"/>
        <v>0</v>
      </c>
      <c r="E14" s="50">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0"/>
      <c r="B15" s="1801"/>
      <c r="C15" s="47" t="s">
        <v>1755</v>
      </c>
      <c r="D15" s="47">
        <f t="shared" si="0"/>
        <v>0</v>
      </c>
      <c r="E15" s="50">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8"/>
      <c r="B16" s="1801"/>
      <c r="C16" s="49" t="s">
        <v>1749</v>
      </c>
      <c r="D16" s="49">
        <f>SUM(D8:D15)</f>
        <v>0</v>
      </c>
      <c r="E16" s="52">
        <f>SUM(E8:E15)</f>
        <v>17109.73</v>
      </c>
      <c r="F16" s="2853"/>
      <c r="G16" s="2854"/>
      <c r="H16" s="1802" t="s">
        <v>1761</v>
      </c>
      <c r="I16" s="1803"/>
      <c r="J16" s="1272"/>
      <c r="K16" s="3302" t="s">
        <v>1761</v>
      </c>
      <c r="L16" s="3303"/>
      <c r="M16" s="3303"/>
      <c r="N16" s="3303"/>
      <c r="O16" s="3303"/>
      <c r="P16" s="3304"/>
    </row>
    <row r="17" spans="1:19" ht="15">
      <c r="A17" s="1804" t="s">
        <v>1762</v>
      </c>
      <c r="B17" s="1805" t="s">
        <v>1763</v>
      </c>
      <c r="C17" s="1806" t="s">
        <v>1764</v>
      </c>
      <c r="D17" s="1807" t="s">
        <v>1752</v>
      </c>
      <c r="E17" s="1808" t="s">
        <v>1753</v>
      </c>
      <c r="F17" s="1809"/>
      <c r="G17" s="1810"/>
      <c r="H17" s="1811" t="s">
        <v>1765</v>
      </c>
      <c r="I17" s="1812" t="s">
        <v>1750</v>
      </c>
      <c r="J17" s="1272"/>
      <c r="K17" s="3299" t="s">
        <v>1766</v>
      </c>
      <c r="L17" s="3300"/>
      <c r="M17" s="3301"/>
      <c r="N17" s="3299" t="s">
        <v>1767</v>
      </c>
      <c r="O17" s="3300"/>
      <c r="P17" s="3301"/>
      <c r="R17" s="1794" t="s">
        <v>1768</v>
      </c>
      <c r="S17" s="59"/>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49" t="s">
        <v>1751</v>
      </c>
      <c r="C19" s="3204" t="s">
        <v>3126</v>
      </c>
      <c r="D19" s="47">
        <f>ROUND($D$3*E19/$E$3,2)</f>
        <v>0</v>
      </c>
      <c r="E19" s="55">
        <f t="shared" ref="E19:E26" si="1">SUM(F19:G19)</f>
        <v>17109.73</v>
      </c>
      <c r="F19" s="2993">
        <f>'数据-基础表'!I5</f>
        <v>14258.11</v>
      </c>
      <c r="G19" s="2994">
        <f>'数据-基础表'!K5</f>
        <v>2851.619999999999</v>
      </c>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17109.73</v>
      </c>
    </row>
    <row r="20" spans="1:19">
      <c r="A20" s="1825"/>
      <c r="B20" s="49" t="s">
        <v>1779</v>
      </c>
      <c r="C20" s="1822"/>
      <c r="D20" s="47">
        <f t="shared" ref="D20:D26" si="6">ROUND($D$3*E20/$E$3,2)</f>
        <v>0</v>
      </c>
      <c r="E20" s="55">
        <f t="shared" si="1"/>
        <v>0</v>
      </c>
      <c r="F20" s="2993"/>
      <c r="G20" s="2994"/>
      <c r="H20" s="678">
        <f t="shared" ref="H20:H26" si="7">ROUND($D$3*I20/$E$3,2)</f>
        <v>0</v>
      </c>
      <c r="I20" s="50">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49" t="s">
        <v>1779</v>
      </c>
      <c r="C21" s="1822"/>
      <c r="D21" s="47">
        <f t="shared" si="6"/>
        <v>0</v>
      </c>
      <c r="E21" s="55">
        <f t="shared" si="1"/>
        <v>0</v>
      </c>
      <c r="F21" s="2993"/>
      <c r="G21" s="2994"/>
      <c r="H21" s="678">
        <f t="shared" si="7"/>
        <v>0</v>
      </c>
      <c r="I21" s="50">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49" t="s">
        <v>1779</v>
      </c>
      <c r="C22" s="57"/>
      <c r="D22" s="47">
        <f t="shared" si="6"/>
        <v>0</v>
      </c>
      <c r="E22" s="55">
        <f t="shared" si="1"/>
        <v>0</v>
      </c>
      <c r="F22" s="2995"/>
      <c r="G22" s="2996"/>
      <c r="H22" s="678">
        <f t="shared" si="7"/>
        <v>0</v>
      </c>
      <c r="I22" s="50">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49" t="s">
        <v>1779</v>
      </c>
      <c r="C23" s="57"/>
      <c r="D23" s="47">
        <f>ROUND($D$3*E23/$E$3,2)</f>
        <v>0</v>
      </c>
      <c r="E23" s="55">
        <f>SUM(F23:G23)</f>
        <v>0</v>
      </c>
      <c r="F23" s="2995"/>
      <c r="G23" s="2996"/>
      <c r="H23" s="678">
        <f>ROUND($D$3*I23/$E$3,2)</f>
        <v>0</v>
      </c>
      <c r="I23" s="50">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49" t="s">
        <v>1779</v>
      </c>
      <c r="C24" s="57"/>
      <c r="D24" s="47">
        <f>ROUND($D$3*E24/$E$3,2)</f>
        <v>0</v>
      </c>
      <c r="E24" s="55">
        <f>SUM(F24:G24)</f>
        <v>0</v>
      </c>
      <c r="F24" s="2995"/>
      <c r="G24" s="2996"/>
      <c r="H24" s="678">
        <f>ROUND($D$3*I24/$E$3,2)</f>
        <v>0</v>
      </c>
      <c r="I24" s="50">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49" t="s">
        <v>1779</v>
      </c>
      <c r="C25" s="57"/>
      <c r="D25" s="47">
        <f t="shared" si="6"/>
        <v>0</v>
      </c>
      <c r="E25" s="55">
        <f t="shared" si="1"/>
        <v>0</v>
      </c>
      <c r="F25" s="2995"/>
      <c r="G25" s="2996"/>
      <c r="H25" s="46">
        <f t="shared" si="7"/>
        <v>0</v>
      </c>
      <c r="I25" s="50">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49" t="s">
        <v>1779</v>
      </c>
      <c r="C26" s="58"/>
      <c r="D26" s="47">
        <f t="shared" si="6"/>
        <v>0</v>
      </c>
      <c r="E26" s="55">
        <f t="shared" si="1"/>
        <v>0</v>
      </c>
      <c r="F26" s="2995"/>
      <c r="G26" s="2996"/>
      <c r="H26" s="46">
        <f t="shared" si="7"/>
        <v>0</v>
      </c>
      <c r="I26" s="50">
        <f t="shared" si="2"/>
        <v>0</v>
      </c>
      <c r="J26" s="1272"/>
      <c r="K26" s="1278">
        <f t="shared" si="3"/>
        <v>0</v>
      </c>
      <c r="L26" s="1279">
        <f t="shared" si="4"/>
        <v>0</v>
      </c>
      <c r="M26" s="62">
        <f t="shared" si="8"/>
        <v>0</v>
      </c>
      <c r="N26" s="1826"/>
      <c r="O26" s="1827"/>
      <c r="P26" s="62">
        <f t="shared" si="9"/>
        <v>0</v>
      </c>
      <c r="R26" s="1156">
        <f t="shared" si="5"/>
        <v>0</v>
      </c>
      <c r="S26" s="1157">
        <f t="shared" si="5"/>
        <v>0</v>
      </c>
    </row>
    <row r="27" spans="1:19" ht="15.75" thickBot="1">
      <c r="A27" s="1825"/>
      <c r="B27" s="47"/>
      <c r="C27" s="1828" t="s">
        <v>1780</v>
      </c>
      <c r="D27" s="1273">
        <f>SUM(D19:D26)</f>
        <v>0</v>
      </c>
      <c r="E27" s="1274">
        <f>IF(SUM(E19:E26)='数据-基础表'!BA5,SUM(E19:E26),IF(F27="地上面积有误","面积有误","地下面积有误"))</f>
        <v>17109.73</v>
      </c>
      <c r="F27" s="1273">
        <f>IF(SUM(F19:F26)=E8,SUM(F19:F26),"地上面积有误")</f>
        <v>14258.11</v>
      </c>
      <c r="G27" s="1275">
        <f>SUM(G19:G26)</f>
        <v>2851.619999999999</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17109.73</v>
      </c>
    </row>
    <row r="28" spans="1:19">
      <c r="A28" s="1825"/>
      <c r="B28" s="49" t="s">
        <v>1781</v>
      </c>
      <c r="C28" s="1168" t="s">
        <v>1782</v>
      </c>
      <c r="D28" s="47">
        <f>ROUND($D$3*E28/$E$3,2)</f>
        <v>0</v>
      </c>
      <c r="E28" s="55">
        <f>SUM(F28:G28)</f>
        <v>0</v>
      </c>
      <c r="F28" s="59">
        <f>'数据-基础表'!BQ5+'数据-基础表'!BS5</f>
        <v>0</v>
      </c>
      <c r="G28" s="60">
        <f>'数据-基础表'!BR5+'数据-基础表'!BT5</f>
        <v>0</v>
      </c>
      <c r="H28" s="2853"/>
      <c r="I28" s="2853"/>
      <c r="J28" s="2853"/>
      <c r="K28" s="2853"/>
      <c r="L28" s="2853"/>
      <c r="M28" s="2853"/>
      <c r="N28" s="2853"/>
      <c r="O28" s="2853"/>
      <c r="P28" s="2853"/>
    </row>
    <row r="29" spans="1:19">
      <c r="A29" s="1825"/>
      <c r="B29" s="49" t="s">
        <v>1781</v>
      </c>
      <c r="C29" s="1829" t="s">
        <v>1783</v>
      </c>
      <c r="D29" s="47">
        <f>ROUND($D$3*E29/$E$3,2)</f>
        <v>0</v>
      </c>
      <c r="E29" s="55">
        <f>SUM(F29:G29)</f>
        <v>0</v>
      </c>
      <c r="F29" s="61">
        <f>'数据-基础表'!BM5+'数据-基础表'!BO5</f>
        <v>0</v>
      </c>
      <c r="G29" s="62">
        <f>'数据-基础表'!BN5+'数据-基础表'!BP5</f>
        <v>0</v>
      </c>
      <c r="H29" s="2853"/>
      <c r="I29" s="2853"/>
      <c r="J29" s="2853"/>
      <c r="K29" s="2853"/>
      <c r="L29" s="2853"/>
      <c r="M29" s="2853"/>
      <c r="N29" s="2853"/>
      <c r="O29" s="2853"/>
      <c r="P29" s="2853"/>
    </row>
    <row r="30" spans="1:19" ht="15">
      <c r="A30" s="1825"/>
      <c r="B30" s="49"/>
      <c r="C30" s="1830" t="s">
        <v>1780</v>
      </c>
      <c r="D30" s="1273">
        <f>SUM(D28:D29)</f>
        <v>0</v>
      </c>
      <c r="E30" s="1273">
        <f>SUM(E28:E29)</f>
        <v>0</v>
      </c>
      <c r="F30" s="1273">
        <f>SUM(F28:F29)</f>
        <v>0</v>
      </c>
      <c r="G30" s="1275">
        <f>SUM(G28:G29)</f>
        <v>0</v>
      </c>
      <c r="H30" s="2853"/>
      <c r="I30" s="2853"/>
      <c r="J30" s="2853"/>
      <c r="K30" s="2853"/>
      <c r="L30" s="2853"/>
      <c r="M30" s="2853"/>
      <c r="N30" s="2853"/>
      <c r="O30" s="2853"/>
      <c r="P30" s="2853"/>
    </row>
    <row r="31" spans="1:19" ht="15.75" thickBot="1">
      <c r="A31" s="1831"/>
      <c r="B31" s="1832"/>
      <c r="C31" s="943" t="s">
        <v>1784</v>
      </c>
      <c r="D31" s="684">
        <f>D27+D30</f>
        <v>0</v>
      </c>
      <c r="E31" s="684">
        <f>E27+E30</f>
        <v>17109.73</v>
      </c>
      <c r="F31" s="685">
        <f>F27+F30</f>
        <v>14258.11</v>
      </c>
      <c r="G31" s="686">
        <f>G27+G30</f>
        <v>2851.619999999999</v>
      </c>
      <c r="H31" s="2853"/>
      <c r="I31" s="2853"/>
      <c r="J31" s="2853"/>
      <c r="K31" s="2853"/>
      <c r="L31" s="2853"/>
      <c r="M31" s="2853"/>
      <c r="N31" s="2853"/>
      <c r="O31" s="2853"/>
      <c r="P31" s="2853"/>
    </row>
    <row r="32" spans="1:19">
      <c r="A32" s="1797"/>
      <c r="B32" s="1797" t="s">
        <v>1785</v>
      </c>
      <c r="C32" s="1797"/>
      <c r="D32" s="1797"/>
      <c r="E32" s="1183">
        <f>SUMIF(C19:C26,"*住宅*",E19:E26)</f>
        <v>0</v>
      </c>
      <c r="F32" s="1797"/>
      <c r="G32" s="1797"/>
      <c r="H32" s="2853"/>
      <c r="I32" s="2853"/>
      <c r="J32" s="2853"/>
      <c r="K32" s="2853"/>
      <c r="L32" s="2853"/>
      <c r="M32" s="2853"/>
      <c r="N32" s="2853"/>
      <c r="O32" s="2853"/>
      <c r="P32" s="2853"/>
    </row>
    <row r="33" spans="4:6">
      <c r="D33" s="1833"/>
    </row>
    <row r="35" spans="4:6">
      <c r="F35" s="322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7"/>
      <c r="AO1" s="2867"/>
      <c r="AP1" s="2867"/>
      <c r="AQ1" s="2867"/>
      <c r="AR1" s="2867"/>
    </row>
    <row r="2" spans="1:67" s="1713" customFormat="1" ht="15.75" thickBot="1">
      <c r="A2" s="1838" t="s">
        <v>1787</v>
      </c>
      <c r="B2" s="1175">
        <f>项目基本情况!D3</f>
        <v>44582</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9"/>
      <c r="AO2" s="2869"/>
      <c r="AP2" s="2869"/>
      <c r="AQ2" s="2869"/>
      <c r="AR2" s="286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9"/>
      <c r="AO3" s="2869"/>
      <c r="AP3" s="2869"/>
      <c r="AQ3" s="2869"/>
      <c r="AR3" s="286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3" t="s">
        <v>1788</v>
      </c>
      <c r="B4" s="1843"/>
      <c r="C4" s="1844"/>
      <c r="D4" s="1845"/>
      <c r="E4" s="1844" t="s">
        <v>1789</v>
      </c>
      <c r="F4" s="1844"/>
      <c r="G4" s="1844"/>
      <c r="H4" s="1844"/>
      <c r="I4" s="1844"/>
      <c r="J4" s="1846"/>
      <c r="K4" s="1847"/>
      <c r="L4" s="1848"/>
      <c r="M4" s="1844"/>
      <c r="N4" s="1844" t="s">
        <v>1790</v>
      </c>
      <c r="O4" s="1844"/>
      <c r="P4" s="1844"/>
      <c r="Q4" s="1844"/>
      <c r="R4" s="1844"/>
      <c r="S4" s="1846"/>
      <c r="T4" s="2852"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69"/>
      <c r="AO4" s="2869"/>
      <c r="AP4" s="2869"/>
      <c r="AQ4" s="2869"/>
      <c r="AR4" s="286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3127</v>
      </c>
      <c r="O5" s="1857" t="s">
        <v>1807</v>
      </c>
      <c r="P5" s="1860" t="s">
        <v>1808</v>
      </c>
      <c r="Q5" s="64" t="s">
        <v>1809</v>
      </c>
      <c r="R5" s="1861" t="s">
        <v>1810</v>
      </c>
      <c r="S5" s="1862" t="s">
        <v>1811</v>
      </c>
      <c r="T5" s="1863" t="s">
        <v>1812</v>
      </c>
      <c r="U5" s="1176" t="s">
        <v>1813</v>
      </c>
      <c r="V5" s="1177" t="s">
        <v>1814</v>
      </c>
      <c r="W5" s="1177" t="s">
        <v>1815</v>
      </c>
      <c r="X5" s="66"/>
      <c r="Y5" s="65" t="s">
        <v>1816</v>
      </c>
      <c r="Z5" s="1864" t="s">
        <v>1813</v>
      </c>
      <c r="AA5" s="1177" t="s">
        <v>1814</v>
      </c>
      <c r="AB5" s="1177" t="s">
        <v>1815</v>
      </c>
      <c r="AC5" s="66"/>
      <c r="AD5" s="66" t="s">
        <v>1816</v>
      </c>
      <c r="AE5" s="1176" t="s">
        <v>1817</v>
      </c>
      <c r="AF5" s="1177" t="s">
        <v>1818</v>
      </c>
      <c r="AG5" s="65" t="s">
        <v>1819</v>
      </c>
      <c r="AH5" s="1176" t="s">
        <v>1820</v>
      </c>
      <c r="AI5" s="1864" t="s">
        <v>1821</v>
      </c>
      <c r="AJ5" s="1864" t="s">
        <v>1822</v>
      </c>
      <c r="AK5" s="1177" t="s">
        <v>1823</v>
      </c>
      <c r="AL5" s="1177" t="s">
        <v>1824</v>
      </c>
      <c r="AM5" s="65"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工业用房</v>
      </c>
      <c r="B6" s="1868" t="str">
        <f>IF(A6=0,"","经营性")</f>
        <v>经营性</v>
      </c>
      <c r="C6" s="1869" t="s">
        <v>6</v>
      </c>
      <c r="D6" s="966">
        <f>SUMIF(项目基本情况!D$12:I$12,C6,项目基本情况!D$14:I$14)</f>
        <v>50</v>
      </c>
      <c r="E6" s="965">
        <f>IF(B6="","",SUMIF(项目基本情况!D$12:I$12,C6,项目基本情况!D$13:I$13))</f>
        <v>59238</v>
      </c>
      <c r="F6" s="67">
        <f>SUMIF(项目基本情况!D$12:I$12,C6,项目基本情况!D$15:I$15)</f>
        <v>40.15</v>
      </c>
      <c r="G6" s="68">
        <f>IF(ISERROR(ROUND(POWER(1+H6,D6-F6)*(POWER(1+H6,F6)-1)/(POWER(1+H6,D6)-1),3)),0,ROUND(POWER(1+H6,D6-F6)*(POWER(1+H6,F6)-1)/(POWER(1+H6,D6)-1),3))</f>
        <v>0.93200000000000005</v>
      </c>
      <c r="H6" s="740">
        <v>4.4999999999999998E-2</v>
      </c>
      <c r="I6" s="740">
        <v>0.05</v>
      </c>
      <c r="J6" s="69">
        <v>7.0000000000000007E-2</v>
      </c>
      <c r="K6" s="1160">
        <f>SUMIF('数据-汇总表'!C$19:C$33,A6,'数据-汇总表'!E$19:E$33)</f>
        <v>17109.73</v>
      </c>
      <c r="L6" s="3220">
        <v>3000</v>
      </c>
      <c r="M6" s="70">
        <f t="shared" ref="M6:M14" si="0">ROUND(K6*L6/10000,0)</f>
        <v>5133</v>
      </c>
      <c r="N6" s="739">
        <f>ROUND(1-(2022-2014)/60,2)</f>
        <v>0.87</v>
      </c>
      <c r="O6" s="70" t="str">
        <f>IF($N$5="成新度","——",ROUND(M6*N6,0))</f>
        <v>——</v>
      </c>
      <c r="P6" s="71" t="str">
        <f>IF($N$5="成新度","——",M6-O6)</f>
        <v>——</v>
      </c>
      <c r="Q6" s="742">
        <v>0.1</v>
      </c>
      <c r="R6" s="72">
        <f ca="1">SUMIF('数据-汇总表'!C$19:C$33,A6,'数据-汇总表'!R$19:R$27)</f>
        <v>0</v>
      </c>
      <c r="S6" s="53">
        <f>IF('数据-汇总表'!$I$17="按面积比例",SUMIF('数据-汇总表'!C$19:C$33,A6,'数据-汇总表'!K$19:K$33),SUMIF('数据-汇总表'!C$19:C$33,A6,'数据-汇总表'!N$19:N$33))</f>
        <v>0</v>
      </c>
      <c r="T6" s="1305">
        <f>ROUND($L$14*S6/10000,0)</f>
        <v>0</v>
      </c>
      <c r="U6" s="73">
        <v>1.4</v>
      </c>
      <c r="V6" s="74">
        <v>2.5000000000000001E-2</v>
      </c>
      <c r="W6" s="74">
        <v>0.1</v>
      </c>
      <c r="X6" s="1170"/>
      <c r="Y6" s="75">
        <f>N6</f>
        <v>0.87</v>
      </c>
      <c r="Z6" s="76"/>
      <c r="AA6" s="69"/>
      <c r="AB6" s="69"/>
      <c r="AC6" s="1170"/>
      <c r="AD6" s="77"/>
      <c r="AE6" s="1171">
        <f ca="1">IF(AN6="",0,SUMIF(INDIRECT("'"&amp;AN6&amp;"'"&amp;"!E:E"),$AE$5,INDIRECT("'"&amp;AN6&amp;"'"&amp;"!F:F")))</f>
        <v>40.15</v>
      </c>
      <c r="AF6" s="1501"/>
      <c r="AG6" s="142">
        <f>IF(AF6="",0,AE6-AF6)</f>
        <v>0</v>
      </c>
      <c r="AH6" s="78"/>
      <c r="AI6" s="80">
        <v>365</v>
      </c>
      <c r="AJ6" s="81"/>
      <c r="AK6" s="82">
        <v>1.4999999999999999E-2</v>
      </c>
      <c r="AL6" s="83">
        <v>1.5E-3</v>
      </c>
      <c r="AM6" s="84">
        <v>0.01</v>
      </c>
      <c r="AN6" s="1870" t="s">
        <v>3128</v>
      </c>
      <c r="AO6" s="54">
        <f ca="1">SUMIF(INDIRECT("'"&amp;AN6&amp;"'"&amp;"!A:A"),"总价",INDIRECT("'"&amp;AN6&amp;"'"&amp;"!B:B"))</f>
        <v>13397</v>
      </c>
      <c r="AP6" s="1871">
        <f>IF(C6="住宅",K6*L6,0)</f>
        <v>0</v>
      </c>
      <c r="AQ6" s="54">
        <f>ROUND($L$14*$N$14*S6/10000,0)</f>
        <v>0</v>
      </c>
      <c r="AR6" s="54">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c r="V7" s="74"/>
      <c r="W7" s="74"/>
      <c r="X7" s="1170"/>
      <c r="Y7" s="75"/>
      <c r="Z7" s="76"/>
      <c r="AA7" s="69"/>
      <c r="AB7" s="69"/>
      <c r="AC7" s="1170"/>
      <c r="AD7" s="77"/>
      <c r="AE7" s="1171">
        <f t="shared" ref="AE7:AE13" ca="1" si="6">IF(AN7="",0,SUMIF(INDIRECT("'"&amp;AN7&amp;"'"&amp;"!E:E"),$AE$5,INDIRECT("'"&amp;AN7&amp;"'"&amp;"!F:F")))</f>
        <v>0</v>
      </c>
      <c r="AF7" s="1501"/>
      <c r="AG7" s="142">
        <f t="shared" ref="AG7:AG13" si="7">IF(AF7="",0,AE7-AF7)</f>
        <v>0</v>
      </c>
      <c r="AH7" s="78"/>
      <c r="AI7" s="80"/>
      <c r="AJ7" s="81"/>
      <c r="AK7" s="82"/>
      <c r="AL7" s="83"/>
      <c r="AM7" s="84"/>
      <c r="AN7" s="1870"/>
      <c r="AO7" s="54" t="e">
        <f t="shared" ref="AO7:AO13" ca="1" si="8">SUMIF(INDIRECT("'"&amp;AN7&amp;"'"&amp;"!A:A"),"总价",INDIRECT("'"&amp;AN7&amp;"'"&amp;"!B:B"))</f>
        <v>#REF!</v>
      </c>
      <c r="AP7" s="1871">
        <f t="shared" ref="AP7:AP13" si="9">IF(C7="住宅",K7*L7,0)</f>
        <v>0</v>
      </c>
      <c r="AQ7" s="54">
        <f t="shared" ref="AQ7:AQ13" si="10">ROUND($L$14*$N$14*S7/10000,0)</f>
        <v>0</v>
      </c>
      <c r="AR7" s="54">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1"/>
      <c r="AG8" s="142">
        <f t="shared" si="7"/>
        <v>0</v>
      </c>
      <c r="AH8" s="746"/>
      <c r="AI8" s="80"/>
      <c r="AJ8" s="81"/>
      <c r="AK8" s="747"/>
      <c r="AL8" s="748"/>
      <c r="AM8" s="749"/>
      <c r="AN8" s="1870"/>
      <c r="AO8" s="54" t="e">
        <f t="shared" ca="1" si="8"/>
        <v>#REF!</v>
      </c>
      <c r="AP8" s="1871">
        <f t="shared" si="9"/>
        <v>0</v>
      </c>
      <c r="AQ8" s="54">
        <f t="shared" si="10"/>
        <v>0</v>
      </c>
      <c r="AR8" s="54">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1"/>
      <c r="AG9" s="142">
        <f t="shared" si="7"/>
        <v>0</v>
      </c>
      <c r="AH9" s="78"/>
      <c r="AI9" s="80"/>
      <c r="AJ9" s="81"/>
      <c r="AK9" s="82"/>
      <c r="AL9" s="83"/>
      <c r="AM9" s="84"/>
      <c r="AN9" s="1870"/>
      <c r="AO9" s="54" t="e">
        <f t="shared" ca="1" si="8"/>
        <v>#REF!</v>
      </c>
      <c r="AP9" s="1871">
        <f t="shared" si="9"/>
        <v>0</v>
      </c>
      <c r="AQ9" s="54">
        <f t="shared" si="10"/>
        <v>0</v>
      </c>
      <c r="AR9" s="54">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1"/>
      <c r="AG10" s="142">
        <f t="shared" si="7"/>
        <v>0</v>
      </c>
      <c r="AH10" s="78"/>
      <c r="AI10" s="80"/>
      <c r="AJ10" s="81"/>
      <c r="AK10" s="82"/>
      <c r="AL10" s="83"/>
      <c r="AM10" s="84"/>
      <c r="AN10" s="1870"/>
      <c r="AO10" s="54" t="e">
        <f t="shared" ca="1" si="8"/>
        <v>#REF!</v>
      </c>
      <c r="AP10" s="1871">
        <f t="shared" si="9"/>
        <v>0</v>
      </c>
      <c r="AQ10" s="54">
        <f t="shared" si="10"/>
        <v>0</v>
      </c>
      <c r="AR10" s="54">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1"/>
      <c r="AG11" s="142">
        <f t="shared" si="7"/>
        <v>0</v>
      </c>
      <c r="AH11" s="78"/>
      <c r="AI11" s="80"/>
      <c r="AJ11" s="81"/>
      <c r="AK11" s="89"/>
      <c r="AL11" s="90"/>
      <c r="AM11" s="91"/>
      <c r="AN11" s="1870"/>
      <c r="AO11" s="54" t="e">
        <f t="shared" ca="1" si="8"/>
        <v>#REF!</v>
      </c>
      <c r="AP11" s="1871">
        <f t="shared" si="9"/>
        <v>0</v>
      </c>
      <c r="AQ11" s="54">
        <f t="shared" si="10"/>
        <v>0</v>
      </c>
      <c r="AR11" s="54">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1"/>
      <c r="AG12" s="142">
        <f t="shared" si="7"/>
        <v>0</v>
      </c>
      <c r="AH12" s="78"/>
      <c r="AI12" s="80"/>
      <c r="AJ12" s="81"/>
      <c r="AK12" s="89"/>
      <c r="AL12" s="90"/>
      <c r="AM12" s="91"/>
      <c r="AN12" s="1870"/>
      <c r="AO12" s="54" t="e">
        <f t="shared" ca="1" si="8"/>
        <v>#REF!</v>
      </c>
      <c r="AP12" s="1871">
        <f t="shared" si="9"/>
        <v>0</v>
      </c>
      <c r="AQ12" s="54">
        <f t="shared" si="10"/>
        <v>0</v>
      </c>
      <c r="AR12" s="54">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1"/>
      <c r="AG13" s="142">
        <f t="shared" si="7"/>
        <v>0</v>
      </c>
      <c r="AH13" s="78"/>
      <c r="AI13" s="80"/>
      <c r="AJ13" s="81"/>
      <c r="AK13" s="82"/>
      <c r="AL13" s="83"/>
      <c r="AM13" s="84"/>
      <c r="AN13" s="1870"/>
      <c r="AO13" s="54" t="e">
        <f t="shared" ca="1" si="8"/>
        <v>#REF!</v>
      </c>
      <c r="AP13" s="1871">
        <f t="shared" si="9"/>
        <v>0</v>
      </c>
      <c r="AQ13" s="54">
        <f t="shared" si="10"/>
        <v>0</v>
      </c>
      <c r="AR13" s="54">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05"/>
      <c r="U14" s="678"/>
      <c r="V14" s="1165"/>
      <c r="W14" s="1165"/>
      <c r="X14" s="1166"/>
      <c r="Y14" s="1167"/>
      <c r="Z14" s="1168"/>
      <c r="AA14" s="1169"/>
      <c r="AB14" s="1169"/>
      <c r="AC14" s="1170"/>
      <c r="AD14" s="1166"/>
      <c r="AE14" s="1171"/>
      <c r="AF14" s="54"/>
      <c r="AG14" s="142"/>
      <c r="AH14" s="1171"/>
      <c r="AI14" s="1510"/>
      <c r="AJ14" s="712"/>
      <c r="AK14" s="1172"/>
      <c r="AL14" s="1173"/>
      <c r="AM14" s="1174"/>
      <c r="AN14" s="2867"/>
      <c r="AO14" s="2869"/>
      <c r="AP14" s="2869"/>
      <c r="AQ14" s="2869"/>
      <c r="AR14" s="286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10"/>
      <c r="AJ15" s="712"/>
      <c r="AK15" s="1172"/>
      <c r="AL15" s="1173"/>
      <c r="AM15" s="1174"/>
      <c r="AN15" s="2867"/>
      <c r="AO15" s="2869"/>
      <c r="AP15" s="2869"/>
      <c r="AQ15" s="2869"/>
      <c r="AR15" s="286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2"/>
      <c r="C16" s="941"/>
      <c r="D16" s="1875"/>
      <c r="E16" s="92"/>
      <c r="F16" s="92"/>
      <c r="G16" s="93">
        <f>ROUND(SUMPRODUCT(G6:G13,K6:K13)/SUMPRODUCT((G6:G13&gt;0)*(K6:K13)),3)</f>
        <v>0.93200000000000005</v>
      </c>
      <c r="H16" s="94">
        <f>ROUND(SUMPRODUCT(H6:H13,K6:K13)/SUMPRODUCT((H6:H13&gt;0)*(K6:K13)),3)</f>
        <v>4.4999999999999998E-2</v>
      </c>
      <c r="I16" s="95"/>
      <c r="J16" s="95"/>
      <c r="K16" s="96">
        <f>SUM(K6:K15)</f>
        <v>17109.73</v>
      </c>
      <c r="L16" s="97">
        <f>ROUND(M16*10000/SUM(K6:K14),0)</f>
        <v>3000</v>
      </c>
      <c r="M16" s="97">
        <f>SUM(M6:M14)</f>
        <v>5133</v>
      </c>
      <c r="N16" s="98">
        <f>ROUND(SUMPRODUCT(M6:M14,N6:N14)/M16,3)</f>
        <v>0.87</v>
      </c>
      <c r="O16" s="97">
        <f>SUM(O6:O14)</f>
        <v>0</v>
      </c>
      <c r="P16" s="97">
        <f>SUM(P6:P14)</f>
        <v>0</v>
      </c>
      <c r="Q16" s="99">
        <f>ROUND(SUMPRODUCT(Q6:Q13,K6:K13)/SUMPRODUCT((Q6:Q13&gt;0)*(K6:K13)),2)</f>
        <v>0.1</v>
      </c>
      <c r="R16" s="116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67"/>
      <c r="AO16" s="2869"/>
      <c r="AP16" s="2869"/>
      <c r="AQ16" s="2869"/>
      <c r="AR16" s="286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8"/>
      <c r="C17" s="2867"/>
      <c r="D17" s="2871"/>
      <c r="E17" s="2871"/>
      <c r="F17" s="2867"/>
      <c r="G17" s="2867"/>
      <c r="H17" s="2867"/>
      <c r="I17" s="2867"/>
      <c r="J17" s="2867"/>
      <c r="K17" s="2868"/>
      <c r="L17" s="2868"/>
      <c r="M17" s="2867"/>
      <c r="N17" s="2867"/>
      <c r="O17" s="2867"/>
      <c r="P17" s="2867"/>
      <c r="Q17" s="2867"/>
      <c r="R17" s="2867"/>
      <c r="S17" s="2867"/>
      <c r="T17" s="2867"/>
      <c r="U17" s="2867" t="s">
        <v>3222</v>
      </c>
      <c r="V17" s="2867" t="s">
        <v>3223</v>
      </c>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3" t="s">
        <v>1836</v>
      </c>
      <c r="B18" s="2881"/>
      <c r="C18" s="2869"/>
      <c r="D18" s="2872"/>
      <c r="E18" s="2869"/>
      <c r="F18" s="2869"/>
      <c r="G18" s="2869"/>
      <c r="H18" s="2869"/>
      <c r="I18" s="2869"/>
      <c r="J18" s="2869"/>
      <c r="K18" s="2868"/>
      <c r="L18" s="2868"/>
      <c r="M18" s="2867"/>
      <c r="N18" s="2867"/>
      <c r="O18" s="2867"/>
      <c r="P18" s="2867"/>
      <c r="Q18" s="2867"/>
      <c r="R18" s="2867"/>
      <c r="S18" s="2867"/>
      <c r="T18" s="2867"/>
      <c r="U18" s="2867">
        <v>13687.784</v>
      </c>
      <c r="V18" s="2867">
        <v>3421.9459999999999</v>
      </c>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7" t="s">
        <v>1837</v>
      </c>
      <c r="B19" s="107">
        <v>0</v>
      </c>
      <c r="C19" s="2997" t="s">
        <v>2977</v>
      </c>
      <c r="D19" s="2872"/>
      <c r="E19" s="2869"/>
      <c r="F19" s="2869"/>
      <c r="G19" s="2869"/>
      <c r="H19" s="2869"/>
      <c r="I19" s="2869"/>
      <c r="J19" s="2869"/>
      <c r="K19" s="2868"/>
      <c r="L19" s="2868"/>
      <c r="M19" s="2867"/>
      <c r="N19" s="2867"/>
      <c r="O19" s="2867"/>
      <c r="P19" s="2867"/>
      <c r="Q19" s="2867"/>
      <c r="R19" s="2867"/>
      <c r="S19" s="2867"/>
      <c r="T19" s="2867"/>
      <c r="U19" s="2867">
        <v>1.5</v>
      </c>
      <c r="V19" s="2867">
        <f>U19*0.5</f>
        <v>0.75</v>
      </c>
      <c r="W19" s="2867">
        <f>(U20+V20)/(U18+V18)</f>
        <v>1.35</v>
      </c>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8" t="s">
        <v>1838</v>
      </c>
      <c r="B20" s="108">
        <v>1.5</v>
      </c>
      <c r="C20" s="2998" t="s">
        <v>2975</v>
      </c>
      <c r="D20" s="2872"/>
      <c r="E20" s="2869"/>
      <c r="F20" s="2869"/>
      <c r="G20" s="2869"/>
      <c r="H20" s="2869"/>
      <c r="I20" s="2869"/>
      <c r="J20" s="2869"/>
      <c r="K20" s="2868"/>
      <c r="L20" s="2868"/>
      <c r="M20" s="2867"/>
      <c r="N20" s="2867"/>
      <c r="O20" s="2867"/>
      <c r="P20" s="2867"/>
      <c r="Q20" s="2867"/>
      <c r="R20" s="2867"/>
      <c r="S20" s="2867"/>
      <c r="T20" s="2867"/>
      <c r="U20" s="2867">
        <f>U19*U18</f>
        <v>20531.675999999999</v>
      </c>
      <c r="V20" s="2867">
        <f>V19*V18</f>
        <v>2566.4594999999999</v>
      </c>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9" t="s">
        <v>1839</v>
      </c>
      <c r="B21" s="108">
        <v>1.5</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8" t="s">
        <v>1840</v>
      </c>
      <c r="B22" s="109">
        <f>B19+B20</f>
        <v>1.5</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9" t="s">
        <v>1841</v>
      </c>
      <c r="B23" s="109">
        <f>B19+B21</f>
        <v>1.5</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0" t="s">
        <v>1842</v>
      </c>
      <c r="B24" s="110">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1"/>
      <c r="B25" s="1842"/>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8" t="s">
        <v>1843</v>
      </c>
      <c r="B26" s="1881"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3" customFormat="1" ht="27.75">
      <c r="A27" s="1882" t="s">
        <v>1846</v>
      </c>
      <c r="B27" s="111"/>
      <c r="C27" s="2999" t="s">
        <v>2979</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1847</v>
      </c>
      <c r="B28" s="114"/>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1848</v>
      </c>
      <c r="B29" s="116"/>
      <c r="C29" s="3000" t="s">
        <v>2966</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1849</v>
      </c>
      <c r="B30" s="679">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1850</v>
      </c>
      <c r="B31" s="115">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1851</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1852</v>
      </c>
      <c r="B33" s="681">
        <v>0.03</v>
      </c>
      <c r="C33" s="3001" t="s">
        <v>2967</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1853</v>
      </c>
      <c r="B34" s="117">
        <v>0</v>
      </c>
      <c r="C34" s="3001" t="s">
        <v>2968</v>
      </c>
      <c r="D34" s="2880" t="s">
        <v>2976</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1854</v>
      </c>
      <c r="B35" s="114">
        <v>200</v>
      </c>
      <c r="C35" s="3001" t="s">
        <v>2969</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1855</v>
      </c>
      <c r="B36" s="118">
        <v>1.4999999999999999E-2</v>
      </c>
      <c r="C36" s="3001" t="s">
        <v>2970</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6" t="s">
        <v>1856</v>
      </c>
      <c r="B37" s="119">
        <v>0.02</v>
      </c>
      <c r="C37" s="3001" t="s">
        <v>2971</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4" t="s">
        <v>1857</v>
      </c>
      <c r="B38" s="117">
        <v>0.01</v>
      </c>
      <c r="C38" s="3001" t="s">
        <v>2971</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7" t="s">
        <v>1858</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3129</v>
      </c>
      <c r="B40" s="1209">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2" t="s">
        <v>1859</v>
      </c>
      <c r="B41" s="120">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8" t="s">
        <v>1860</v>
      </c>
      <c r="B42" s="121">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8" t="s">
        <v>1861</v>
      </c>
      <c r="B43" s="122">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9" t="s">
        <v>1862</v>
      </c>
      <c r="B44" s="123">
        <v>0.05</v>
      </c>
      <c r="C44" s="3001" t="s">
        <v>2980</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9" t="s">
        <v>1863</v>
      </c>
      <c r="B45" s="121">
        <v>0.03</v>
      </c>
      <c r="C45" s="3000" t="s">
        <v>2972</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9" t="s">
        <v>1864</v>
      </c>
      <c r="B46" s="121">
        <v>0.02</v>
      </c>
      <c r="C46" s="3000" t="s">
        <v>2973</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0" t="s">
        <v>1865</v>
      </c>
      <c r="B47" s="124"/>
      <c r="C47" s="3003" t="s">
        <v>2981</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1" t="s">
        <v>1866</v>
      </c>
      <c r="B48" s="125">
        <v>0.03</v>
      </c>
      <c r="C48" s="3000" t="s">
        <v>2972</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7" t="s">
        <v>1867</v>
      </c>
      <c r="B49" s="121">
        <v>5.0000000000000001E-4</v>
      </c>
      <c r="C49" s="3000" t="s">
        <v>2974</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2" t="s">
        <v>1868</v>
      </c>
      <c r="B50" s="126">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5" t="s">
        <v>1869</v>
      </c>
      <c r="B51" s="127">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2" t="s">
        <v>1870</v>
      </c>
      <c r="B52" s="128">
        <f>SUMIF(A54:A63,B53,B54:B63)</f>
        <v>1.5</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4" t="s">
        <v>1871</v>
      </c>
      <c r="B53" s="1893" t="s">
        <v>56</v>
      </c>
      <c r="C53" s="2855" t="s">
        <v>1872</v>
      </c>
      <c r="D53" s="3002" t="s">
        <v>2978</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4" t="s">
        <v>1873</v>
      </c>
      <c r="B54" s="79"/>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4" t="s">
        <v>1874</v>
      </c>
      <c r="B55" s="79"/>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4" t="s">
        <v>1875</v>
      </c>
      <c r="B56" s="79"/>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4" t="s">
        <v>1876</v>
      </c>
      <c r="B57" s="79"/>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4" t="s">
        <v>1877</v>
      </c>
      <c r="B58" s="79"/>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4" t="s">
        <v>1878</v>
      </c>
      <c r="B59" s="79">
        <v>1.5</v>
      </c>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4" t="s">
        <v>1879</v>
      </c>
      <c r="B60" s="79"/>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4" t="s">
        <v>1880</v>
      </c>
      <c r="B61" s="79"/>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4" t="s">
        <v>1881</v>
      </c>
      <c r="B62" s="79"/>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5" t="s">
        <v>1882</v>
      </c>
      <c r="B63" s="129"/>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6"/>
      <c r="L134" s="26"/>
    </row>
    <row r="135" spans="1:12" s="1836" customFormat="1">
      <c r="A135" s="1898"/>
      <c r="D135" s="1899"/>
      <c r="K135" s="26"/>
      <c r="L135" s="26"/>
    </row>
    <row r="136" spans="1:12" s="1836" customFormat="1">
      <c r="A136" s="1898"/>
      <c r="D136" s="1899"/>
      <c r="K136" s="26"/>
      <c r="L136" s="26"/>
    </row>
    <row r="137" spans="1:12" s="1836" customFormat="1">
      <c r="A137" s="1898"/>
      <c r="D137" s="1899"/>
      <c r="K137" s="26"/>
      <c r="L137" s="26"/>
    </row>
    <row r="138" spans="1:12" s="1836" customFormat="1">
      <c r="A138" s="1898"/>
      <c r="D138" s="1899"/>
      <c r="K138" s="26"/>
      <c r="L138" s="26"/>
    </row>
    <row r="139" spans="1:12" s="1836" customFormat="1">
      <c r="A139" s="1898"/>
      <c r="D139" s="1899"/>
      <c r="K139" s="26"/>
      <c r="L139" s="26"/>
    </row>
    <row r="140" spans="1:12" s="1836" customFormat="1">
      <c r="A140" s="1898"/>
      <c r="D140" s="1899"/>
      <c r="K140" s="26"/>
      <c r="L140" s="26"/>
    </row>
    <row r="141" spans="1:12" s="1836" customFormat="1">
      <c r="A141" s="1898"/>
      <c r="D141" s="1899"/>
      <c r="K141" s="26"/>
      <c r="L141" s="26"/>
    </row>
    <row r="142" spans="1:12" s="1836" customFormat="1">
      <c r="A142" s="1898"/>
      <c r="D142" s="1899"/>
      <c r="K142" s="26"/>
      <c r="L142" s="26"/>
    </row>
    <row r="143" spans="1:12" s="1836" customFormat="1">
      <c r="A143" s="1898"/>
      <c r="D143" s="1899"/>
      <c r="K143" s="26"/>
      <c r="L143" s="26"/>
    </row>
    <row r="144" spans="1:12" s="1836" customFormat="1">
      <c r="A144" s="1898"/>
      <c r="D144" s="1899"/>
      <c r="K144" s="26"/>
      <c r="L144" s="26"/>
    </row>
    <row r="145" spans="1:12" s="1836" customFormat="1">
      <c r="A145" s="1898"/>
      <c r="D145" s="1899"/>
      <c r="K145" s="26"/>
      <c r="L145" s="26"/>
    </row>
    <row r="146" spans="1:12" s="1836" customFormat="1">
      <c r="A146" s="1898"/>
      <c r="D146" s="1899"/>
      <c r="K146" s="26"/>
      <c r="L146" s="26"/>
    </row>
    <row r="147" spans="1:12" s="1836" customFormat="1">
      <c r="A147" s="1898"/>
      <c r="D147" s="1899"/>
      <c r="K147" s="26"/>
      <c r="L147" s="26"/>
    </row>
    <row r="148" spans="1:12" s="1836" customFormat="1">
      <c r="A148" s="1898"/>
      <c r="D148" s="1899"/>
      <c r="K148" s="26"/>
      <c r="L148" s="26"/>
    </row>
    <row r="149" spans="1:12" s="1836" customFormat="1">
      <c r="A149" s="1898"/>
      <c r="D149" s="1899"/>
      <c r="K149" s="26"/>
      <c r="L149" s="26"/>
    </row>
    <row r="150" spans="1:12" s="1836" customFormat="1">
      <c r="A150" s="1898"/>
      <c r="D150" s="1899"/>
      <c r="K150" s="26"/>
      <c r="L150" s="26"/>
    </row>
    <row r="151" spans="1:12" s="1836" customFormat="1">
      <c r="A151" s="1898"/>
      <c r="D151" s="1899"/>
      <c r="K151" s="26"/>
      <c r="L151" s="26"/>
    </row>
    <row r="152" spans="1:12" s="1836" customFormat="1">
      <c r="A152" s="1898"/>
      <c r="D152" s="1899"/>
      <c r="K152" s="26"/>
      <c r="L152" s="26"/>
    </row>
    <row r="153" spans="1:12" s="1836" customFormat="1">
      <c r="A153" s="1898"/>
      <c r="D153" s="1899"/>
      <c r="K153" s="26"/>
      <c r="L153" s="26"/>
    </row>
    <row r="154" spans="1:12" s="1836" customFormat="1">
      <c r="A154" s="1898"/>
      <c r="D154" s="1899"/>
      <c r="K154" s="26"/>
      <c r="L154" s="26"/>
    </row>
    <row r="155" spans="1:12" s="1836" customFormat="1">
      <c r="A155" s="1898"/>
      <c r="D155" s="1899"/>
      <c r="K155" s="26"/>
      <c r="L155" s="26"/>
    </row>
    <row r="156" spans="1:12" s="1836" customFormat="1">
      <c r="A156" s="1898"/>
      <c r="D156" s="1899"/>
      <c r="K156" s="26"/>
      <c r="L156" s="26"/>
    </row>
    <row r="157" spans="1:12" s="1836" customFormat="1">
      <c r="A157" s="1898"/>
      <c r="D157" s="1899"/>
      <c r="K157" s="26"/>
      <c r="L157" s="26"/>
    </row>
    <row r="158" spans="1:12" s="1836" customFormat="1">
      <c r="A158" s="1898"/>
      <c r="D158" s="1899"/>
      <c r="K158" s="26"/>
      <c r="L158" s="26"/>
    </row>
    <row r="159" spans="1:12" s="1836" customFormat="1">
      <c r="A159" s="1898"/>
      <c r="D159" s="1899"/>
      <c r="K159" s="26"/>
      <c r="L159" s="26"/>
    </row>
    <row r="160" spans="1:12" s="1836" customFormat="1">
      <c r="A160" s="1898"/>
      <c r="D160" s="1899"/>
      <c r="K160" s="26"/>
      <c r="L160" s="26"/>
    </row>
    <row r="161" spans="1:12" s="1836" customFormat="1">
      <c r="A161" s="1898"/>
      <c r="D161" s="1899"/>
      <c r="K161" s="26"/>
      <c r="L161" s="26"/>
    </row>
    <row r="162" spans="1:12" s="1836" customFormat="1">
      <c r="A162" s="1898"/>
      <c r="D162" s="1899"/>
      <c r="K162" s="26"/>
      <c r="L162" s="26"/>
    </row>
    <row r="163" spans="1:12" s="1836" customFormat="1">
      <c r="A163" s="1898"/>
      <c r="D163" s="1899"/>
      <c r="K163" s="26"/>
      <c r="L163" s="26"/>
    </row>
    <row r="164" spans="1:12" s="1836" customFormat="1">
      <c r="A164" s="1898"/>
      <c r="D164" s="1899"/>
      <c r="K164" s="26"/>
      <c r="L164" s="26"/>
    </row>
    <row r="165" spans="1:12" s="1836" customFormat="1">
      <c r="A165" s="1898"/>
      <c r="D165" s="1899"/>
      <c r="K165" s="26"/>
      <c r="L165" s="26"/>
    </row>
    <row r="166" spans="1:12" s="1836" customFormat="1">
      <c r="A166" s="1898"/>
      <c r="D166" s="1899"/>
      <c r="K166" s="26"/>
      <c r="L166" s="26"/>
    </row>
    <row r="167" spans="1:12" s="1836" customFormat="1">
      <c r="A167" s="1898"/>
      <c r="D167" s="1899"/>
      <c r="K167" s="26"/>
      <c r="L167" s="26"/>
    </row>
    <row r="168" spans="1:12" s="1836" customFormat="1">
      <c r="A168" s="1898"/>
      <c r="D168" s="1899"/>
      <c r="K168" s="26"/>
      <c r="L168" s="26"/>
    </row>
    <row r="169" spans="1:12" s="1836" customFormat="1">
      <c r="A169" s="1898"/>
      <c r="D169" s="1899"/>
      <c r="K169" s="26"/>
      <c r="L169" s="26"/>
    </row>
    <row r="170" spans="1:12" s="1836" customFormat="1">
      <c r="A170" s="1898"/>
      <c r="D170" s="1899"/>
      <c r="K170" s="26"/>
      <c r="L170" s="26"/>
    </row>
    <row r="171" spans="1:12" s="1836" customFormat="1">
      <c r="A171" s="1898"/>
      <c r="D171" s="1899"/>
      <c r="K171" s="26"/>
      <c r="L171" s="26"/>
    </row>
    <row r="172" spans="1:12" s="1836" customFormat="1">
      <c r="A172" s="1898"/>
      <c r="D172" s="1899"/>
      <c r="K172" s="26"/>
      <c r="L172" s="26"/>
    </row>
    <row r="173" spans="1:12" s="1836" customFormat="1">
      <c r="A173" s="1898"/>
      <c r="D173" s="1899"/>
      <c r="K173" s="26"/>
      <c r="L173" s="26"/>
    </row>
    <row r="174" spans="1:12" s="1836" customFormat="1">
      <c r="A174" s="1898"/>
      <c r="D174" s="189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ColWidth="9" defaultRowHeight="14.25"/>
  <cols>
    <col min="1" max="1" width="9.5" style="1841" customWidth="1"/>
    <col min="2" max="2" width="24.5" style="1726" customWidth="1"/>
    <col min="3" max="3" width="24.5" style="2703" customWidth="1"/>
    <col min="4" max="4" width="2.625" style="2703" customWidth="1"/>
    <col min="5" max="5" width="5.875" style="2703" customWidth="1"/>
    <col min="6" max="6" width="27" style="1726"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6"/>
    <col min="30" max="16384" width="9" style="1841"/>
  </cols>
  <sheetData>
    <row r="1" spans="1:29" s="2652" customFormat="1" ht="18.75" thickBot="1">
      <c r="A1" s="3314" t="s">
        <v>2958</v>
      </c>
      <c r="B1" s="3315"/>
      <c r="C1" s="3315"/>
      <c r="D1" s="3315"/>
      <c r="E1" s="3315"/>
      <c r="F1" s="3315"/>
      <c r="G1" s="3315"/>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2955</v>
      </c>
      <c r="D2" s="2656"/>
      <c r="E2" s="2653"/>
      <c r="F2" s="2657"/>
      <c r="G2" s="2655" t="s">
        <v>2956</v>
      </c>
      <c r="H2" s="906"/>
      <c r="I2" s="906"/>
      <c r="J2" s="906"/>
      <c r="K2" s="906"/>
      <c r="L2" s="906"/>
      <c r="M2" s="906"/>
      <c r="N2" s="906"/>
      <c r="O2" s="906"/>
      <c r="P2" s="906"/>
      <c r="Q2" s="906"/>
      <c r="R2" s="906"/>
    </row>
    <row r="3" spans="1:29" ht="24">
      <c r="A3" s="2636" t="s">
        <v>2957</v>
      </c>
      <c r="B3" s="2658" t="s">
        <v>2933</v>
      </c>
      <c r="C3" s="2659"/>
      <c r="D3" s="2660"/>
      <c r="E3" s="2637" t="s">
        <v>2957</v>
      </c>
      <c r="F3" s="2661" t="s">
        <v>2934</v>
      </c>
      <c r="G3" s="3205" t="s">
        <v>3131</v>
      </c>
      <c r="H3" s="906"/>
      <c r="I3" s="906"/>
      <c r="J3" s="906"/>
      <c r="K3" s="906"/>
      <c r="L3" s="906"/>
      <c r="M3" s="906"/>
      <c r="N3" s="906"/>
      <c r="O3" s="906"/>
      <c r="P3" s="906"/>
      <c r="Q3" s="906"/>
      <c r="R3" s="906"/>
    </row>
    <row r="4" spans="1:29">
      <c r="A4" s="2637"/>
      <c r="B4" s="328" t="s">
        <v>2935</v>
      </c>
      <c r="C4" s="2662"/>
      <c r="D4" s="2660"/>
      <c r="E4" s="2663"/>
      <c r="F4" s="1526" t="s">
        <v>2936</v>
      </c>
      <c r="G4" s="3206" t="s">
        <v>3202</v>
      </c>
      <c r="H4" s="906"/>
      <c r="I4" s="906"/>
      <c r="J4" s="906"/>
      <c r="K4" s="906"/>
      <c r="L4" s="906"/>
      <c r="M4" s="906"/>
      <c r="N4" s="906"/>
      <c r="O4" s="906"/>
      <c r="P4" s="906"/>
      <c r="Q4" s="906"/>
      <c r="R4" s="906"/>
    </row>
    <row r="5" spans="1:29">
      <c r="A5" s="2637"/>
      <c r="B5" s="328" t="s">
        <v>2937</v>
      </c>
      <c r="C5" s="2662"/>
      <c r="D5" s="2660"/>
      <c r="E5" s="2663"/>
      <c r="F5" s="328" t="s">
        <v>2938</v>
      </c>
      <c r="G5" s="3206" t="s">
        <v>3131</v>
      </c>
      <c r="H5" s="906"/>
      <c r="I5" s="906"/>
      <c r="J5" s="906"/>
      <c r="K5" s="906"/>
      <c r="L5" s="906"/>
      <c r="M5" s="906"/>
      <c r="N5" s="906"/>
      <c r="O5" s="906"/>
      <c r="P5" s="906"/>
      <c r="Q5" s="906"/>
      <c r="R5" s="906"/>
    </row>
    <row r="6" spans="1:29">
      <c r="A6" s="2637"/>
      <c r="B6" s="328" t="s">
        <v>2939</v>
      </c>
      <c r="C6" s="2664"/>
      <c r="D6" s="2660"/>
      <c r="E6" s="2663"/>
      <c r="F6" s="328" t="s">
        <v>2940</v>
      </c>
      <c r="G6" s="3206" t="s">
        <v>3133</v>
      </c>
      <c r="H6" s="906"/>
      <c r="I6" s="906"/>
      <c r="J6" s="906"/>
      <c r="K6" s="906"/>
      <c r="L6" s="906"/>
      <c r="M6" s="906"/>
      <c r="N6" s="906"/>
      <c r="O6" s="906"/>
      <c r="P6" s="906"/>
      <c r="Q6" s="906"/>
      <c r="R6" s="906"/>
    </row>
    <row r="7" spans="1:29" ht="15" thickBot="1">
      <c r="A7" s="2637"/>
      <c r="B7" s="328" t="s">
        <v>2938</v>
      </c>
      <c r="C7" s="2664"/>
      <c r="D7" s="2665"/>
      <c r="E7" s="2666"/>
      <c r="F7" s="2667" t="s">
        <v>2941</v>
      </c>
      <c r="G7" s="3207" t="s">
        <v>3131</v>
      </c>
      <c r="H7" s="906"/>
      <c r="I7" s="906"/>
      <c r="J7" s="906"/>
      <c r="K7" s="906"/>
      <c r="L7" s="906"/>
      <c r="M7" s="906"/>
      <c r="N7" s="906"/>
      <c r="O7" s="906"/>
      <c r="P7" s="906"/>
      <c r="Q7" s="906"/>
      <c r="R7" s="906"/>
    </row>
    <row r="8" spans="1:29">
      <c r="A8" s="2637"/>
      <c r="B8" s="328" t="s">
        <v>2940</v>
      </c>
      <c r="C8" s="2664"/>
      <c r="D8" s="2665"/>
      <c r="E8" s="2665"/>
      <c r="F8" s="2668"/>
      <c r="G8" s="2668"/>
      <c r="H8" s="906"/>
      <c r="I8" s="906"/>
      <c r="J8" s="906"/>
      <c r="K8" s="906"/>
      <c r="L8" s="906"/>
      <c r="M8" s="906"/>
      <c r="N8" s="906"/>
      <c r="O8" s="906"/>
      <c r="P8" s="906"/>
      <c r="Q8" s="906"/>
      <c r="R8" s="906"/>
    </row>
    <row r="9" spans="1:29">
      <c r="A9" s="2637"/>
      <c r="B9" s="328" t="s">
        <v>2942</v>
      </c>
      <c r="C9" s="2662"/>
      <c r="D9" s="2660"/>
      <c r="E9" s="2665"/>
      <c r="F9" s="2668"/>
      <c r="G9" s="2668"/>
      <c r="H9" s="906"/>
      <c r="I9" s="906"/>
      <c r="J9" s="906"/>
      <c r="K9" s="906"/>
      <c r="L9" s="906"/>
      <c r="M9" s="906"/>
      <c r="N9" s="906"/>
      <c r="O9" s="906"/>
      <c r="P9" s="906"/>
      <c r="Q9" s="906"/>
      <c r="R9" s="906"/>
    </row>
    <row r="10" spans="1:29" s="2674" customFormat="1" ht="15" thickBot="1">
      <c r="A10" s="2638"/>
      <c r="B10" s="2669" t="s">
        <v>2943</v>
      </c>
      <c r="C10" s="2670"/>
      <c r="D10" s="2660"/>
      <c r="E10" s="2660"/>
      <c r="F10" s="2668"/>
      <c r="G10" s="2668"/>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2" customFormat="1" ht="18">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75" thickBot="1">
      <c r="A13" s="2683" t="s">
        <v>2959</v>
      </c>
      <c r="B13" s="2677"/>
      <c r="C13" s="2677"/>
      <c r="D13" s="2675"/>
      <c r="E13" s="2677"/>
      <c r="F13" s="2677"/>
      <c r="G13" s="2677"/>
    </row>
    <row r="14" spans="1:29" ht="15" thickBot="1">
      <c r="A14" s="2687"/>
      <c r="B14" s="2687"/>
      <c r="C14" s="2688" t="s">
        <v>2944</v>
      </c>
      <c r="D14" s="2660"/>
      <c r="E14" s="2689"/>
      <c r="F14" s="2689"/>
      <c r="G14" s="2655" t="s">
        <v>2945</v>
      </c>
    </row>
    <row r="15" spans="1:29" ht="24">
      <c r="A15" s="2639" t="s">
        <v>2946</v>
      </c>
      <c r="B15" s="2690" t="s">
        <v>2933</v>
      </c>
      <c r="C15" s="2691">
        <f>C3</f>
        <v>0</v>
      </c>
      <c r="D15" s="2660"/>
      <c r="E15" s="2640" t="s">
        <v>2947</v>
      </c>
      <c r="F15" s="2690" t="s">
        <v>2948</v>
      </c>
      <c r="G15" s="2692" t="str">
        <f>G3</f>
        <v>较好</v>
      </c>
    </row>
    <row r="16" spans="1:29">
      <c r="A16" s="2641"/>
      <c r="B16" s="2693" t="s">
        <v>2935</v>
      </c>
      <c r="C16" s="2694">
        <f>C4</f>
        <v>0</v>
      </c>
      <c r="D16" s="2660"/>
      <c r="E16" s="2642"/>
      <c r="F16" s="2695" t="s">
        <v>2936</v>
      </c>
      <c r="G16" s="2696" t="str">
        <f>G4</f>
        <v>好</v>
      </c>
    </row>
    <row r="17" spans="1:18">
      <c r="A17" s="2641"/>
      <c r="B17" s="2693" t="s">
        <v>2937</v>
      </c>
      <c r="C17" s="2694">
        <f>C5</f>
        <v>0</v>
      </c>
      <c r="D17" s="2665"/>
      <c r="E17" s="2642"/>
      <c r="F17" s="2695" t="s">
        <v>2949</v>
      </c>
      <c r="G17" s="3208" t="s">
        <v>3131</v>
      </c>
    </row>
    <row r="18" spans="1:18">
      <c r="A18" s="2641"/>
      <c r="B18" s="2695" t="s">
        <v>2939</v>
      </c>
      <c r="C18" s="2696">
        <f>C6</f>
        <v>0</v>
      </c>
      <c r="D18" s="2665"/>
      <c r="E18" s="2642"/>
      <c r="F18" s="2695" t="s">
        <v>2941</v>
      </c>
      <c r="G18" s="2696" t="str">
        <f>G7</f>
        <v>较好</v>
      </c>
    </row>
    <row r="19" spans="1:18">
      <c r="A19" s="2641"/>
      <c r="B19" s="2695" t="s">
        <v>2950</v>
      </c>
      <c r="C19" s="2697"/>
      <c r="D19" s="2660"/>
      <c r="E19" s="2642"/>
      <c r="F19" s="328" t="s">
        <v>2938</v>
      </c>
      <c r="G19" s="2696" t="str">
        <f>G5</f>
        <v>较好</v>
      </c>
    </row>
    <row r="20" spans="1:18">
      <c r="A20" s="2641"/>
      <c r="B20" s="2695" t="s">
        <v>2951</v>
      </c>
      <c r="C20" s="2694">
        <f>C9</f>
        <v>0</v>
      </c>
      <c r="D20" s="2665"/>
      <c r="E20" s="2642"/>
      <c r="F20" s="328" t="s">
        <v>2940</v>
      </c>
      <c r="G20" s="2696" t="str">
        <f>G6</f>
        <v>七通</v>
      </c>
    </row>
    <row r="21" spans="1:18">
      <c r="A21" s="2641"/>
      <c r="B21" s="328" t="s">
        <v>2938</v>
      </c>
      <c r="C21" s="2696">
        <f>C7</f>
        <v>0</v>
      </c>
      <c r="D21" s="2660"/>
      <c r="E21" s="2642"/>
      <c r="F21" s="2695" t="s">
        <v>2952</v>
      </c>
      <c r="G21" s="2698"/>
    </row>
    <row r="22" spans="1:18" ht="13.5" customHeight="1">
      <c r="A22" s="2641"/>
      <c r="B22" s="328" t="s">
        <v>2940</v>
      </c>
      <c r="C22" s="2696">
        <f>C8</f>
        <v>0</v>
      </c>
      <c r="D22" s="2660"/>
      <c r="E22" s="2642"/>
      <c r="F22" s="2695" t="s">
        <v>2943</v>
      </c>
      <c r="G22" s="2697"/>
    </row>
    <row r="23" spans="1:18" s="906" customFormat="1" ht="15" thickBot="1">
      <c r="A23" s="2641"/>
      <c r="B23" s="2695" t="s">
        <v>2952</v>
      </c>
      <c r="C23" s="2698"/>
      <c r="D23" s="1896"/>
      <c r="E23" s="2643"/>
      <c r="F23" s="2699" t="s">
        <v>2953</v>
      </c>
      <c r="G23" s="2700"/>
      <c r="H23" s="2684"/>
      <c r="I23" s="2685"/>
      <c r="J23" s="2684"/>
      <c r="K23" s="2684"/>
      <c r="L23" s="2685"/>
      <c r="M23" s="2684"/>
      <c r="N23" s="2684"/>
      <c r="O23" s="2685"/>
      <c r="P23" s="2684"/>
      <c r="Q23" s="2684"/>
      <c r="R23" s="2686"/>
    </row>
    <row r="24" spans="1:18" s="906" customFormat="1" ht="15" thickBot="1">
      <c r="A24" s="2644"/>
      <c r="B24" s="2699" t="s">
        <v>2954</v>
      </c>
      <c r="C24" s="2701">
        <f>C10</f>
        <v>0</v>
      </c>
      <c r="D24" s="1896"/>
      <c r="E24" s="2634"/>
      <c r="F24" s="2634"/>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8" sqref="C18"/>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46421.81</v>
      </c>
      <c r="C1" s="2882"/>
      <c r="D1" s="2882"/>
      <c r="E1" s="2882"/>
      <c r="F1" s="2882"/>
      <c r="G1" s="2883"/>
      <c r="H1" s="2884"/>
      <c r="I1" s="2884"/>
      <c r="J1" s="2884"/>
      <c r="K1" s="2884"/>
    </row>
    <row r="2" spans="1:11" ht="16.5">
      <c r="A2" s="2705" t="s">
        <v>1259</v>
      </c>
      <c r="B2" s="2705">
        <f>SUM(C14:C23)</f>
        <v>0</v>
      </c>
      <c r="C2" s="2882"/>
      <c r="D2" s="2882"/>
      <c r="E2" s="2882"/>
      <c r="F2" s="2882"/>
      <c r="G2" s="2883"/>
      <c r="H2" s="2884"/>
      <c r="I2" s="2884"/>
      <c r="J2" s="2884"/>
      <c r="K2" s="2884"/>
    </row>
    <row r="3" spans="1:11" ht="16.5">
      <c r="A3" s="2705" t="s">
        <v>1268</v>
      </c>
      <c r="B3" s="2707">
        <f>项目基本情况!D3</f>
        <v>44582</v>
      </c>
      <c r="C3" s="2882"/>
      <c r="D3" s="2882"/>
      <c r="E3" s="2882"/>
      <c r="F3" s="2882"/>
      <c r="G3" s="2883"/>
      <c r="H3" s="2884"/>
      <c r="I3" s="2884"/>
      <c r="J3" s="2884"/>
      <c r="K3" s="2884"/>
    </row>
    <row r="4" spans="1:11" ht="33">
      <c r="A4" s="2705" t="s">
        <v>1267</v>
      </c>
      <c r="B4" s="2705" t="s">
        <v>1266</v>
      </c>
      <c r="C4" s="2705" t="s">
        <v>1265</v>
      </c>
      <c r="D4" s="2705" t="s">
        <v>1264</v>
      </c>
      <c r="E4" s="2882"/>
      <c r="F4" s="2883"/>
      <c r="G4" s="2883"/>
      <c r="H4" s="2884"/>
      <c r="I4" s="2884"/>
      <c r="J4" s="2884"/>
      <c r="K4" s="2884"/>
    </row>
    <row r="5" spans="1:11" ht="16.5">
      <c r="A5" s="2705" t="s">
        <v>1263</v>
      </c>
      <c r="B5" s="2705">
        <f ca="1">SUM(D14:D23)</f>
        <v>34853</v>
      </c>
      <c r="C5" s="2705">
        <f ca="1">ROUND(B5*10000/$B$1,0)</f>
        <v>7508</v>
      </c>
      <c r="D5" s="2705" t="e">
        <f ca="1">ROUND(B5*10000/$B$2,0)</f>
        <v>#DIV/0!</v>
      </c>
      <c r="E5" s="2882"/>
      <c r="F5" s="2883"/>
      <c r="G5" s="2883"/>
      <c r="H5" s="2884"/>
      <c r="I5" s="2884"/>
      <c r="J5" s="2884"/>
      <c r="K5" s="2884"/>
    </row>
    <row r="6" spans="1:11" ht="16.5">
      <c r="A6" s="2705" t="s">
        <v>1262</v>
      </c>
      <c r="B6" s="2705">
        <f ca="1">SUM(G14:G23)</f>
        <v>12269</v>
      </c>
      <c r="C6" s="2705">
        <f ca="1">ROUND(B6*10000/$B$1,0)</f>
        <v>2643</v>
      </c>
      <c r="D6" s="2705" t="e">
        <f ca="1">ROUND(B6*10000/$B$2,0)</f>
        <v>#DIV/0!</v>
      </c>
      <c r="E6" s="2882"/>
      <c r="F6" s="2883"/>
      <c r="G6" s="2883"/>
      <c r="H6" s="2884"/>
      <c r="I6" s="2884"/>
      <c r="J6" s="2884"/>
      <c r="K6" s="2884"/>
    </row>
    <row r="7" spans="1:11" ht="16.5">
      <c r="A7" s="2705" t="s">
        <v>1270</v>
      </c>
      <c r="B7" s="2705">
        <f>SUM(H14:H23)</f>
        <v>0</v>
      </c>
      <c r="C7" s="2705">
        <f>ROUND(B7*10000/$B$1,0)</f>
        <v>0</v>
      </c>
      <c r="D7" s="2705" t="e">
        <f>ROUND(B7*10000/$B$2,0)</f>
        <v>#DIV/0!</v>
      </c>
      <c r="E7" s="2882"/>
      <c r="F7" s="2883"/>
      <c r="G7" s="2883"/>
      <c r="H7" s="2884"/>
      <c r="I7" s="2884"/>
      <c r="J7" s="2884"/>
      <c r="K7" s="2884"/>
    </row>
    <row r="8" spans="1:11" ht="16.5">
      <c r="A8" s="2705" t="s">
        <v>1193</v>
      </c>
      <c r="B8" s="2705">
        <f>SUM(I14:I23)</f>
        <v>0</v>
      </c>
      <c r="C8" s="2705">
        <f>ROUND(B8*10000/$B$1,0)</f>
        <v>0</v>
      </c>
      <c r="D8" s="2705" t="e">
        <f>ROUND(B8*10000/$B$2,0)</f>
        <v>#DIV/0!</v>
      </c>
      <c r="E8" s="2882"/>
      <c r="F8" s="2883"/>
      <c r="G8" s="2883"/>
      <c r="H8" s="2884"/>
      <c r="I8" s="2884"/>
      <c r="J8" s="2884"/>
      <c r="K8" s="2884"/>
    </row>
    <row r="9" spans="1:11" ht="16.5">
      <c r="A9" s="2705" t="s">
        <v>1261</v>
      </c>
      <c r="B9" s="2713"/>
      <c r="C9" s="2882"/>
      <c r="D9" s="2882"/>
      <c r="E9" s="2882"/>
      <c r="F9" s="2883"/>
      <c r="G9" s="2883"/>
      <c r="H9" s="2884"/>
      <c r="I9" s="2884"/>
      <c r="J9" s="2884"/>
      <c r="K9" s="2884"/>
    </row>
    <row r="10" spans="1:11" ht="16.5">
      <c r="A10" s="2705" t="s">
        <v>1260</v>
      </c>
      <c r="B10" s="2713"/>
      <c r="C10" s="2882"/>
      <c r="D10" s="2882"/>
      <c r="E10" s="2882"/>
      <c r="F10" s="2883"/>
      <c r="G10" s="2883"/>
      <c r="H10" s="2884"/>
      <c r="I10" s="2884"/>
      <c r="J10" s="2884"/>
      <c r="K10" s="2884"/>
    </row>
    <row r="11" spans="1:11" ht="16.5">
      <c r="A11" s="2705" t="s">
        <v>1276</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1275</v>
      </c>
      <c r="B13" s="2709" t="s">
        <v>1272</v>
      </c>
      <c r="C13" s="2709" t="s">
        <v>1274</v>
      </c>
      <c r="D13" s="2709" t="s">
        <v>1273</v>
      </c>
      <c r="E13" s="2705" t="s">
        <v>1265</v>
      </c>
      <c r="F13" s="2705" t="s">
        <v>1264</v>
      </c>
      <c r="G13" s="2709" t="s">
        <v>1258</v>
      </c>
      <c r="H13" s="2709" t="s">
        <v>1269</v>
      </c>
      <c r="I13" s="2709" t="s">
        <v>1257</v>
      </c>
      <c r="J13" s="2883"/>
      <c r="K13" s="2884"/>
    </row>
    <row r="14" spans="1:11" ht="16.5">
      <c r="A14" s="2710" t="s">
        <v>1256</v>
      </c>
      <c r="B14" s="2711">
        <f>结果表!B118</f>
        <v>17109.73</v>
      </c>
      <c r="C14" s="2711">
        <f>结果表!C118</f>
        <v>0</v>
      </c>
      <c r="D14" s="2711">
        <f ca="1">结果表!H118</f>
        <v>12269</v>
      </c>
      <c r="E14" s="2711">
        <f ca="1">ROUND(D14*10000/B14,0)</f>
        <v>7171</v>
      </c>
      <c r="F14" s="2711" t="e">
        <f ca="1">ROUND(D14*10000/C14,0)</f>
        <v>#DIV/0!</v>
      </c>
      <c r="G14" s="2711">
        <f ca="1">结果表!D122</f>
        <v>12269</v>
      </c>
      <c r="H14" s="2711" t="str">
        <f>结果表!D124</f>
        <v>——</v>
      </c>
      <c r="I14" s="2711" t="str">
        <f>结果表!D126</f>
        <v>——</v>
      </c>
      <c r="J14" s="2883"/>
      <c r="K14" s="2884"/>
    </row>
    <row r="15" spans="1:11" ht="16.5">
      <c r="A15" s="2710" t="s">
        <v>1255</v>
      </c>
      <c r="B15" s="2712">
        <f>'[2]数据-汇总表'!$E$31</f>
        <v>29312.080000000002</v>
      </c>
      <c r="C15" s="2712"/>
      <c r="D15" s="2712">
        <f ca="1">[2]结果表!$G$19</f>
        <v>22584</v>
      </c>
      <c r="E15" s="2711">
        <f t="shared" ref="E15:E23" ca="1" si="0">ROUND(D15*10000/B15,0)</f>
        <v>7705</v>
      </c>
      <c r="F15" s="2711" t="e">
        <f t="shared" ref="F15:F23" ca="1" si="1">ROUND(D15*10000/C15,0)</f>
        <v>#DIV/0!</v>
      </c>
      <c r="G15" s="1470"/>
      <c r="H15" s="1470"/>
      <c r="I15" s="2712"/>
      <c r="J15" s="2883"/>
      <c r="K15" s="2884"/>
    </row>
    <row r="16" spans="1:11" ht="16.5">
      <c r="A16" s="2710" t="s">
        <v>1254</v>
      </c>
      <c r="B16" s="2712"/>
      <c r="C16" s="2712"/>
      <c r="D16" s="2712"/>
      <c r="E16" s="2711" t="e">
        <f t="shared" si="0"/>
        <v>#DIV/0!</v>
      </c>
      <c r="F16" s="2711" t="e">
        <f t="shared" si="1"/>
        <v>#DIV/0!</v>
      </c>
      <c r="G16" s="1470"/>
      <c r="H16" s="1470"/>
      <c r="I16" s="2712"/>
      <c r="J16" s="2884"/>
      <c r="K16" s="2884"/>
    </row>
    <row r="17" spans="1:11" ht="16.5">
      <c r="A17" s="2710" t="s">
        <v>1253</v>
      </c>
      <c r="B17" s="2712"/>
      <c r="C17" s="2712"/>
      <c r="D17" s="2712"/>
      <c r="E17" s="2711" t="e">
        <f t="shared" si="0"/>
        <v>#DIV/0!</v>
      </c>
      <c r="F17" s="2711" t="e">
        <f t="shared" si="1"/>
        <v>#DIV/0!</v>
      </c>
      <c r="G17" s="1470"/>
      <c r="H17" s="1470"/>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E22" sqref="E22"/>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3125</v>
      </c>
      <c r="D1" s="1902"/>
      <c r="E1" s="1902"/>
      <c r="F1" s="1904" t="s">
        <v>1889</v>
      </c>
      <c r="G1" s="1715" t="s">
        <v>3137</v>
      </c>
      <c r="H1" s="1905" t="str">
        <f>IF(G1="现房","——","估价对象范围")</f>
        <v>——</v>
      </c>
      <c r="I1" s="1906"/>
    </row>
    <row r="2" spans="1:12" ht="21.75" customHeight="1" thickBot="1">
      <c r="A2" s="3386" t="str">
        <f>项目基本情况!S2</f>
        <v>北京市房地产</v>
      </c>
      <c r="B2" s="3387"/>
      <c r="C2" s="3387"/>
      <c r="D2" s="3387"/>
      <c r="E2" s="3387"/>
      <c r="F2" s="3387"/>
      <c r="G2" s="3387"/>
      <c r="H2" s="3387"/>
      <c r="I2" s="3388"/>
    </row>
    <row r="3" spans="1:12" ht="12.75">
      <c r="A3" s="3390" t="s">
        <v>1890</v>
      </c>
      <c r="B3" s="3391"/>
      <c r="C3" s="3391"/>
      <c r="D3" s="3391"/>
      <c r="E3" s="3391"/>
      <c r="F3" s="3391"/>
      <c r="G3" s="3391"/>
      <c r="H3" s="3391"/>
      <c r="I3" s="3391"/>
    </row>
    <row r="4" spans="1:12" ht="14.25">
      <c r="A4" s="1909" t="s">
        <v>1891</v>
      </c>
      <c r="B4" s="1910" t="s">
        <v>1892</v>
      </c>
      <c r="C4" s="1911" t="s">
        <v>3136</v>
      </c>
      <c r="D4" s="1911" t="s">
        <v>3128</v>
      </c>
      <c r="E4" s="3395" t="s">
        <v>1893</v>
      </c>
      <c r="F4" s="3396"/>
      <c r="G4" s="3396"/>
      <c r="H4" s="3396"/>
      <c r="I4" s="339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31" t="s">
        <v>1894</v>
      </c>
      <c r="B5" s="3389">
        <v>25</v>
      </c>
      <c r="C5" s="3392"/>
      <c r="D5" s="3380"/>
      <c r="E5" s="135" t="s">
        <v>1895</v>
      </c>
      <c r="F5" s="1912"/>
      <c r="G5" s="1912"/>
      <c r="H5" s="1912"/>
      <c r="I5" s="1526"/>
    </row>
    <row r="6" spans="1:12" ht="12.75">
      <c r="A6" s="3331"/>
      <c r="B6" s="3389"/>
      <c r="C6" s="3394"/>
      <c r="D6" s="3380"/>
      <c r="E6" s="135" t="s">
        <v>1896</v>
      </c>
      <c r="F6" s="1912"/>
      <c r="G6" s="1912"/>
      <c r="H6" s="1912"/>
      <c r="I6" s="1526"/>
    </row>
    <row r="7" spans="1:12" ht="12.75">
      <c r="A7" s="3331"/>
      <c r="B7" s="3389"/>
      <c r="C7" s="3393"/>
      <c r="D7" s="3380"/>
      <c r="E7" s="135" t="s">
        <v>1897</v>
      </c>
      <c r="F7" s="1912"/>
      <c r="G7" s="1912"/>
      <c r="H7" s="1912"/>
      <c r="I7" s="1526"/>
    </row>
    <row r="8" spans="1:12" ht="12.75">
      <c r="A8" s="3331" t="s">
        <v>1898</v>
      </c>
      <c r="B8" s="3389">
        <v>15</v>
      </c>
      <c r="C8" s="3392"/>
      <c r="D8" s="3380"/>
      <c r="E8" s="135" t="s">
        <v>1899</v>
      </c>
      <c r="F8" s="1912"/>
      <c r="G8" s="1912"/>
      <c r="H8" s="1912"/>
      <c r="I8" s="1526"/>
    </row>
    <row r="9" spans="1:12" ht="12.75">
      <c r="A9" s="3331"/>
      <c r="B9" s="3389"/>
      <c r="C9" s="3393"/>
      <c r="D9" s="3380"/>
      <c r="E9" s="135" t="s">
        <v>1900</v>
      </c>
      <c r="F9" s="1912"/>
      <c r="G9" s="1912"/>
      <c r="H9" s="1912"/>
      <c r="I9" s="1526"/>
    </row>
    <row r="10" spans="1:12" ht="12.75">
      <c r="A10" s="3331" t="s">
        <v>1901</v>
      </c>
      <c r="B10" s="3389">
        <v>15</v>
      </c>
      <c r="C10" s="3392"/>
      <c r="D10" s="3380"/>
      <c r="E10" s="135" t="s">
        <v>1902</v>
      </c>
      <c r="F10" s="1912"/>
      <c r="G10" s="1912"/>
      <c r="H10" s="1912"/>
      <c r="I10" s="1526"/>
    </row>
    <row r="11" spans="1:12" ht="12.75">
      <c r="A11" s="3331"/>
      <c r="B11" s="3389"/>
      <c r="C11" s="3393"/>
      <c r="D11" s="3380"/>
      <c r="E11" s="135" t="s">
        <v>1903</v>
      </c>
      <c r="F11" s="1912"/>
      <c r="G11" s="1912"/>
      <c r="H11" s="1912"/>
      <c r="I11" s="1526"/>
    </row>
    <row r="12" spans="1:12" ht="12.75">
      <c r="A12" s="3331" t="s">
        <v>1904</v>
      </c>
      <c r="B12" s="3389">
        <v>15</v>
      </c>
      <c r="C12" s="3392"/>
      <c r="D12" s="3380"/>
      <c r="E12" s="135" t="s">
        <v>1905</v>
      </c>
      <c r="F12" s="1912"/>
      <c r="G12" s="1912"/>
      <c r="H12" s="1912"/>
      <c r="I12" s="1526"/>
    </row>
    <row r="13" spans="1:12" ht="12.75">
      <c r="A13" s="3331"/>
      <c r="B13" s="3389"/>
      <c r="C13" s="3393"/>
      <c r="D13" s="3380"/>
      <c r="E13" s="135" t="s">
        <v>1906</v>
      </c>
      <c r="F13" s="1912"/>
      <c r="G13" s="1912"/>
      <c r="H13" s="1912"/>
      <c r="I13" s="1526"/>
    </row>
    <row r="14" spans="1:12" ht="12.75">
      <c r="A14" s="3331" t="s">
        <v>1907</v>
      </c>
      <c r="B14" s="3389">
        <v>30</v>
      </c>
      <c r="C14" s="3392">
        <v>5</v>
      </c>
      <c r="D14" s="3380">
        <v>5</v>
      </c>
      <c r="E14" s="135" t="s">
        <v>1908</v>
      </c>
      <c r="F14" s="1912"/>
      <c r="G14" s="1912"/>
      <c r="H14" s="1912"/>
      <c r="I14" s="1526"/>
    </row>
    <row r="15" spans="1:12" ht="12.75">
      <c r="A15" s="3331"/>
      <c r="B15" s="3389"/>
      <c r="C15" s="3394"/>
      <c r="D15" s="3380"/>
      <c r="E15" s="135" t="s">
        <v>1909</v>
      </c>
      <c r="F15" s="1912"/>
      <c r="G15" s="1912"/>
      <c r="H15" s="1912"/>
      <c r="I15" s="1526"/>
    </row>
    <row r="16" spans="1:12" ht="12.75">
      <c r="A16" s="3331"/>
      <c r="B16" s="3389"/>
      <c r="C16" s="3393"/>
      <c r="D16" s="3380"/>
      <c r="E16" s="135" t="s">
        <v>1910</v>
      </c>
      <c r="F16" s="1912"/>
      <c r="G16" s="1912"/>
      <c r="H16" s="1912"/>
      <c r="I16" s="1526"/>
    </row>
    <row r="17" spans="1:36" ht="15">
      <c r="A17" s="1913" t="s">
        <v>1911</v>
      </c>
      <c r="B17" s="59"/>
      <c r="C17" s="136">
        <f>SUM(C5:C16)</f>
        <v>5</v>
      </c>
      <c r="D17" s="136">
        <f>SUM(D5:D16)</f>
        <v>5</v>
      </c>
      <c r="E17" s="133"/>
      <c r="F17" s="133"/>
      <c r="G17" s="133"/>
      <c r="H17" s="133"/>
      <c r="I17" s="133"/>
      <c r="K17" s="307"/>
      <c r="L17" s="307" t="s">
        <v>1912</v>
      </c>
      <c r="M17" s="307" t="s">
        <v>1913</v>
      </c>
    </row>
    <row r="18" spans="1:36" ht="31.9" customHeight="1" thickBot="1">
      <c r="A18" s="1914" t="s">
        <v>1914</v>
      </c>
      <c r="B18" s="1915"/>
      <c r="C18" s="137">
        <f>ROUND(C17/SUM(C17:D17),2)</f>
        <v>0.5</v>
      </c>
      <c r="D18" s="137">
        <f>1-C18</f>
        <v>0.5</v>
      </c>
      <c r="E18" s="3411" t="s">
        <v>2811</v>
      </c>
      <c r="F18" s="3412"/>
      <c r="G18" s="3412"/>
      <c r="H18" s="3412"/>
      <c r="I18" s="3412"/>
      <c r="K18" s="307" t="s">
        <v>1915</v>
      </c>
      <c r="L18" s="307">
        <f>IF(C1="",'数据-汇总表'!E3,SUMIF(项目类型,C1,'数据-汇总表'!E17:E26)+SUMIF(项目类型,C1,'数据-汇总表'!I17:I26))</f>
        <v>17109.73</v>
      </c>
      <c r="M18" s="307">
        <f>IF(C1="",'数据-汇总表'!E3,SUMIF(项目类型,C1,'数据-汇总表'!E17:E26))</f>
        <v>17109.73</v>
      </c>
    </row>
    <row r="19" spans="1:36" ht="15">
      <c r="A19" s="1916" t="s">
        <v>1916</v>
      </c>
      <c r="B19" s="1917" t="s">
        <v>1917</v>
      </c>
      <c r="C19" s="138">
        <f ca="1">SUMIF(INDIRECT("'"&amp;C4&amp;"'"&amp;"!A:A"),结果表!B19,INDIRECT("'"&amp;C4&amp;"'"&amp;"!B:B"))</f>
        <v>11141</v>
      </c>
      <c r="D19" s="139">
        <f ca="1">SUMIF(INDIRECT("'"&amp;D4&amp;"'"&amp;"!A:A"),结果表!B19,INDIRECT("'"&amp;D4&amp;"'"&amp;"!B:B"))</f>
        <v>13397</v>
      </c>
      <c r="E19" s="1916" t="s">
        <v>1918</v>
      </c>
      <c r="F19" s="1917" t="s">
        <v>1917</v>
      </c>
      <c r="G19" s="140">
        <f ca="1">ROUND(C19*$C$18+D19*$D$18,0)</f>
        <v>12269</v>
      </c>
      <c r="H19" s="1918" t="s">
        <v>1919</v>
      </c>
      <c r="I19" s="133"/>
      <c r="K19" s="307" t="s">
        <v>1920</v>
      </c>
      <c r="L19" s="307">
        <f>IF(C1="",'数据-汇总表'!D3,SUMIF(项目类型,C1,'数据-汇总表'!D17:D26)+SUMIF(项目类型,C1,'数据-汇总表'!H17:H27))</f>
        <v>0</v>
      </c>
      <c r="M19" s="307">
        <f>IF(C1="",'数据-汇总表'!D3,SUMIF(项目类型,C1,'数据-汇总表'!D17:D26))</f>
        <v>0</v>
      </c>
    </row>
    <row r="20" spans="1:36" ht="15">
      <c r="A20" s="1919"/>
      <c r="B20" s="1156" t="s">
        <v>1921</v>
      </c>
      <c r="C20" s="141">
        <f ca="1">SUMIF(INDIRECT("'"&amp;C4&amp;"'"&amp;"!A:A"),结果表!B20,INDIRECT("'"&amp;C4&amp;"'"&amp;"!B:B"))</f>
        <v>6511</v>
      </c>
      <c r="D20" s="142">
        <f ca="1">SUMIF(INDIRECT("'"&amp;D4&amp;"'"&amp;"!A:A"),结果表!B20,INDIRECT("'"&amp;D4&amp;"'"&amp;"!B:B"))</f>
        <v>7830</v>
      </c>
      <c r="E20" s="1919"/>
      <c r="F20" s="1156" t="s">
        <v>1921</v>
      </c>
      <c r="G20" s="143">
        <f ca="1">ROUND(C20*$C$18+D20*$D$18,0)</f>
        <v>7171</v>
      </c>
      <c r="H20" s="916" t="s">
        <v>1922</v>
      </c>
      <c r="I20" s="133"/>
    </row>
    <row r="21" spans="1:36" ht="15" customHeight="1" thickBot="1">
      <c r="A21" s="936"/>
      <c r="B21" s="1920" t="s">
        <v>1923</v>
      </c>
      <c r="C21" s="727" t="e">
        <f ca="1">ROUND(C19*10000/L19,0)</f>
        <v>#DIV/0!</v>
      </c>
      <c r="D21" s="728" t="e">
        <f ca="1">ROUND(D19*10000/L19,0)</f>
        <v>#DIV/0!</v>
      </c>
      <c r="E21" s="936"/>
      <c r="F21" s="1920" t="s">
        <v>1923</v>
      </c>
      <c r="G21" s="144" t="e">
        <f ca="1">ROUND(G19*10000/L19,0)</f>
        <v>#DIV/0!</v>
      </c>
      <c r="H21" s="1921" t="s">
        <v>1922</v>
      </c>
      <c r="I21" s="133"/>
    </row>
    <row r="22" spans="1:36" ht="15" thickBot="1">
      <c r="A22" s="1843" t="s">
        <v>1924</v>
      </c>
      <c r="B22" s="1922"/>
      <c r="C22" s="1923"/>
      <c r="D22" s="729">
        <f ca="1">IF(C19&lt;D19,D19/C19-1,C19/D19-1)</f>
        <v>0.20249528767615121</v>
      </c>
      <c r="E22" s="133"/>
      <c r="F22" s="133"/>
      <c r="G22" s="133"/>
      <c r="H22" s="133"/>
      <c r="I22" s="133"/>
    </row>
    <row r="23" spans="1:36" ht="13.5" thickBot="1">
      <c r="A23" s="1902"/>
      <c r="B23" s="1902"/>
      <c r="C23" s="1902"/>
      <c r="D23" s="1902"/>
      <c r="E23" s="133"/>
      <c r="F23" s="133"/>
      <c r="G23" s="133"/>
      <c r="H23" s="133"/>
      <c r="I23" s="133"/>
    </row>
    <row r="24" spans="1:36" ht="14.25">
      <c r="A24" s="3404" t="s">
        <v>1925</v>
      </c>
      <c r="B24" s="1917" t="s">
        <v>1917</v>
      </c>
      <c r="C24" s="140">
        <f>IF(B30=0,0,D30)</f>
        <v>0</v>
      </c>
      <c r="D24" s="1924"/>
      <c r="E24" s="133"/>
      <c r="F24" s="133"/>
      <c r="G24" s="133"/>
      <c r="H24" s="133"/>
      <c r="I24" s="133"/>
    </row>
    <row r="25" spans="1:36" ht="14.25">
      <c r="A25" s="3405"/>
      <c r="B25" s="1156" t="s">
        <v>1921</v>
      </c>
      <c r="C25" s="145">
        <f>IF(B30=0,0,C30)</f>
        <v>0</v>
      </c>
      <c r="D25" s="1925"/>
      <c r="E25" s="133"/>
      <c r="F25" s="133"/>
      <c r="G25" s="133"/>
      <c r="H25" s="133"/>
      <c r="I25" s="133"/>
    </row>
    <row r="26" spans="1:36" ht="13.5" customHeight="1">
      <c r="A26" s="1926" t="s">
        <v>1926</v>
      </c>
      <c r="B26" s="146" t="s">
        <v>1927</v>
      </c>
      <c r="C26" s="146" t="s">
        <v>1928</v>
      </c>
      <c r="D26" s="147" t="s">
        <v>1929</v>
      </c>
      <c r="E26" s="133"/>
      <c r="F26" s="133"/>
      <c r="G26" s="133"/>
      <c r="H26" s="133"/>
      <c r="I26" s="133"/>
    </row>
    <row r="27" spans="1:36" ht="14.25">
      <c r="A27" s="1926"/>
      <c r="B27" s="146">
        <v>0</v>
      </c>
      <c r="C27" s="146">
        <v>0</v>
      </c>
      <c r="D27" s="147">
        <f>ROUND(C27*B27/10000,0)</f>
        <v>0</v>
      </c>
      <c r="E27" s="133"/>
      <c r="F27" s="133"/>
      <c r="G27" s="133"/>
      <c r="H27" s="133"/>
      <c r="I27" s="133"/>
    </row>
    <row r="28" spans="1:36" ht="14.25">
      <c r="A28" s="1926"/>
      <c r="B28" s="146"/>
      <c r="C28" s="146"/>
      <c r="D28" s="147"/>
      <c r="E28" s="133"/>
      <c r="F28" s="133"/>
      <c r="G28" s="133"/>
      <c r="H28" s="133"/>
      <c r="I28" s="133"/>
    </row>
    <row r="29" spans="1:36" ht="14.25">
      <c r="A29" s="1926"/>
      <c r="B29" s="146"/>
      <c r="C29" s="146"/>
      <c r="D29" s="147"/>
      <c r="E29" s="133"/>
      <c r="F29" s="133"/>
      <c r="G29" s="133"/>
      <c r="H29" s="133"/>
      <c r="I29" s="133"/>
    </row>
    <row r="30" spans="1:36" ht="15" thickBot="1">
      <c r="A30" s="146" t="s">
        <v>1930</v>
      </c>
      <c r="B30" s="146"/>
      <c r="C30" s="146"/>
      <c r="D30" s="146"/>
      <c r="E30" s="2490" t="s">
        <v>2812</v>
      </c>
      <c r="F30" s="133"/>
      <c r="G30" s="133"/>
      <c r="H30" s="133"/>
      <c r="I30" s="133"/>
    </row>
    <row r="31" spans="1:36" s="2496" customFormat="1" ht="26.45" customHeight="1" thickTop="1" thickBot="1">
      <c r="A31" s="2491"/>
      <c r="B31" s="2492"/>
      <c r="C31" s="2492"/>
      <c r="D31" s="2492"/>
      <c r="E31" s="2492"/>
      <c r="F31" s="2492"/>
      <c r="G31" s="2492"/>
      <c r="H31" s="2492"/>
      <c r="I31" s="2493" t="s">
        <v>2813</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12269</v>
      </c>
      <c r="D32" s="1930" t="s">
        <v>3134</v>
      </c>
      <c r="E32" s="133"/>
      <c r="F32" s="133"/>
      <c r="G32" s="133"/>
      <c r="H32" s="133"/>
      <c r="I32" s="133"/>
    </row>
    <row r="33" spans="1:15" ht="15">
      <c r="A33" s="893" t="s">
        <v>1932</v>
      </c>
      <c r="B33" s="1931"/>
      <c r="C33" s="1932" t="s">
        <v>3135</v>
      </c>
      <c r="D33" s="1933" t="s">
        <v>3136</v>
      </c>
      <c r="E33" s="1934" t="s">
        <v>1933</v>
      </c>
      <c r="F33" s="1935" t="str">
        <f>IF(D32="楼面单价","取值（单价）","取值（总价）")</f>
        <v>取值（总价）</v>
      </c>
      <c r="G33" s="133"/>
      <c r="H33" s="133"/>
      <c r="I33" s="133"/>
    </row>
    <row r="34" spans="1:15" ht="15">
      <c r="A34" s="1936"/>
      <c r="B34" s="1937" t="s">
        <v>1934</v>
      </c>
      <c r="C34" s="152">
        <f ca="1">IF(C33="自定义",F34,C32-C35)</f>
        <v>5533</v>
      </c>
      <c r="D34" s="969">
        <f ca="1">IF(C33="自定义",ROUND(C34/C32,3),IF(C33="收益比率",SUMIF(INDIRECT("'"&amp;D33&amp;"'"&amp;"!b:b"),"土地收益比率",INDIRECT("'"&amp;D33&amp;"'"&amp;"!c:c")),SUMIF(INDIRECT("'"&amp;D33&amp;"'"&amp;"!b:b"),"土地成本比率",INDIRECT("'"&amp;D33&amp;"'"&amp;"!c:c"))))</f>
        <v>0.45099999999999996</v>
      </c>
      <c r="E34" s="1938" t="s">
        <v>1935</v>
      </c>
      <c r="F34" s="1469"/>
      <c r="G34" s="133"/>
      <c r="H34" s="133"/>
      <c r="I34" s="133"/>
    </row>
    <row r="35" spans="1:15" ht="15.75" thickBot="1">
      <c r="A35" s="1939"/>
      <c r="B35" s="1940" t="s">
        <v>1936</v>
      </c>
      <c r="C35" s="1303">
        <f ca="1">IF(C33="自定义",F35,ROUND(C32*D35,0))</f>
        <v>6736</v>
      </c>
      <c r="D35" s="1304">
        <f ca="1">IF(C33="自定义",ROUND(C35/C32,3),IF(C33="收益比率",SUMIF(INDIRECT("'"&amp;D33&amp;"'"&amp;"!b:b"),"建筑物收益比率",INDIRECT("'"&amp;D33&amp;"'"&amp;"!c:c")),SUMIF(INDIRECT("'"&amp;D33&amp;"'"&amp;"!b:b"),"建筑物成本比率",INDIRECT("'"&amp;D33&amp;"'"&amp;"!c:c"))))</f>
        <v>0.54900000000000004</v>
      </c>
      <c r="E35" s="1941" t="s">
        <v>1937</v>
      </c>
      <c r="F35" s="158"/>
      <c r="G35" s="133"/>
      <c r="H35" s="133"/>
      <c r="I35" s="133"/>
    </row>
    <row r="36" spans="1:15" ht="15.75" thickBot="1">
      <c r="A36" s="3381" t="s">
        <v>1938</v>
      </c>
      <c r="B36" s="1942" t="s">
        <v>1939</v>
      </c>
      <c r="C36" s="149"/>
      <c r="D36" s="1943"/>
      <c r="E36" s="1944"/>
      <c r="F36" s="1945"/>
      <c r="G36" s="133"/>
      <c r="H36" s="133"/>
      <c r="I36" s="133"/>
    </row>
    <row r="37" spans="1:15" ht="15.75" thickBot="1">
      <c r="A37" s="3382"/>
      <c r="B37" s="1829" t="s">
        <v>1940</v>
      </c>
      <c r="C37" s="151"/>
      <c r="D37" s="1272"/>
      <c r="E37" s="1272"/>
      <c r="F37" s="1945"/>
      <c r="G37" s="133"/>
      <c r="H37" s="133"/>
      <c r="I37" s="133"/>
    </row>
    <row r="38" spans="1:15" ht="15.75" thickBot="1">
      <c r="A38" s="3383"/>
      <c r="B38" s="1946" t="s">
        <v>1941</v>
      </c>
      <c r="C38" s="682"/>
      <c r="D38" s="1947" t="s">
        <v>1942</v>
      </c>
      <c r="E38" s="1272"/>
      <c r="F38" s="1945"/>
      <c r="G38" s="133"/>
      <c r="H38" s="133"/>
      <c r="I38" s="133"/>
    </row>
    <row r="39" spans="1:15" ht="15">
      <c r="A39" s="1919" t="s">
        <v>1943</v>
      </c>
      <c r="B39" s="1948" t="s">
        <v>1944</v>
      </c>
      <c r="C39" s="1949" t="s">
        <v>1945</v>
      </c>
      <c r="D39" s="1949" t="s">
        <v>1946</v>
      </c>
      <c r="E39" s="1950" t="s">
        <v>1947</v>
      </c>
      <c r="F39" s="1945"/>
      <c r="G39" s="133"/>
      <c r="H39" s="133"/>
      <c r="I39" s="133"/>
    </row>
    <row r="40" spans="1:15" ht="14.25">
      <c r="A40" s="1951" t="s">
        <v>1948</v>
      </c>
      <c r="B40" s="153"/>
      <c r="C40" s="154"/>
      <c r="D40" s="154"/>
      <c r="E40" s="155"/>
      <c r="F40" s="1945"/>
      <c r="G40" s="133"/>
      <c r="H40" s="133"/>
      <c r="I40" s="133"/>
    </row>
    <row r="41" spans="1:15" ht="14.25">
      <c r="A41" s="1951" t="s">
        <v>1949</v>
      </c>
      <c r="B41" s="153"/>
      <c r="C41" s="154"/>
      <c r="D41" s="154"/>
      <c r="E41" s="155"/>
      <c r="F41" s="1945"/>
      <c r="G41" s="133"/>
      <c r="H41" s="133"/>
      <c r="I41" s="133"/>
    </row>
    <row r="42" spans="1:15" ht="15" thickBot="1">
      <c r="A42" s="1952"/>
      <c r="B42" s="156"/>
      <c r="C42" s="157"/>
      <c r="D42" s="157"/>
      <c r="E42" s="158"/>
      <c r="F42" s="1945"/>
      <c r="G42" s="133"/>
      <c r="H42" s="133"/>
      <c r="I42" s="133"/>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1" t="s">
        <v>1952</v>
      </c>
      <c r="B45" s="3402"/>
      <c r="C45" s="3403"/>
      <c r="D45" s="159">
        <f ca="1">ROUND(H101*F45,0)</f>
        <v>12269</v>
      </c>
      <c r="E45" s="160" t="s">
        <v>1953</v>
      </c>
      <c r="F45" s="161">
        <v>1</v>
      </c>
      <c r="G45" s="162" t="s">
        <v>1954</v>
      </c>
      <c r="H45" s="133"/>
      <c r="I45" s="133"/>
      <c r="J45" s="3318" t="s">
        <v>1955</v>
      </c>
      <c r="K45" s="3318"/>
      <c r="L45" s="3318"/>
      <c r="M45" s="3318"/>
      <c r="N45" s="3318"/>
      <c r="O45" s="3318"/>
    </row>
    <row r="46" spans="1:15" ht="14.25" customHeight="1">
      <c r="A46" s="3398" t="s">
        <v>1956</v>
      </c>
      <c r="B46" s="3399"/>
      <c r="C46" s="3399"/>
      <c r="D46" s="3399"/>
      <c r="E46" s="3399"/>
      <c r="F46" s="3399"/>
      <c r="G46" s="3400"/>
      <c r="H46" s="1961"/>
      <c r="I46" s="163"/>
      <c r="J46" s="2716">
        <v>1</v>
      </c>
      <c r="K46" s="3319" t="s">
        <v>1957</v>
      </c>
      <c r="L46" s="3319"/>
      <c r="M46" s="3320"/>
      <c r="N46" s="3320"/>
      <c r="O46" s="3320"/>
    </row>
    <row r="47" spans="1:15" ht="12" customHeight="1">
      <c r="A47" s="164" t="s">
        <v>1958</v>
      </c>
      <c r="B47" s="165"/>
      <c r="C47" s="166"/>
      <c r="D47" s="1218" t="s">
        <v>1959</v>
      </c>
      <c r="E47" s="307" t="s">
        <v>1960</v>
      </c>
      <c r="F47" s="167" t="s">
        <v>1961</v>
      </c>
      <c r="G47" s="2739" t="s">
        <v>1962</v>
      </c>
      <c r="H47" s="2740"/>
      <c r="I47" s="163"/>
      <c r="J47" s="2716">
        <v>2</v>
      </c>
      <c r="K47" s="3319" t="s">
        <v>1963</v>
      </c>
      <c r="L47" s="3319"/>
      <c r="M47" s="3321">
        <f>'数据-取费表'!B2</f>
        <v>44582</v>
      </c>
      <c r="N47" s="3321"/>
      <c r="O47" s="3321"/>
    </row>
    <row r="48" spans="1:15" ht="25.5">
      <c r="A48" s="3384" t="s">
        <v>1964</v>
      </c>
      <c r="B48" s="3385"/>
      <c r="C48" s="3385"/>
      <c r="D48" s="2516" t="b">
        <f>IF(H48="情况1",0,IF(H48="情况2",D52,IF(H48="情况3",D53,IF(H48="情况4",D54))))</f>
        <v>0</v>
      </c>
      <c r="E48" s="2526" t="str">
        <f>IF(H48="情况4","(销售额-原购置价)×税（费）率","销售额×税（费）率")</f>
        <v>销售额×税（费）率</v>
      </c>
      <c r="F48" s="2741">
        <f>IF(H48="情况1","免征",'数据-取费表'!B41)</f>
        <v>5.5000000000000007E-2</v>
      </c>
      <c r="G48" s="2742" t="s">
        <v>1965</v>
      </c>
      <c r="H48" s="2743"/>
      <c r="I48" s="1961"/>
      <c r="J48" s="2716">
        <v>3</v>
      </c>
      <c r="K48" s="3319" t="s">
        <v>1966</v>
      </c>
      <c r="L48" s="3319"/>
      <c r="M48" s="3322">
        <f ca="1">H101</f>
        <v>12269</v>
      </c>
      <c r="N48" s="3322"/>
      <c r="O48" s="3322"/>
    </row>
    <row r="49" spans="1:35" ht="25.5" customHeight="1">
      <c r="A49" s="2525" t="s">
        <v>1967</v>
      </c>
      <c r="B49" s="3367" t="s">
        <v>1968</v>
      </c>
      <c r="C49" s="3367"/>
      <c r="D49" s="1744">
        <v>0</v>
      </c>
      <c r="E49" s="329" t="s">
        <v>1969</v>
      </c>
      <c r="F49" s="2619" t="s">
        <v>34</v>
      </c>
      <c r="G49" s="3350"/>
      <c r="H49" s="2497" t="s">
        <v>2814</v>
      </c>
      <c r="I49" s="2498"/>
      <c r="J49" s="2716">
        <v>4</v>
      </c>
      <c r="K49" s="3319" t="str">
        <f>IF(项目基本情况!E8="房地产抵押价值","房地产抵押价值","抵押担保权已注销时的房地产抵押价值")</f>
        <v>房地产抵押价值</v>
      </c>
      <c r="L49" s="3319"/>
      <c r="M49" s="3322">
        <f ca="1">IF(项目基本情况!E8="房地产抵押价值",H107,H109)</f>
        <v>12269</v>
      </c>
      <c r="N49" s="3322"/>
      <c r="O49" s="3322"/>
    </row>
    <row r="50" spans="1:35" ht="25.5" customHeight="1">
      <c r="A50" s="2744"/>
      <c r="B50" s="3367" t="s">
        <v>1970</v>
      </c>
      <c r="C50" s="3367"/>
      <c r="D50" s="2745"/>
      <c r="E50" s="337"/>
      <c r="F50" s="2619"/>
      <c r="G50" s="3351"/>
      <c r="H50" s="2499" t="s">
        <v>2815</v>
      </c>
      <c r="I50" s="2498"/>
      <c r="J50" s="3318" t="s">
        <v>1971</v>
      </c>
      <c r="K50" s="3318"/>
      <c r="L50" s="3318"/>
      <c r="M50" s="3318"/>
      <c r="N50" s="3318"/>
      <c r="O50" s="3318"/>
    </row>
    <row r="51" spans="1:35" ht="20.45" customHeight="1">
      <c r="A51" s="2746"/>
      <c r="B51" s="3367" t="s">
        <v>1972</v>
      </c>
      <c r="C51" s="3367"/>
      <c r="D51" s="1218"/>
      <c r="E51" s="332"/>
      <c r="F51" s="2619"/>
      <c r="G51" s="3352"/>
      <c r="H51" s="2499" t="s">
        <v>2816</v>
      </c>
      <c r="I51" s="2498"/>
      <c r="J51" s="2717" t="s">
        <v>1973</v>
      </c>
      <c r="K51" s="3319" t="s">
        <v>1974</v>
      </c>
      <c r="L51" s="3319"/>
      <c r="M51" s="2717" t="s">
        <v>1975</v>
      </c>
      <c r="N51" s="2717" t="s">
        <v>1976</v>
      </c>
      <c r="O51" s="2717" t="s">
        <v>1977</v>
      </c>
    </row>
    <row r="52" spans="1:35" ht="24" customHeight="1">
      <c r="A52" s="2527" t="s">
        <v>1978</v>
      </c>
      <c r="B52" s="3367" t="s">
        <v>1979</v>
      </c>
      <c r="C52" s="3367"/>
      <c r="D52" s="1218">
        <f ca="1">ROUND(D45*'数据-取费表'!B41/(1+'数据-取费表'!C42),0)</f>
        <v>643</v>
      </c>
      <c r="E52" s="2526" t="s">
        <v>1980</v>
      </c>
      <c r="F52" s="2747">
        <f>'数据-取费表'!B41</f>
        <v>5.5000000000000007E-2</v>
      </c>
      <c r="G52" s="2748"/>
      <c r="H52" s="2737"/>
      <c r="I52" s="1962"/>
      <c r="J52" s="2716">
        <v>1</v>
      </c>
      <c r="K52" s="3344" t="s">
        <v>1981</v>
      </c>
      <c r="L52" s="3344"/>
      <c r="M52" s="2718" t="b">
        <f>D48</f>
        <v>0</v>
      </c>
      <c r="N52" s="2716" t="str">
        <f>E48</f>
        <v>销售额×税（费）率</v>
      </c>
      <c r="O52" s="2719">
        <f>F48</f>
        <v>5.5000000000000007E-2</v>
      </c>
    </row>
    <row r="53" spans="1:35" ht="12" customHeight="1">
      <c r="A53" s="2527" t="s">
        <v>1982</v>
      </c>
      <c r="B53" s="3368" t="s">
        <v>2963</v>
      </c>
      <c r="C53" s="3369"/>
      <c r="D53" s="1218">
        <f ca="1">ROUND(D45*'数据-取费表'!B41/(1+'数据-取费表'!C42),0)</f>
        <v>643</v>
      </c>
      <c r="E53" s="2526" t="s">
        <v>1980</v>
      </c>
      <c r="F53" s="2747">
        <f>'数据-取费表'!B41</f>
        <v>5.5000000000000007E-2</v>
      </c>
      <c r="G53" s="2748"/>
      <c r="H53" s="2737"/>
      <c r="I53" s="1962"/>
      <c r="J53" s="2716">
        <v>2</v>
      </c>
      <c r="K53" s="3344" t="s">
        <v>1983</v>
      </c>
      <c r="L53" s="3344"/>
      <c r="M53" s="2718">
        <f t="shared" ref="M53:O54" ca="1" si="0">D55</f>
        <v>6</v>
      </c>
      <c r="N53" s="2716" t="str">
        <f t="shared" si="0"/>
        <v>销售额×税（费）率</v>
      </c>
      <c r="O53" s="2719" t="str">
        <f t="shared" si="0"/>
        <v>免征</v>
      </c>
    </row>
    <row r="54" spans="1:35" ht="12" customHeight="1">
      <c r="A54" s="2527" t="s">
        <v>1984</v>
      </c>
      <c r="B54" s="3368" t="s">
        <v>2964</v>
      </c>
      <c r="C54" s="3369"/>
      <c r="D54" s="1218">
        <f ca="1">C68</f>
        <v>643</v>
      </c>
      <c r="E54" s="332" t="s">
        <v>1985</v>
      </c>
      <c r="F54" s="2747">
        <f>'数据-取费表'!B41</f>
        <v>5.5000000000000007E-2</v>
      </c>
      <c r="G54" s="2748"/>
      <c r="H54" s="2749"/>
      <c r="I54" s="1962"/>
      <c r="J54" s="2716">
        <v>3</v>
      </c>
      <c r="K54" s="3344" t="s">
        <v>1986</v>
      </c>
      <c r="L54" s="3344"/>
      <c r="M54" s="2718">
        <f t="shared" ca="1" si="0"/>
        <v>6956</v>
      </c>
      <c r="N54" s="2716" t="str">
        <f t="shared" si="0"/>
        <v>增值额×税（费）率</v>
      </c>
      <c r="O54" s="2720" t="str">
        <f t="shared" si="0"/>
        <v>免征</v>
      </c>
    </row>
    <row r="55" spans="1:35" ht="24" customHeight="1">
      <c r="A55" s="3407" t="s">
        <v>1987</v>
      </c>
      <c r="B55" s="3385"/>
      <c r="C55" s="3385"/>
      <c r="D55" s="2516">
        <f ca="1">IF(H55="个人住宅",0,ROUND(D45*I55,0))</f>
        <v>6</v>
      </c>
      <c r="E55" s="2526" t="s">
        <v>1988</v>
      </c>
      <c r="F55" s="2747" t="str">
        <f>IF(H55="正常",I55,"免征")</f>
        <v>免征</v>
      </c>
      <c r="G55" s="2748"/>
      <c r="H55" s="2743"/>
      <c r="I55" s="169">
        <f>'数据-取费表'!B49</f>
        <v>5.0000000000000001E-4</v>
      </c>
      <c r="J55" s="2716">
        <f>IF(H59="非个人房产","",4)</f>
        <v>4</v>
      </c>
      <c r="K55" s="3344" t="str">
        <f>IF(H59="非个人房产","——","个人所得税")</f>
        <v>个人所得税</v>
      </c>
      <c r="L55" s="3344"/>
      <c r="M55" s="2721">
        <f ca="1">D59</f>
        <v>117</v>
      </c>
      <c r="N55" s="2197" t="str">
        <f>E59</f>
        <v>差额计税</v>
      </c>
      <c r="O55" s="2722">
        <f>F59</f>
        <v>0.01</v>
      </c>
    </row>
    <row r="56" spans="1:35" ht="24.75">
      <c r="A56" s="3407" t="s">
        <v>1989</v>
      </c>
      <c r="B56" s="3385"/>
      <c r="C56" s="3385"/>
      <c r="D56" s="2516">
        <f ca="1">IF(H56="个人住宅",D57,D58)</f>
        <v>6956</v>
      </c>
      <c r="E56" s="2526" t="s">
        <v>1990</v>
      </c>
      <c r="F56" s="2747" t="str">
        <f>IF(H56="正常",F58,"免征")</f>
        <v>免征</v>
      </c>
      <c r="G56" s="2750" t="s">
        <v>1991</v>
      </c>
      <c r="H56" s="2751"/>
      <c r="I56" s="1963"/>
      <c r="J56" s="2716" t="str">
        <f>IF(项目基本情况!K6="上海银行",IF(J55="",4,J55+1),"")</f>
        <v/>
      </c>
      <c r="K56" s="3325" t="str">
        <f>IF(项目基本情况!K6="上海银行","其他处置费用","")</f>
        <v/>
      </c>
      <c r="L56" s="3326"/>
      <c r="M56" s="2718" t="str">
        <f>IF(项目基本情况!K6="上海银行",M69,"")</f>
        <v/>
      </c>
      <c r="N56" s="3325" t="str">
        <f>IF(项目基本情况!K6="上海银行","包含处置中涉及的律师、诉讼、拍卖、评估等费用","")</f>
        <v/>
      </c>
      <c r="O56" s="3328"/>
    </row>
    <row r="57" spans="1:35" ht="12.75">
      <c r="A57" s="2527" t="s">
        <v>1967</v>
      </c>
      <c r="B57" s="3368" t="s">
        <v>1992</v>
      </c>
      <c r="C57" s="3369"/>
      <c r="D57" s="1744">
        <v>0</v>
      </c>
      <c r="E57" s="329" t="s">
        <v>1969</v>
      </c>
      <c r="F57" s="307"/>
      <c r="G57" s="2748"/>
      <c r="H57" s="2752"/>
      <c r="I57" s="1963"/>
      <c r="J57" s="3344">
        <f>IF(AND(J55="",J56=""),4,IF(项目基本情况!K6="上海银行",结果表!J56+1,结果表!J55+1))</f>
        <v>5</v>
      </c>
      <c r="K57" s="3344" t="s">
        <v>1993</v>
      </c>
      <c r="L57" s="2723" t="s">
        <v>1994</v>
      </c>
      <c r="M57" s="2724"/>
      <c r="N57" s="2725">
        <f ca="1">SUMIF(M52:M56,"&lt;9e307")</f>
        <v>7079</v>
      </c>
      <c r="O57" s="2726"/>
      <c r="P57" s="2886">
        <f ca="1">N57/M49</f>
        <v>0.57698263917189663</v>
      </c>
    </row>
    <row r="58" spans="1:35" ht="24.75">
      <c r="A58" s="2527" t="s">
        <v>1978</v>
      </c>
      <c r="B58" s="3368" t="s">
        <v>1995</v>
      </c>
      <c r="C58" s="3367"/>
      <c r="D58" s="2516">
        <f ca="1">IF(H58="转让取得",C81,C97)</f>
        <v>6956</v>
      </c>
      <c r="E58" s="2526" t="s">
        <v>1990</v>
      </c>
      <c r="F58" s="307" t="s">
        <v>34</v>
      </c>
      <c r="G58" s="2748"/>
      <c r="H58" s="2751"/>
      <c r="I58" s="1963"/>
      <c r="J58" s="3344"/>
      <c r="K58" s="3344"/>
      <c r="L58" s="2723" t="s">
        <v>1996</v>
      </c>
      <c r="M58" s="2727"/>
      <c r="N58" s="2728" t="str">
        <f ca="1">NUMBERSTRING(INT(N57*10000),2)&amp;"元整"</f>
        <v>柒仟零柒拾玖万元整</v>
      </c>
      <c r="O58" s="2729"/>
    </row>
    <row r="59" spans="1:35" ht="24.75" thickBot="1">
      <c r="A59" s="3348" t="s">
        <v>1997</v>
      </c>
      <c r="B59" s="3349"/>
      <c r="C59" s="3349"/>
      <c r="D59" s="2753">
        <f ca="1">IF(H59="非个人房产","——",IF(H59="个人住宅（满五唯一有凭证）",0,IF(H59="个人其他（无凭证）",ROUND(D45*F59,0),ROUND(C67*F59,0))))</f>
        <v>117</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1"/>
      <c r="I59" s="2500" t="s">
        <v>2817</v>
      </c>
      <c r="J59" s="3346">
        <f>J57+1</f>
        <v>6</v>
      </c>
      <c r="K59" s="3344" t="s">
        <v>1998</v>
      </c>
      <c r="L59" s="2716" t="s">
        <v>1994</v>
      </c>
      <c r="M59" s="2730"/>
      <c r="N59" s="2731">
        <f ca="1">M49-N57</f>
        <v>5190</v>
      </c>
      <c r="O59" s="2732"/>
    </row>
    <row r="60" spans="1:35" ht="12" customHeight="1">
      <c r="A60" s="1964"/>
      <c r="B60" s="1902"/>
      <c r="C60" s="1902"/>
      <c r="D60" s="1902"/>
      <c r="E60" s="1732"/>
      <c r="F60" s="1963"/>
      <c r="G60" s="1963"/>
      <c r="H60" s="1965"/>
      <c r="I60" s="133"/>
      <c r="J60" s="3347"/>
      <c r="K60" s="3344"/>
      <c r="L60" s="2723" t="s">
        <v>1996</v>
      </c>
      <c r="M60" s="2727"/>
      <c r="N60" s="2728" t="str">
        <f ca="1">NUMBERSTRING(INT(N59*10000),2)&amp;"元整"</f>
        <v>伍仟壹佰玖拾万元整</v>
      </c>
      <c r="O60" s="2729"/>
    </row>
    <row r="61" spans="1:35" ht="13.5" thickBot="1">
      <c r="A61" s="3406" t="s">
        <v>1999</v>
      </c>
      <c r="B61" s="3406"/>
      <c r="C61" s="3406"/>
      <c r="D61" s="3406"/>
      <c r="E61" s="3406"/>
      <c r="F61" s="1963"/>
      <c r="G61" s="1963"/>
      <c r="H61" s="1965"/>
      <c r="I61" s="133"/>
      <c r="J61" s="2716">
        <f>J59+1</f>
        <v>7</v>
      </c>
      <c r="K61" s="3344" t="s">
        <v>2000</v>
      </c>
      <c r="L61" s="3344"/>
      <c r="M61" s="2733"/>
      <c r="N61" s="2734">
        <f ca="1">ROUND(N59*10000/'数据-汇总表'!E3,0)</f>
        <v>3033</v>
      </c>
      <c r="O61" s="2735"/>
    </row>
    <row r="62" spans="1:35" ht="12.75">
      <c r="A62" s="3363" t="s">
        <v>2001</v>
      </c>
      <c r="B62" s="3364"/>
      <c r="C62" s="2178"/>
      <c r="D62" s="2178" t="s">
        <v>2002</v>
      </c>
      <c r="E62" s="170" t="s">
        <v>2003</v>
      </c>
      <c r="F62" s="1963"/>
      <c r="G62" s="1963"/>
      <c r="H62" s="1965"/>
      <c r="I62" s="133"/>
    </row>
    <row r="63" spans="1:35" ht="12.75">
      <c r="A63" s="177" t="s">
        <v>775</v>
      </c>
      <c r="B63" s="171" t="s">
        <v>2004</v>
      </c>
      <c r="C63" s="2757">
        <f ca="1">ROUND((C64+C65)/(1+'数据-取费表'!C42),0)</f>
        <v>11685</v>
      </c>
      <c r="D63" s="171"/>
      <c r="E63" s="172"/>
      <c r="F63" s="1963"/>
      <c r="G63" s="1963"/>
      <c r="H63" s="1965"/>
      <c r="I63" s="133"/>
      <c r="J63" s="3327" t="s">
        <v>2005</v>
      </c>
      <c r="K63" s="1471" t="s">
        <v>2006</v>
      </c>
      <c r="L63" s="1471">
        <f ca="1">IF(M49&gt;10000,M49*0.5%,IF(AND(M49&gt;1000,M49&lt;=10000),M49*1%,IF(AND(M49&gt;100,M49&lt;=1000),M49*3%,IF(AND(M49&gt;10,M49&lt;=100),M49*5%,M49*8%))))</f>
        <v>61.344999999999999</v>
      </c>
      <c r="M63" s="307">
        <f ca="1">ROUND(L63,1)</f>
        <v>61.3</v>
      </c>
      <c r="N63" s="2736"/>
      <c r="Z63" s="1907"/>
      <c r="AI63" s="1908"/>
    </row>
    <row r="64" spans="1:35" ht="14.25" customHeight="1">
      <c r="A64" s="173" t="s">
        <v>770</v>
      </c>
      <c r="B64" s="174" t="s">
        <v>2007</v>
      </c>
      <c r="C64" s="2758">
        <f ca="1">D45</f>
        <v>12269</v>
      </c>
      <c r="D64" s="174" t="s">
        <v>32</v>
      </c>
      <c r="E64" s="176"/>
      <c r="F64" s="1963"/>
      <c r="G64" s="1963"/>
      <c r="H64" s="1965"/>
      <c r="I64" s="133"/>
      <c r="J64" s="3327"/>
      <c r="K64" s="1471" t="s">
        <v>2008</v>
      </c>
      <c r="L64" s="1471">
        <f ca="1">IF(M49&gt;2000,M49*0.5%,IF(AND(M49&gt;1000,M49&lt;=2000),M49*0.6%,IF(AND(M49&gt;500,M49&lt;=1000),M49*0.7%,IF(AND(M49&gt;200,M49&lt;=500),M49*0.8%,IF(AND(M49&gt;100,M49&lt;=200),M49*0.9%,IF(AND(M49&gt;50,M49&lt;=100),M49*1%,IF(AND(M49&gt;20,M49&lt;=50),M49*1.5%,IF(AND(M49&gt;10,M49&lt;=20),M49*2%,IF(AND(M49&gt;1,M49&lt;=10),M49*2.5%)))))))))</f>
        <v>61.344999999999999</v>
      </c>
      <c r="M64" s="307">
        <f t="shared" ref="M64:M65" ca="1" si="1">ROUND(L64,1)</f>
        <v>61.3</v>
      </c>
      <c r="N64" s="2737" t="s">
        <v>2009</v>
      </c>
      <c r="Z64" s="1907"/>
      <c r="AI64" s="1908"/>
    </row>
    <row r="65" spans="1:35" ht="14.25" customHeight="1">
      <c r="A65" s="173" t="s">
        <v>771</v>
      </c>
      <c r="B65" s="174" t="s">
        <v>2010</v>
      </c>
      <c r="C65" s="2759"/>
      <c r="D65" s="174"/>
      <c r="E65" s="176"/>
      <c r="F65" s="1963"/>
      <c r="G65" s="1963"/>
      <c r="H65" s="1965"/>
      <c r="I65" s="133"/>
      <c r="J65" s="3327"/>
      <c r="K65" s="1471" t="s">
        <v>2011</v>
      </c>
      <c r="L65" s="1471">
        <f ca="1">IF(M49&gt;1000,M49*0.1%,IF(AND(M49&gt;500,M49&lt;=1000),M49*0.5%,IF(AND(M49&gt;50,M49&lt;=500),M49*1%,IF(AND(M49&gt;1,M49&lt;=50),M49*1.5%))))</f>
        <v>12.269</v>
      </c>
      <c r="M65" s="307">
        <f t="shared" ca="1" si="1"/>
        <v>12.3</v>
      </c>
      <c r="N65" s="2737" t="s">
        <v>2009</v>
      </c>
      <c r="Z65" s="1907"/>
      <c r="AI65" s="1908"/>
    </row>
    <row r="66" spans="1:35" ht="14.25" customHeight="1">
      <c r="A66" s="177" t="s">
        <v>772</v>
      </c>
      <c r="B66" s="178" t="s">
        <v>2012</v>
      </c>
      <c r="C66" s="2760"/>
      <c r="D66" s="178" t="s">
        <v>32</v>
      </c>
      <c r="E66" s="1478" t="s">
        <v>1277</v>
      </c>
      <c r="F66" s="1963"/>
      <c r="G66" s="1963"/>
      <c r="H66" s="1965"/>
      <c r="I66" s="133"/>
      <c r="J66" s="3327"/>
      <c r="K66" s="1471" t="s">
        <v>2013</v>
      </c>
      <c r="L66" s="1471">
        <f ca="1">M49*0.5%</f>
        <v>61.344999999999999</v>
      </c>
      <c r="M66" s="307">
        <f ca="1">IF(L66&gt;0.5,0.5,ROUND(L66,0))</f>
        <v>0.5</v>
      </c>
      <c r="N66" s="2737" t="s">
        <v>2014</v>
      </c>
      <c r="Z66" s="1907"/>
      <c r="AI66" s="1908"/>
    </row>
    <row r="67" spans="1:35" ht="14.25" customHeight="1">
      <c r="A67" s="177" t="s">
        <v>773</v>
      </c>
      <c r="B67" s="178" t="s">
        <v>2015</v>
      </c>
      <c r="C67" s="2761">
        <f ca="1">C63-C66</f>
        <v>11685</v>
      </c>
      <c r="D67" s="174" t="s">
        <v>32</v>
      </c>
      <c r="E67" s="176"/>
      <c r="F67" s="1963"/>
      <c r="G67" s="1963"/>
      <c r="H67" s="1965"/>
      <c r="I67" s="133"/>
      <c r="J67" s="3327"/>
      <c r="K67" s="1471" t="s">
        <v>2016</v>
      </c>
      <c r="L67" s="1471">
        <f ca="1">IF(M49&gt;=10000,(8.25+(M49-10000)*0.01%),IF(AND(M49&gt;=8000,M49&lt;10000),(7.85+(M49-8000)*0.02%),IF(AND(M49&gt;=5000,M49&lt;8000),(6.65+(M49-5000)*0.04%),IF(AND(M49&gt;=2000,M49&lt;5000),(4.25+(PM49-2000)*0.08%),IF(AND(M49&gt;=1000,M49&lt;2000),(2.75+(M49-1000)*0.15%),IF(AND(M49&gt;=100,M49&lt;1000),(0.5+(M49-100)*0.25%),IF(AND(M49&gt;0,M49&lt;100),M49*0.5%)))))))</f>
        <v>8.4769000000000005</v>
      </c>
      <c r="M67" s="307">
        <f ca="1">ROUND(L67*0.9,1)</f>
        <v>7.6</v>
      </c>
      <c r="N67" s="2736"/>
      <c r="Z67" s="1907"/>
      <c r="AI67" s="1908"/>
    </row>
    <row r="68" spans="1:35" ht="14.25" customHeight="1" thickBot="1">
      <c r="A68" s="180" t="s">
        <v>774</v>
      </c>
      <c r="B68" s="181" t="s">
        <v>2017</v>
      </c>
      <c r="C68" s="2762">
        <f ca="1">IF(C67&lt;=0,0,ROUND(C67*D68,0))</f>
        <v>643</v>
      </c>
      <c r="D68" s="2763">
        <f>'数据-取费表'!B41</f>
        <v>5.5000000000000007E-2</v>
      </c>
      <c r="E68" s="183"/>
      <c r="F68" s="1963"/>
      <c r="G68" s="1963"/>
      <c r="H68" s="1965"/>
      <c r="I68" s="133"/>
      <c r="J68" s="3327"/>
      <c r="K68" s="1471" t="s">
        <v>2018</v>
      </c>
      <c r="L68" s="1471">
        <f ca="1">IF(M49&gt;10000,M49*0.5%,IF(AND(M49&gt;5000,M49&lt;=10000),M49*1%,IF(AND(M49&gt;1000,M49&lt;=5000),M49*2%,IF(AND(M49&gt;200,M49&lt;=1000),M49*3%,M49*5%))))</f>
        <v>61.344999999999999</v>
      </c>
      <c r="M68" s="307">
        <f ca="1">ROUND(L68,1)</f>
        <v>61.3</v>
      </c>
      <c r="N68" s="2736"/>
      <c r="Z68" s="1907"/>
      <c r="AI68" s="1908"/>
    </row>
    <row r="69" spans="1:35" s="1927" customFormat="1" ht="16.5" customHeight="1">
      <c r="A69" s="1966"/>
      <c r="B69" s="1967"/>
      <c r="C69" s="1968"/>
      <c r="D69" s="1969"/>
      <c r="E69" s="1970"/>
      <c r="F69" s="1732"/>
      <c r="G69" s="1732"/>
      <c r="H69" s="1731"/>
      <c r="I69" s="1902"/>
      <c r="J69" s="3327"/>
      <c r="K69" s="1471" t="s">
        <v>2019</v>
      </c>
      <c r="L69" s="1471"/>
      <c r="M69" s="307">
        <f ca="1">ROUND(SUM(M63:M68),0)</f>
        <v>204</v>
      </c>
      <c r="N69" s="2738">
        <f ca="1">M69/M49</f>
        <v>1.6627271986306952E-2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371" t="s">
        <v>2020</v>
      </c>
      <c r="B70" s="3372"/>
      <c r="C70" s="3372"/>
      <c r="D70" s="3372"/>
      <c r="E70" s="3372"/>
      <c r="F70" s="3372"/>
      <c r="G70" s="3372"/>
      <c r="H70" s="3372"/>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3" t="s">
        <v>2001</v>
      </c>
      <c r="B71" s="3364"/>
      <c r="C71" s="2178"/>
      <c r="D71" s="2178" t="s">
        <v>2002</v>
      </c>
      <c r="E71" s="184" t="s">
        <v>2003</v>
      </c>
      <c r="F71" s="185"/>
      <c r="G71" s="185"/>
      <c r="H71" s="186"/>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1">
        <f ca="1">ROUND(D45/(1+'数据-取费表'!C42),0)</f>
        <v>11685</v>
      </c>
      <c r="D72" s="174" t="s">
        <v>32</v>
      </c>
      <c r="E72" s="2523"/>
      <c r="F72" s="2522"/>
      <c r="G72" s="2522"/>
      <c r="H72" s="187"/>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1">
        <f ca="1">C74+C78</f>
        <v>58</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4"/>
      <c r="D75" s="174" t="s">
        <v>32</v>
      </c>
      <c r="E75" s="189" t="s">
        <v>2025</v>
      </c>
      <c r="F75" s="2765"/>
      <c r="G75" s="189" t="s">
        <v>2026</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7">
        <v>0.05</v>
      </c>
      <c r="E76" s="3368" t="s">
        <v>2028</v>
      </c>
      <c r="F76" s="3367"/>
      <c r="G76" s="3367"/>
      <c r="H76" s="3370"/>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68">
        <f>'数据-取费表'!B48+'数据-取费表'!B49</f>
        <v>3.0499999999999999E-2</v>
      </c>
      <c r="E77" s="2516" t="s">
        <v>2030</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69">
        <f ca="1">ROUND(D45*D78/(1+'数据-取费表'!C42),0)</f>
        <v>58</v>
      </c>
      <c r="D78" s="2770">
        <f>'数据-取费表'!B43</f>
        <v>5.000000000000001E-3</v>
      </c>
      <c r="E78" s="3360" t="s">
        <v>2032</v>
      </c>
      <c r="F78" s="3361"/>
      <c r="G78" s="3361"/>
      <c r="H78" s="336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2033</v>
      </c>
      <c r="C79" s="2761">
        <f ca="1">C72-C73</f>
        <v>11627</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1">
        <f ca="1">IF(C79&lt;=0,0,C79/C73)</f>
        <v>200.4655172413793</v>
      </c>
      <c r="D80" s="174"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2">
        <f ca="1">ROUND(IF(C79&lt;=0,0,IF(C80&gt;=200%,C79*60%-C73*35%,IF(C80&gt;=100%,C79*50%-C73*15%,IF(C80&gt;=50%,C79*40%-C73*5%,IF(C80&lt;50%,C79*30%,0))))),0)</f>
        <v>6956</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71" t="s">
        <v>2036</v>
      </c>
      <c r="B83" s="3372"/>
      <c r="C83" s="3372"/>
      <c r="D83" s="3372"/>
      <c r="E83" s="3372"/>
      <c r="F83" s="3372"/>
      <c r="G83" s="3372"/>
      <c r="H83" s="3372"/>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3" t="s">
        <v>2001</v>
      </c>
      <c r="B84" s="3364"/>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1">
        <f ca="1">ROUND(D45/(1+'数据-取费表'!C42),0)</f>
        <v>11685</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1">
        <f ca="1">IF(H88="仅含出让金",C87+C90+C91+C92+C93+C94,C87+C91+C92+C93+C94)</f>
        <v>58</v>
      </c>
      <c r="D86" s="2774"/>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69">
        <f>C88+C89</f>
        <v>0</v>
      </c>
      <c r="D87" s="277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5"/>
      <c r="D88" s="2770"/>
      <c r="E88" s="198" t="s">
        <v>2039</v>
      </c>
      <c r="F88" s="2519"/>
      <c r="G88" s="199" t="s">
        <v>2040</v>
      </c>
      <c r="H88" s="1979"/>
      <c r="I88" s="1976"/>
      <c r="J88" s="2714" t="s">
        <v>2960</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69">
        <f>ROUND(C88*D89,0)</f>
        <v>0</v>
      </c>
      <c r="D89" s="2770">
        <f>'数据-取费表'!B48+'数据-取费表'!B49</f>
        <v>3.0499999999999999E-2</v>
      </c>
      <c r="E89" s="198"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5"/>
      <c r="D90" s="2770"/>
      <c r="E90" s="198" t="str">
        <f>IF(H88="-","土地取得成本中已包含该笔费用"," ")</f>
        <v xml:space="preserve"> </v>
      </c>
      <c r="F90" s="2519"/>
      <c r="G90" s="3329" t="s">
        <v>2809</v>
      </c>
      <c r="H90" s="3330"/>
      <c r="I90" s="1976"/>
      <c r="J90" s="2714" t="s">
        <v>2961</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69">
        <f>IF(H91="——",成本法!C33,I91)</f>
        <v>0</v>
      </c>
      <c r="D91" s="2770"/>
      <c r="E91" s="3360" t="s">
        <v>2045</v>
      </c>
      <c r="F91" s="3361"/>
      <c r="G91" s="336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69">
        <f>ROUND((C87+C90+C91)*D92,0)</f>
        <v>0</v>
      </c>
      <c r="D92" s="2776"/>
      <c r="E92" s="3360" t="s">
        <v>2048</v>
      </c>
      <c r="F92" s="3361"/>
      <c r="G92" s="3361"/>
      <c r="H92" s="3362"/>
      <c r="I92" s="1976"/>
      <c r="J92" s="2715" t="s">
        <v>2962</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69">
        <f ca="1">ROUND(D45*D93/(1+'数据-取费表'!C42),0)</f>
        <v>58</v>
      </c>
      <c r="D93" s="2770">
        <f>'数据-取费表'!B43</f>
        <v>5.000000000000001E-3</v>
      </c>
      <c r="E93" s="3360" t="s">
        <v>2032</v>
      </c>
      <c r="F93" s="3361"/>
      <c r="G93" s="3361"/>
      <c r="H93" s="336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5">
        <f>ROUND((C87+C90+C91)*D94,0)</f>
        <v>0</v>
      </c>
      <c r="D94" s="2770">
        <v>0.2</v>
      </c>
      <c r="E94" s="3408" t="s">
        <v>2052</v>
      </c>
      <c r="F94" s="3409"/>
      <c r="G94" s="3409"/>
      <c r="H94" s="3410"/>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2033</v>
      </c>
      <c r="C95" s="2761">
        <f ca="1">ROUND(C85-C86,0)</f>
        <v>11627</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1">
        <f ca="1">IF(C95&lt;=0,0,C95/C86)</f>
        <v>200.4655172413793</v>
      </c>
      <c r="D96" s="174"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2">
        <f ca="1">ROUND(IF(C95&lt;=0,0,IF(C96&gt;=200%,C95*60%-C86*35%,IF(C96&gt;=100%,C95*50%-C86*15%,IF(C96&gt;=50%,C95*40%-C86*5%,IF(C96&lt;50%,C95*30%,0))))),0)</f>
        <v>6956</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2053</v>
      </c>
      <c r="B99" s="1902"/>
      <c r="C99" s="1902"/>
      <c r="D99" s="1902"/>
      <c r="E99" s="1732"/>
      <c r="F99" s="1732"/>
      <c r="G99" s="1732"/>
      <c r="H99" s="1731"/>
      <c r="I99" s="133"/>
    </row>
    <row r="100" spans="1:35" ht="18.75" customHeight="1">
      <c r="A100" s="3310" t="s">
        <v>2054</v>
      </c>
      <c r="B100" s="3311"/>
      <c r="C100" s="3311"/>
      <c r="D100" s="3345"/>
      <c r="E100" s="3311" t="s">
        <v>2055</v>
      </c>
      <c r="F100" s="3311"/>
      <c r="G100" s="3311"/>
      <c r="H100" s="3345"/>
      <c r="I100" s="133"/>
    </row>
    <row r="101" spans="1:35" ht="18.75" customHeight="1">
      <c r="A101" s="3353" t="s">
        <v>2056</v>
      </c>
      <c r="B101" s="3354"/>
      <c r="C101" s="2778" t="str">
        <f>C4</f>
        <v>成本法</v>
      </c>
      <c r="D101" s="2779" t="str">
        <f>D4</f>
        <v>收益法</v>
      </c>
      <c r="E101" s="3323" t="s">
        <v>2057</v>
      </c>
      <c r="F101" s="3324"/>
      <c r="G101" s="1982" t="s">
        <v>2058</v>
      </c>
      <c r="H101" s="2788">
        <f ca="1">H118</f>
        <v>12269</v>
      </c>
      <c r="I101" s="133"/>
    </row>
    <row r="102" spans="1:35" ht="18.75" customHeight="1">
      <c r="A102" s="3355" t="s">
        <v>2059</v>
      </c>
      <c r="B102" s="2777" t="s">
        <v>2058</v>
      </c>
      <c r="C102" s="2778">
        <f ca="1">C19</f>
        <v>11141</v>
      </c>
      <c r="D102" s="2779">
        <f ca="1">D19</f>
        <v>13397</v>
      </c>
      <c r="E102" s="3323"/>
      <c r="F102" s="3324"/>
      <c r="G102" s="1982" t="s">
        <v>2060</v>
      </c>
      <c r="H102" s="2748">
        <f ca="1">I118</f>
        <v>7171</v>
      </c>
      <c r="I102" s="133"/>
    </row>
    <row r="103" spans="1:35" ht="42.75" customHeight="1">
      <c r="A103" s="3355"/>
      <c r="B103" s="2777" t="s">
        <v>2060</v>
      </c>
      <c r="C103" s="2780">
        <f ca="1">C20</f>
        <v>6511</v>
      </c>
      <c r="D103" s="2781">
        <f ca="1">D20</f>
        <v>7830</v>
      </c>
      <c r="E103" s="3316" t="s">
        <v>2061</v>
      </c>
      <c r="F103" s="3317"/>
      <c r="G103" s="1983" t="s">
        <v>2062</v>
      </c>
      <c r="H103" s="2788">
        <f>IF(D36="正常操作",H104+H105+H106,H105+H106)</f>
        <v>0</v>
      </c>
      <c r="I103" s="133"/>
    </row>
    <row r="104" spans="1:35" ht="18.75" customHeight="1">
      <c r="A104" s="3355" t="s">
        <v>2063</v>
      </c>
      <c r="B104" s="2782" t="s">
        <v>2058</v>
      </c>
      <c r="C104" s="2783">
        <f ca="1">H118</f>
        <v>12269</v>
      </c>
      <c r="D104" s="2784"/>
      <c r="E104" s="1829" t="s">
        <v>2064</v>
      </c>
      <c r="F104" s="1820"/>
      <c r="G104" s="1983" t="s">
        <v>2062</v>
      </c>
      <c r="H104" s="2789">
        <f>IF(D36="同一抵押权人同一抵押物续贷",C36&amp;"（续贷，未扣减，详见特别提示）",C36)</f>
        <v>0</v>
      </c>
      <c r="I104" s="133"/>
    </row>
    <row r="105" spans="1:35" ht="18.75" customHeight="1" thickBot="1">
      <c r="A105" s="3365"/>
      <c r="B105" s="2785" t="s">
        <v>2060</v>
      </c>
      <c r="C105" s="2786">
        <f ca="1">I118</f>
        <v>7171</v>
      </c>
      <c r="D105" s="2787"/>
      <c r="E105" s="1829" t="s">
        <v>2065</v>
      </c>
      <c r="F105" s="1820"/>
      <c r="G105" s="1983" t="s">
        <v>2062</v>
      </c>
      <c r="H105" s="2790">
        <f>C37</f>
        <v>0</v>
      </c>
      <c r="I105" s="133"/>
    </row>
    <row r="106" spans="1:35" ht="18.75" customHeight="1">
      <c r="A106" s="1902" t="s">
        <v>2066</v>
      </c>
      <c r="B106" s="1902"/>
      <c r="C106" s="1902"/>
      <c r="D106" s="1902"/>
      <c r="E106" s="1984" t="s">
        <v>2067</v>
      </c>
      <c r="F106" s="1820"/>
      <c r="G106" s="1983" t="s">
        <v>2062</v>
      </c>
      <c r="H106" s="2790">
        <f>C38</f>
        <v>0</v>
      </c>
      <c r="I106" s="133"/>
    </row>
    <row r="107" spans="1:35" ht="18.75" customHeight="1">
      <c r="A107" s="133"/>
      <c r="B107" s="133"/>
      <c r="C107" s="133"/>
      <c r="D107" s="133"/>
      <c r="E107" s="3356" t="str">
        <f>IF(项目基本情况!E8="已注销","——","3.房地产抵押价值")</f>
        <v>3.房地产抵押价值</v>
      </c>
      <c r="F107" s="3324"/>
      <c r="G107" s="1982" t="s">
        <v>2058</v>
      </c>
      <c r="H107" s="2788">
        <f ca="1">IF(E107="——","——",H101-H103)</f>
        <v>12269</v>
      </c>
      <c r="I107" s="133"/>
    </row>
    <row r="108" spans="1:35" ht="18.75" customHeight="1">
      <c r="A108" s="133"/>
      <c r="B108" s="133"/>
      <c r="C108" s="133"/>
      <c r="D108" s="133"/>
      <c r="E108" s="3356"/>
      <c r="F108" s="3324"/>
      <c r="G108" s="1982" t="s">
        <v>2060</v>
      </c>
      <c r="H108" s="2748">
        <f ca="1">ROUND(H107*10000/'数据-汇总表'!E3,0)</f>
        <v>7171</v>
      </c>
      <c r="I108" s="133"/>
    </row>
    <row r="109" spans="1:35" ht="18.75" customHeight="1">
      <c r="A109" s="133"/>
      <c r="B109" s="133"/>
      <c r="C109" s="133"/>
      <c r="D109" s="133"/>
      <c r="E109" s="3356" t="str">
        <f>IF(项目基本情况!E8="已注销及未注销","4.抵押担保权已注销时的房地产抵押价值",IF(项目基本情况!E8="已注销","3.抵押担保权已注销时的房地产抵押价值","——"))</f>
        <v>——</v>
      </c>
      <c r="F109" s="3324"/>
      <c r="G109" s="1982" t="s">
        <v>2058</v>
      </c>
      <c r="H109" s="2791" t="str">
        <f>IF(E109="——","——",H101-H105-H106)</f>
        <v>——</v>
      </c>
      <c r="I109" s="133"/>
    </row>
    <row r="110" spans="1:35" ht="18.75" customHeight="1">
      <c r="A110" s="133"/>
      <c r="B110" s="133"/>
      <c r="C110" s="133"/>
      <c r="D110" s="133"/>
      <c r="E110" s="3356"/>
      <c r="F110" s="3324"/>
      <c r="G110" s="1982" t="s">
        <v>2060</v>
      </c>
      <c r="H110" s="2748" t="str">
        <f>IF(H109="——","——",ROUND(H109*10000/'数据-汇总表'!E3,0))</f>
        <v>——</v>
      </c>
      <c r="I110" s="133"/>
    </row>
    <row r="111" spans="1:35" ht="18.75" customHeight="1">
      <c r="A111" s="133"/>
      <c r="B111" s="133"/>
      <c r="C111" s="133"/>
      <c r="D111" s="133"/>
      <c r="E111" s="3357" t="str">
        <f>IF(项目基本情况!E9="抵押净值",IF(OR(项目基本情况!E8="已注销",项目基本情况!E8="房地产抵押价值"),"4.抵押净值","5.抵押净值"),"——")</f>
        <v>——</v>
      </c>
      <c r="F111" s="3343"/>
      <c r="G111" s="1982" t="s">
        <v>2058</v>
      </c>
      <c r="H111" s="2788" t="str">
        <f>IF(E111="——","——",N59)</f>
        <v>——</v>
      </c>
      <c r="I111" s="133"/>
    </row>
    <row r="112" spans="1:35" ht="18.75" customHeight="1" thickBot="1">
      <c r="A112" s="133"/>
      <c r="B112" s="133"/>
      <c r="C112" s="133"/>
      <c r="D112" s="133"/>
      <c r="E112" s="3358"/>
      <c r="F112" s="3359"/>
      <c r="G112" s="1985" t="s">
        <v>2060</v>
      </c>
      <c r="H112" s="2792" t="str">
        <f>IF(E111="——","——",N61)</f>
        <v>——</v>
      </c>
      <c r="I112" s="133"/>
    </row>
    <row r="113" spans="1:27" ht="18.75" customHeight="1">
      <c r="A113" s="133"/>
      <c r="B113" s="133"/>
      <c r="C113" s="133"/>
      <c r="D113" s="133"/>
      <c r="E113" s="3366" t="s">
        <v>2066</v>
      </c>
      <c r="F113" s="3366"/>
      <c r="G113" s="3366"/>
      <c r="H113" s="3366"/>
      <c r="I113" s="133"/>
    </row>
    <row r="114" spans="1:27" ht="3.75" customHeight="1">
      <c r="A114" s="1902"/>
      <c r="B114" s="1902"/>
      <c r="C114" s="1902"/>
      <c r="D114" s="1902"/>
      <c r="E114" s="1964"/>
      <c r="F114" s="1964"/>
      <c r="G114" s="1964"/>
      <c r="H114" s="1964"/>
      <c r="I114" s="1902"/>
    </row>
    <row r="115" spans="1:27" ht="18.75" customHeight="1">
      <c r="A115" s="3377" t="s">
        <v>2068</v>
      </c>
      <c r="B115" s="3378"/>
      <c r="C115" s="3378"/>
      <c r="D115" s="3378"/>
      <c r="E115" s="3378"/>
      <c r="F115" s="3378"/>
      <c r="G115" s="3378"/>
      <c r="H115" s="3378"/>
      <c r="I115" s="3379"/>
    </row>
    <row r="116" spans="1:27" ht="27" customHeight="1">
      <c r="A116" s="3331" t="s">
        <v>2069</v>
      </c>
      <c r="B116" s="3335" t="s">
        <v>2070</v>
      </c>
      <c r="C116" s="3335" t="s">
        <v>2071</v>
      </c>
      <c r="D116" s="3341" t="s">
        <v>2072</v>
      </c>
      <c r="E116" s="3342"/>
      <c r="F116" s="3373" t="s">
        <v>2073</v>
      </c>
      <c r="G116" s="3373"/>
      <c r="H116" s="3331" t="s">
        <v>2074</v>
      </c>
      <c r="I116" s="3331"/>
    </row>
    <row r="117" spans="1:27" ht="18.75" customHeight="1">
      <c r="A117" s="3331"/>
      <c r="B117" s="3336"/>
      <c r="C117" s="3336"/>
      <c r="D117" s="2521" t="s">
        <v>2075</v>
      </c>
      <c r="E117" s="2521" t="s">
        <v>2076</v>
      </c>
      <c r="F117" s="2521" t="s">
        <v>2075</v>
      </c>
      <c r="G117" s="2521" t="s">
        <v>2077</v>
      </c>
      <c r="H117" s="2521" t="s">
        <v>2075</v>
      </c>
      <c r="I117" s="2521" t="s">
        <v>2077</v>
      </c>
    </row>
    <row r="118" spans="1:27" ht="24.75" customHeight="1">
      <c r="A118" s="2793" t="str">
        <f>项目基本情况!S2</f>
        <v>北京市房地产</v>
      </c>
      <c r="B118" s="2521">
        <f>M18</f>
        <v>17109.73</v>
      </c>
      <c r="C118" s="2521">
        <f>M19</f>
        <v>0</v>
      </c>
      <c r="D118" s="2521">
        <f ca="1">ROUND(IF(D32="总价",C34,E118*B118/10000),0)</f>
        <v>5533</v>
      </c>
      <c r="E118" s="2521">
        <f ca="1">ROUND(IF(C33="自定义",IF(D32="楼面单价",C34,D118*10000/B118),I118-G118),0)</f>
        <v>3234</v>
      </c>
      <c r="F118" s="2521">
        <f ca="1">ROUND(IF(D32="总价",C35,G118*B118/10000),0)</f>
        <v>6736</v>
      </c>
      <c r="G118" s="2521">
        <f ca="1">ROUND(IF(D32="楼面单价",C35,F118*10000/B118),0)</f>
        <v>3937</v>
      </c>
      <c r="H118" s="2521">
        <f ca="1">ROUND(IF(D32="总价",C32,I118*B118/10000),0)</f>
        <v>12269</v>
      </c>
      <c r="I118" s="2521">
        <f ca="1">ROUND(IF(D32="楼面单价",C32,H118*10000/B118),0)</f>
        <v>7171</v>
      </c>
    </row>
    <row r="119" spans="1:27" ht="18.75" customHeight="1">
      <c r="A119" s="3331" t="s">
        <v>2078</v>
      </c>
      <c r="B119" s="3331"/>
      <c r="C119" s="3331"/>
      <c r="D119" s="3337" t="str">
        <f ca="1">NUMBERSTRING(INT(D118*10000),2)&amp;"元整"</f>
        <v>伍仟伍佰叁拾叁万元整</v>
      </c>
      <c r="E119" s="3338"/>
      <c r="F119" s="3337" t="str">
        <f ca="1">NUMBERSTRING(INT(F118*10000),2)&amp;"元整"</f>
        <v>陆仟柒佰叁拾陆万元整</v>
      </c>
      <c r="G119" s="3338"/>
      <c r="H119" s="3337" t="str">
        <f ca="1">NUMBERSTRING(INT(H118*10000),2)&amp;"元整"</f>
        <v>壹亿贰仟贰佰陆拾玖万元整</v>
      </c>
      <c r="I119" s="3338"/>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4" t="s">
        <v>2078</v>
      </c>
      <c r="B121" s="3375"/>
      <c r="C121" s="3376"/>
      <c r="D121" s="3337" t="str">
        <f>IF(D120=0,"零元整",NUMBERSTRING(INT(D120*10000),2)&amp;"元整")</f>
        <v>零元整</v>
      </c>
      <c r="E121" s="3339"/>
      <c r="F121" s="3339"/>
      <c r="G121" s="3339"/>
      <c r="H121" s="3339"/>
      <c r="I121" s="3338"/>
      <c r="AA121" s="733"/>
    </row>
    <row r="122" spans="1:27" ht="18.75" customHeight="1">
      <c r="A122" s="3343" t="str">
        <f>IF(项目基本情况!B9="房地产市场价值","",MID(E107,3,LEN(E107)-2))</f>
        <v>房地产抵押价值</v>
      </c>
      <c r="B122" s="3343"/>
      <c r="C122" s="3343"/>
      <c r="D122" s="3332">
        <f ca="1">H107</f>
        <v>12269</v>
      </c>
      <c r="E122" s="3333"/>
      <c r="F122" s="3333"/>
      <c r="G122" s="3333"/>
      <c r="H122" s="3333"/>
      <c r="I122" s="3334"/>
      <c r="AA122" s="733"/>
    </row>
    <row r="123" spans="1:27" ht="18.75" customHeight="1">
      <c r="A123" s="3331" t="s">
        <v>2078</v>
      </c>
      <c r="B123" s="3331"/>
      <c r="C123" s="3331"/>
      <c r="D123" s="3337" t="str">
        <f ca="1">NUMBERSTRING(INT(D122*10000),2)&amp;"元整"</f>
        <v>壹亿贰仟贰佰陆拾玖万元整</v>
      </c>
      <c r="E123" s="3339"/>
      <c r="F123" s="3339"/>
      <c r="G123" s="3339"/>
      <c r="H123" s="3339"/>
      <c r="I123" s="3338"/>
      <c r="AA123" s="733"/>
    </row>
    <row r="124" spans="1:27" ht="18.75" customHeight="1">
      <c r="A124" s="3343" t="str">
        <f>IF(项目基本情况!B9="房地产市场价值","",MID(E109,3,LEN(E109)-2))</f>
        <v/>
      </c>
      <c r="B124" s="3343"/>
      <c r="C124" s="3343"/>
      <c r="D124" s="3332" t="str">
        <f>H109</f>
        <v>——</v>
      </c>
      <c r="E124" s="3333"/>
      <c r="F124" s="3333"/>
      <c r="G124" s="3333"/>
      <c r="H124" s="3333"/>
      <c r="I124" s="3334"/>
      <c r="AA124" s="733"/>
    </row>
    <row r="125" spans="1:27" ht="18.75" customHeight="1">
      <c r="A125" s="3331" t="s">
        <v>2078</v>
      </c>
      <c r="B125" s="3331"/>
      <c r="C125" s="3331"/>
      <c r="D125" s="3337" t="e">
        <f>NUMBERSTRING(INT(D124*10000),2)&amp;"元整"</f>
        <v>#VALUE!</v>
      </c>
      <c r="E125" s="3339"/>
      <c r="F125" s="3339"/>
      <c r="G125" s="3339"/>
      <c r="H125" s="3339"/>
      <c r="I125" s="3338"/>
      <c r="AA125" s="733"/>
    </row>
    <row r="126" spans="1:27" ht="18.75" customHeight="1">
      <c r="A126" s="3343" t="str">
        <f>IF(项目基本情况!B9="房地产市场价值","",MID(E111,3,LEN(E111)-2))</f>
        <v/>
      </c>
      <c r="B126" s="3343"/>
      <c r="C126" s="3343"/>
      <c r="D126" s="3332" t="str">
        <f>H111</f>
        <v>——</v>
      </c>
      <c r="E126" s="3333"/>
      <c r="F126" s="3333"/>
      <c r="G126" s="3333"/>
      <c r="H126" s="3333"/>
      <c r="I126" s="3334"/>
      <c r="AA126" s="733"/>
    </row>
    <row r="127" spans="1:27" ht="18.75" customHeight="1">
      <c r="A127" s="3331" t="s">
        <v>2078</v>
      </c>
      <c r="B127" s="3331"/>
      <c r="C127" s="3331"/>
      <c r="D127" s="3337" t="e">
        <f>NUMBERSTRING(INT(D126*10000),2)&amp;"元整"</f>
        <v>#VALUE!</v>
      </c>
      <c r="E127" s="3339"/>
      <c r="F127" s="3339"/>
      <c r="G127" s="3339"/>
      <c r="H127" s="3339"/>
      <c r="I127" s="3338"/>
      <c r="AA127" s="733"/>
    </row>
    <row r="128" spans="1:27" ht="21.75" customHeight="1">
      <c r="A128" s="3340" t="s">
        <v>2079</v>
      </c>
      <c r="B128" s="3340"/>
      <c r="C128" s="3340"/>
      <c r="D128" s="3340"/>
      <c r="E128" s="3340"/>
      <c r="F128" s="3340"/>
      <c r="G128" s="3340"/>
      <c r="H128" s="3340"/>
      <c r="I128" s="3340"/>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c r="C1" s="203"/>
      <c r="D1" s="203"/>
      <c r="E1" s="203"/>
      <c r="F1" s="203"/>
      <c r="G1" s="1259">
        <f>MATCH(B1,'数据-取费表'!A6:A16,0)+5</f>
        <v>7</v>
      </c>
    </row>
    <row r="2" spans="1:9" s="205" customFormat="1" ht="18" customHeight="1">
      <c r="A2" s="206" t="s">
        <v>2088</v>
      </c>
      <c r="B2" s="207">
        <f ca="1">IF(D2="——",C52,C52-E2)</f>
        <v>11141</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6511</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3965</v>
      </c>
      <c r="D5" s="216" t="s">
        <v>2095</v>
      </c>
      <c r="E5" s="217" t="s">
        <v>2096</v>
      </c>
      <c r="F5" s="217" t="s">
        <v>2097</v>
      </c>
      <c r="G5" s="218"/>
    </row>
    <row r="6" spans="1:9" s="219" customFormat="1" ht="13.5" customHeight="1">
      <c r="A6" s="885" t="s">
        <v>2098</v>
      </c>
      <c r="B6" s="220" t="s">
        <v>2099</v>
      </c>
      <c r="C6" s="221">
        <f>'土地比较法-工业'!B2</f>
        <v>3848</v>
      </c>
      <c r="D6" s="222"/>
      <c r="E6" s="223"/>
      <c r="F6" s="223"/>
      <c r="G6" s="224"/>
    </row>
    <row r="7" spans="1:9" s="219" customFormat="1" ht="13.5" customHeight="1">
      <c r="A7" s="885" t="s">
        <v>2100</v>
      </c>
      <c r="B7" s="220" t="s">
        <v>2101</v>
      </c>
      <c r="C7" s="225">
        <f>ROUND(C6*F7,0)</f>
        <v>117</v>
      </c>
      <c r="D7" s="225"/>
      <c r="E7" s="223"/>
      <c r="F7" s="226">
        <f>IF(项目基本情况!B8="出让",0,'数据-取费表'!B48+'数据-取费表'!B49)</f>
        <v>3.0499999999999999E-2</v>
      </c>
      <c r="G7" s="224"/>
    </row>
    <row r="8" spans="1:9" s="228" customFormat="1">
      <c r="A8" s="885" t="s">
        <v>2102</v>
      </c>
      <c r="B8" s="220" t="s">
        <v>2103</v>
      </c>
      <c r="C8" s="225">
        <f>IF(G8="已包含在土地购买价格中","0",IF(B1="",'数据-取费表'!B29,IF(G9="全部缴纳",C9+C10,H9)))</f>
        <v>0</v>
      </c>
      <c r="D8" s="227"/>
      <c r="E8" s="225"/>
      <c r="F8" s="226"/>
      <c r="G8" s="2011"/>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0</v>
      </c>
      <c r="F9" s="226"/>
      <c r="G9" s="2012"/>
      <c r="H9" s="1270"/>
      <c r="I9" s="2013" t="s">
        <v>2105</v>
      </c>
    </row>
    <row r="10" spans="1:9" s="219" customFormat="1" ht="13.5" customHeight="1">
      <c r="A10" s="886" t="s">
        <v>801</v>
      </c>
      <c r="B10" s="229" t="s">
        <v>2106</v>
      </c>
      <c r="C10" s="230">
        <f ca="1">ROUND(D10*E10/10000,0)</f>
        <v>0</v>
      </c>
      <c r="D10" s="953">
        <f ca="1">IF(B1="",'数据-汇总表'!E6,IF(INDIRECT("'数据-取费表'!c"&amp;$G$1)="住宅",INDIRECT("'数据-取费表'!s"&amp;$G$1),INDIRECT("'数据-取费表'!k"&amp;$G$1)+INDIRECT("'数据-取费表'!s"&amp;$G$1)))</f>
        <v>17109.73</v>
      </c>
      <c r="E10" s="230">
        <f>'数据-取费表'!B28</f>
        <v>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t="str">
        <f>IF(G19="已包含在土地取得成本中","0",ROUND(D19*E19/10000,0))</f>
        <v>0</v>
      </c>
      <c r="D19" s="957">
        <f ca="1">D9+D10</f>
        <v>17109.73</v>
      </c>
      <c r="E19" s="216">
        <f>'数据-取费表'!B31</f>
        <v>200</v>
      </c>
      <c r="F19" s="236"/>
      <c r="G19" s="2011" t="s">
        <v>3138</v>
      </c>
    </row>
    <row r="20" spans="1:7" s="219" customFormat="1" ht="13.5" customHeight="1">
      <c r="A20" s="260" t="s">
        <v>2119</v>
      </c>
      <c r="B20" s="215" t="s">
        <v>2120</v>
      </c>
      <c r="C20" s="237">
        <f>ROUND((C5+C19)*F20,0)</f>
        <v>79</v>
      </c>
      <c r="D20" s="237"/>
      <c r="E20" s="237"/>
      <c r="F20" s="238">
        <f>'数据-取费表'!B37</f>
        <v>0.02</v>
      </c>
      <c r="G20" s="239" t="s">
        <v>2121</v>
      </c>
    </row>
    <row r="21" spans="1:7" s="219" customFormat="1" ht="13.5" customHeight="1">
      <c r="A21" s="260" t="s">
        <v>2122</v>
      </c>
      <c r="B21" s="215" t="s">
        <v>2123</v>
      </c>
      <c r="C21" s="240">
        <f>F21</f>
        <v>0.01</v>
      </c>
      <c r="D21" s="241" t="s">
        <v>2124</v>
      </c>
      <c r="E21" s="237"/>
      <c r="F21" s="238">
        <f>'数据-取费表'!B38</f>
        <v>0.01</v>
      </c>
      <c r="G21" s="239" t="s">
        <v>2125</v>
      </c>
    </row>
    <row r="22" spans="1:7" s="219" customFormat="1" ht="13.5" customHeight="1">
      <c r="A22" s="260" t="s">
        <v>2126</v>
      </c>
      <c r="B22" s="215" t="s">
        <v>2127</v>
      </c>
      <c r="C22" s="1235">
        <f ca="1">ROUND(SUM(C23:C25),0)</f>
        <v>254</v>
      </c>
      <c r="D22" s="240">
        <f ca="1">C26</f>
        <v>2.9999999999999997E-4</v>
      </c>
      <c r="E22" s="241" t="s">
        <v>2124</v>
      </c>
      <c r="F22" s="242">
        <f ca="1">'数据-取费表'!B40</f>
        <v>4.2000000000000003E-2</v>
      </c>
      <c r="G22" s="239" t="str">
        <f>IF('数据-取费表'!B22&lt;=1,"单利计息","复利计息")</f>
        <v>复利计息</v>
      </c>
    </row>
    <row r="23" spans="1:7" s="219" customFormat="1" ht="13.5" customHeight="1">
      <c r="A23" s="887" t="s">
        <v>2128</v>
      </c>
      <c r="B23" s="220" t="s">
        <v>2129</v>
      </c>
      <c r="C23" s="1236">
        <f ca="1">ROUND(IF('数据-取费表'!B22&lt;=1,C5*F22*'数据-取费表'!B23,C5*(POWER((1+F22),'数据-取费表'!B23)-1)),0)</f>
        <v>252</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0</v>
      </c>
      <c r="D24" s="243"/>
      <c r="E24" s="243"/>
      <c r="F24" s="244"/>
      <c r="G24" s="245" t="s">
        <v>2133</v>
      </c>
    </row>
    <row r="25" spans="1:7" s="219" customFormat="1" ht="24">
      <c r="A25" s="887" t="s">
        <v>2134</v>
      </c>
      <c r="B25" s="220" t="s">
        <v>2135</v>
      </c>
      <c r="C25" s="1236">
        <f ca="1">ROUND(IF('数据-取费表'!B22&lt;=1,C20*F22*'数据-取费表'!B23/2,C20*(POWER((1+F22),'数据-取费表'!B23/2)-1)),0)</f>
        <v>2</v>
      </c>
      <c r="D25" s="243"/>
      <c r="E25" s="246"/>
      <c r="F25" s="244"/>
      <c r="G25" s="247" t="s">
        <v>2136</v>
      </c>
    </row>
    <row r="26" spans="1:7" s="219" customFormat="1">
      <c r="A26" s="887" t="s">
        <v>795</v>
      </c>
      <c r="B26" s="220" t="s">
        <v>2137</v>
      </c>
      <c r="C26" s="243">
        <f ca="1">ROUND(IF('数据-取费表'!B22&lt;=1,F21*F22*'数据-取费表'!B23/2,F21*(POWER((1+F22),'数据-取费表'!B23/2)-1)),4)</f>
        <v>2.9999999999999997E-4</v>
      </c>
      <c r="D26" s="243"/>
      <c r="E26" s="246"/>
      <c r="F26" s="244"/>
      <c r="G26" s="248"/>
    </row>
    <row r="27" spans="1:7" s="219" customFormat="1" ht="24.75">
      <c r="A27" s="260" t="s">
        <v>2138</v>
      </c>
      <c r="B27" s="249" t="s">
        <v>2139</v>
      </c>
      <c r="C27" s="250">
        <f ca="1">C28</f>
        <v>404</v>
      </c>
      <c r="D27" s="240">
        <f ca="1">C29</f>
        <v>1E-3</v>
      </c>
      <c r="E27" s="241" t="s">
        <v>2140</v>
      </c>
      <c r="F27" s="251">
        <f ca="1">IF(B1="",'数据-取费表'!Q16,INDIRECT("'数据-取费表'!q"&amp;$G$1))</f>
        <v>0.1</v>
      </c>
      <c r="G27" s="252" t="s">
        <v>2141</v>
      </c>
    </row>
    <row r="28" spans="1:7" s="219" customFormat="1" ht="13.5" customHeight="1">
      <c r="A28" s="887" t="s">
        <v>791</v>
      </c>
      <c r="B28" s="253" t="s">
        <v>2142</v>
      </c>
      <c r="C28" s="254">
        <f ca="1">ROUND((C5+C19+C20)*F27*'数据-取费表'!B21/'数据-取费表'!B20,0)</f>
        <v>404</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5022</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5706</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5133</v>
      </c>
      <c r="D34" s="222"/>
      <c r="E34" s="225"/>
      <c r="F34" s="262">
        <f ca="1">IF('数据-取费表'!B24=0,1,IF(B1="",'数据-取费表'!N16,INDIRECT("'数据-取费表'!n"&amp;$G$1)))</f>
        <v>1</v>
      </c>
      <c r="G34" s="224" t="s">
        <v>2152</v>
      </c>
    </row>
    <row r="35" spans="1:7" ht="13.5" customHeight="1">
      <c r="A35" s="887" t="s">
        <v>796</v>
      </c>
      <c r="B35" s="220" t="s">
        <v>2153</v>
      </c>
      <c r="C35" s="225">
        <f ca="1">ROUND(C34*F35,0)</f>
        <v>154</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2156</v>
      </c>
    </row>
    <row r="37" spans="1:7" s="263" customFormat="1" ht="13.5" customHeight="1">
      <c r="A37" s="887" t="s">
        <v>798</v>
      </c>
      <c r="B37" s="220" t="s">
        <v>2157</v>
      </c>
      <c r="C37" s="254">
        <f ca="1">ROUND(E37*D37*F34/10000,0)</f>
        <v>342</v>
      </c>
      <c r="D37" s="222">
        <f ca="1">D19</f>
        <v>17109.73</v>
      </c>
      <c r="E37" s="254">
        <f>'数据-取费表'!B35</f>
        <v>200</v>
      </c>
      <c r="F37" s="264"/>
      <c r="G37" s="266" t="s">
        <v>2158</v>
      </c>
    </row>
    <row r="38" spans="1:7" ht="13.5" customHeight="1">
      <c r="A38" s="887" t="s">
        <v>799</v>
      </c>
      <c r="B38" s="220" t="s">
        <v>2159</v>
      </c>
      <c r="C38" s="225">
        <f ca="1">ROUND(C34*F38,0)</f>
        <v>77</v>
      </c>
      <c r="D38" s="225"/>
      <c r="E38" s="225"/>
      <c r="F38" s="264">
        <f>'数据-取费表'!B36</f>
        <v>1.4999999999999999E-2</v>
      </c>
      <c r="G38" s="224" t="s">
        <v>2154</v>
      </c>
    </row>
    <row r="39" spans="1:7" s="219" customFormat="1" ht="13.5" customHeight="1">
      <c r="A39" s="260" t="s">
        <v>2160</v>
      </c>
      <c r="B39" s="215" t="s">
        <v>2161</v>
      </c>
      <c r="C39" s="237">
        <f ca="1">ROUND(C33*F20,0)</f>
        <v>114</v>
      </c>
      <c r="D39" s="237"/>
      <c r="E39" s="237"/>
      <c r="F39" s="2504">
        <f>F20</f>
        <v>0.02</v>
      </c>
      <c r="G39" s="239" t="s">
        <v>2162</v>
      </c>
    </row>
    <row r="40" spans="1:7" s="219" customFormat="1" ht="13.5" customHeight="1">
      <c r="A40" s="260" t="s">
        <v>2163</v>
      </c>
      <c r="B40" s="215" t="s">
        <v>2164</v>
      </c>
      <c r="C40" s="1466">
        <f>F21</f>
        <v>0.01</v>
      </c>
      <c r="D40" s="241" t="s">
        <v>2165</v>
      </c>
      <c r="E40" s="237"/>
      <c r="F40" s="2504">
        <f>F21</f>
        <v>0.01</v>
      </c>
      <c r="G40" s="239" t="s">
        <v>2166</v>
      </c>
    </row>
    <row r="41" spans="1:7" s="219" customFormat="1" ht="13.5" customHeight="1">
      <c r="A41" s="260" t="s">
        <v>2167</v>
      </c>
      <c r="B41" s="215" t="s">
        <v>2168</v>
      </c>
      <c r="C41" s="237">
        <f ca="1">ROUND(SUM(C42:C43),0)</f>
        <v>183</v>
      </c>
      <c r="D41" s="240">
        <f ca="1">C44</f>
        <v>2.9999999999999997E-4</v>
      </c>
      <c r="E41" s="241" t="s">
        <v>2165</v>
      </c>
      <c r="F41" s="2505">
        <f ca="1">F22</f>
        <v>4.2000000000000003E-2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179</v>
      </c>
      <c r="D42" s="243"/>
      <c r="E42" s="243"/>
      <c r="F42" s="244"/>
      <c r="G42" s="3413" t="s">
        <v>2170</v>
      </c>
    </row>
    <row r="43" spans="1:7" ht="13.5" customHeight="1">
      <c r="A43" s="887" t="s">
        <v>792</v>
      </c>
      <c r="B43" s="220" t="s">
        <v>2171</v>
      </c>
      <c r="C43" s="243">
        <f ca="1">ROUND(IF('数据-取费表'!B22&lt;=1,C39*F22*'数据-取费表'!B21/2,C39*(POWER((1+F22),'数据-取费表'!B21/2)-1)),0)</f>
        <v>4</v>
      </c>
      <c r="D43" s="243"/>
      <c r="E43" s="243"/>
      <c r="F43" s="244"/>
      <c r="G43" s="3414"/>
    </row>
    <row r="44" spans="1:7" ht="13.5" customHeight="1">
      <c r="A44" s="887" t="s">
        <v>793</v>
      </c>
      <c r="B44" s="220" t="s">
        <v>2172</v>
      </c>
      <c r="C44" s="243">
        <f ca="1">ROUND(IF('数据-取费表'!B22&lt;=1,C40*F22*'数据-取费表'!B21/2,C40*(POWER((1+F22),'数据-取费表'!B21/2)-1)),4)</f>
        <v>2.9999999999999997E-4</v>
      </c>
      <c r="D44" s="243"/>
      <c r="E44" s="243"/>
      <c r="F44" s="244"/>
      <c r="G44" s="3415"/>
    </row>
    <row r="45" spans="1:7" s="219" customFormat="1" ht="13.5" customHeight="1">
      <c r="A45" s="260" t="s">
        <v>2173</v>
      </c>
      <c r="B45" s="249" t="s">
        <v>2139</v>
      </c>
      <c r="C45" s="250">
        <f ca="1">C46</f>
        <v>582</v>
      </c>
      <c r="D45" s="240">
        <f ca="1">C47</f>
        <v>1E-3</v>
      </c>
      <c r="E45" s="241" t="s">
        <v>2165</v>
      </c>
      <c r="F45" s="2506">
        <f ca="1">F27</f>
        <v>0.1</v>
      </c>
      <c r="G45" s="252" t="s">
        <v>2174</v>
      </c>
    </row>
    <row r="46" spans="1:7" s="219" customFormat="1" ht="13.5" customHeight="1">
      <c r="A46" s="887" t="s">
        <v>791</v>
      </c>
      <c r="B46" s="253" t="s">
        <v>2175</v>
      </c>
      <c r="C46" s="254">
        <f ca="1">ROUND((C33+C39)*F27,0)</f>
        <v>582</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7033</v>
      </c>
      <c r="D49" s="237"/>
      <c r="E49" s="237"/>
      <c r="F49" s="269"/>
      <c r="G49" s="239" t="s">
        <v>2180</v>
      </c>
    </row>
    <row r="50" spans="1:7" s="263" customFormat="1" ht="24">
      <c r="A50" s="260" t="s">
        <v>2181</v>
      </c>
      <c r="B50" s="215" t="s">
        <v>2182</v>
      </c>
      <c r="C50" s="237"/>
      <c r="D50" s="237"/>
      <c r="E50" s="237"/>
      <c r="F50" s="269">
        <f>IF('数据-取费表'!B24=0,'数据-取费表'!N16,1)</f>
        <v>0.87</v>
      </c>
      <c r="G50" s="252" t="s">
        <v>2183</v>
      </c>
    </row>
    <row r="51" spans="1:7" ht="16.5" customHeight="1">
      <c r="A51" s="260" t="s">
        <v>2184</v>
      </c>
      <c r="B51" s="215" t="s">
        <v>2185</v>
      </c>
      <c r="C51" s="237">
        <f ca="1">ROUND(C49*F50,0)</f>
        <v>6119</v>
      </c>
      <c r="D51" s="237"/>
      <c r="E51" s="237"/>
      <c r="F51" s="269"/>
      <c r="G51" s="239" t="s">
        <v>2186</v>
      </c>
    </row>
    <row r="52" spans="1:7" s="213" customFormat="1" ht="16.5" thickBot="1">
      <c r="A52" s="270" t="s">
        <v>2187</v>
      </c>
      <c r="B52" s="271"/>
      <c r="C52" s="272">
        <f ca="1">C31+C51</f>
        <v>11141</v>
      </c>
      <c r="D52" s="271"/>
      <c r="E52" s="271"/>
      <c r="F52" s="271"/>
      <c r="G52" s="273"/>
    </row>
    <row r="55" spans="1:7" ht="15">
      <c r="B55" s="275" t="s">
        <v>2188</v>
      </c>
      <c r="C55" s="276"/>
    </row>
    <row r="56" spans="1:7">
      <c r="B56" s="278" t="s">
        <v>1418</v>
      </c>
      <c r="C56" s="280">
        <f ca="1">1-C57</f>
        <v>0.45099999999999996</v>
      </c>
    </row>
    <row r="57" spans="1:7">
      <c r="B57" s="278" t="s">
        <v>1419</v>
      </c>
      <c r="C57" s="279">
        <f ca="1">ROUND(C51/C52,3)</f>
        <v>0.54900000000000004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24" t="str">
        <f>项目基本情况!B1</f>
        <v>北京市房地产抵押价值预评估</v>
      </c>
      <c r="C37" s="3224"/>
      <c r="D37" s="3224"/>
      <c r="E37" s="3224"/>
      <c r="F37" s="3224"/>
      <c r="G37" s="3224"/>
      <c r="H37" s="3224"/>
      <c r="I37" s="3224"/>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3"/>
      <c r="C1" s="2014" t="s">
        <v>2189</v>
      </c>
      <c r="D1" s="203"/>
      <c r="E1" s="203"/>
      <c r="F1" s="203"/>
      <c r="G1" s="1259">
        <f>MATCH(B1,'数据-取费表'!A6:A16,0)+5</f>
        <v>7</v>
      </c>
      <c r="H1" s="1191" t="str">
        <f>IF(ISERROR(FIND("住宅",B1)),"非住宅","住宅")</f>
        <v>非住宅</v>
      </c>
    </row>
    <row r="2" spans="1:8" s="205" customFormat="1" ht="18" customHeight="1">
      <c r="A2" s="206" t="s">
        <v>2088</v>
      </c>
      <c r="B2" s="207">
        <f ca="1">ROUND(IF(D2="——",C52/10000,C52/10000-E2),0)</f>
        <v>6552</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3829</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0</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0</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2106</v>
      </c>
      <c r="C10" s="230">
        <f ca="1">ROUND(D10*E10,0)</f>
        <v>0</v>
      </c>
      <c r="D10" s="953">
        <f ca="1">IF(B1="",'数据-汇总表'!E6,IF(INDIRECT("'数据-取费表'!c"&amp;$G$1)="住宅",INDIRECT("'数据-取费表'!s"&amp;$G$1),INDIRECT("'数据-取费表'!k"&amp;$G$1)+INDIRECT("'数据-取费表'!s"&amp;$G$1)))</f>
        <v>17109.73</v>
      </c>
      <c r="E10" s="230">
        <f>'数据-取费表'!B28</f>
        <v>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3421946</v>
      </c>
      <c r="D19" s="957">
        <f ca="1">D9+D10</f>
        <v>17109.73</v>
      </c>
      <c r="E19" s="216">
        <f>'数据-取费表'!B31</f>
        <v>200</v>
      </c>
      <c r="F19" s="236"/>
      <c r="G19" s="2011"/>
    </row>
    <row r="20" spans="1:7" s="219" customFormat="1" ht="13.5" customHeight="1">
      <c r="A20" s="260" t="s">
        <v>2200</v>
      </c>
      <c r="B20" s="215" t="s">
        <v>2201</v>
      </c>
      <c r="C20" s="237">
        <f ca="1">ROUND((C5+C19)*F20,0)</f>
        <v>68439</v>
      </c>
      <c r="D20" s="237"/>
      <c r="E20" s="237"/>
      <c r="F20" s="238">
        <f>'数据-取费表'!B37</f>
        <v>0.02</v>
      </c>
      <c r="G20" s="239" t="s">
        <v>2202</v>
      </c>
    </row>
    <row r="21" spans="1:7" s="219" customFormat="1" ht="13.5" customHeight="1">
      <c r="A21" s="260" t="s">
        <v>2203</v>
      </c>
      <c r="B21" s="215" t="s">
        <v>2204</v>
      </c>
      <c r="C21" s="240">
        <f>F21</f>
        <v>0.01</v>
      </c>
      <c r="D21" s="241" t="s">
        <v>2205</v>
      </c>
      <c r="E21" s="237"/>
      <c r="F21" s="238">
        <f>'数据-取费表'!B38</f>
        <v>0.01</v>
      </c>
      <c r="G21" s="239" t="s">
        <v>2206</v>
      </c>
    </row>
    <row r="22" spans="1:7" s="219" customFormat="1" ht="13.5" customHeight="1">
      <c r="A22" s="260" t="s">
        <v>2207</v>
      </c>
      <c r="B22" s="215" t="s">
        <v>2208</v>
      </c>
      <c r="C22" s="1260">
        <f ca="1">ROUND(SUM(C23:C25),0)</f>
        <v>219976</v>
      </c>
      <c r="D22" s="240">
        <f ca="1">C26</f>
        <v>2.9999999999999997E-4</v>
      </c>
      <c r="E22" s="241" t="s">
        <v>2205</v>
      </c>
      <c r="F22" s="242">
        <f ca="1">'数据-取费表'!B40</f>
        <v>4.2000000000000003E-2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0</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217831</v>
      </c>
      <c r="D24" s="243"/>
      <c r="E24" s="243"/>
      <c r="F24" s="244"/>
      <c r="G24" s="245" t="s">
        <v>2212</v>
      </c>
    </row>
    <row r="25" spans="1:7" s="219" customFormat="1" ht="24">
      <c r="A25" s="887" t="s">
        <v>2102</v>
      </c>
      <c r="B25" s="220" t="s">
        <v>2213</v>
      </c>
      <c r="C25" s="1261">
        <f ca="1">ROUND(IF('数据-取费表'!B22&lt;=1,C20*F22*'数据-取费表'!B22/2,C20*(POWER((1+F22),'数据-取费表'!B22/2)-1)),0)</f>
        <v>2145</v>
      </c>
      <c r="D25" s="243"/>
      <c r="E25" s="246"/>
      <c r="F25" s="244"/>
      <c r="G25" s="247" t="s">
        <v>2214</v>
      </c>
    </row>
    <row r="26" spans="1:7" s="219" customFormat="1">
      <c r="A26" s="887" t="s">
        <v>795</v>
      </c>
      <c r="B26" s="220" t="s">
        <v>2137</v>
      </c>
      <c r="C26" s="243">
        <f ca="1">ROUND(IF('数据-取费表'!B22&lt;=1,F21*F22*'数据-取费表'!B22/2,F21*(POWER((1+F22),'数据-取费表'!B22/2)-1)),4)</f>
        <v>2.9999999999999997E-4</v>
      </c>
      <c r="D26" s="243"/>
      <c r="E26" s="246"/>
      <c r="F26" s="244"/>
      <c r="G26" s="248"/>
    </row>
    <row r="27" spans="1:7" s="219" customFormat="1" ht="24.75">
      <c r="A27" s="260" t="s">
        <v>2138</v>
      </c>
      <c r="B27" s="249" t="s">
        <v>2139</v>
      </c>
      <c r="C27" s="250">
        <f ca="1">C28</f>
        <v>349039</v>
      </c>
      <c r="D27" s="240">
        <f ca="1">C29</f>
        <v>1E-3</v>
      </c>
      <c r="E27" s="241" t="s">
        <v>2140</v>
      </c>
      <c r="F27" s="251">
        <f ca="1">IF(B1="",'数据-取费表'!Q16,INDIRECT("'数据-取费表'!q"&amp;$G$1))</f>
        <v>0.1</v>
      </c>
      <c r="G27" s="252" t="s">
        <v>2141</v>
      </c>
    </row>
    <row r="28" spans="1:7" s="219" customFormat="1" ht="13.5" customHeight="1">
      <c r="A28" s="887" t="s">
        <v>791</v>
      </c>
      <c r="B28" s="253" t="s">
        <v>2142</v>
      </c>
      <c r="C28" s="254">
        <f ca="1">ROUND((C5+C19+C20)*F27,0)</f>
        <v>349039</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4335576</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57060950</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51329190</v>
      </c>
      <c r="D34" s="222"/>
      <c r="E34" s="225"/>
      <c r="F34" s="262"/>
      <c r="G34" s="224"/>
    </row>
    <row r="35" spans="1:7" ht="13.5" customHeight="1">
      <c r="A35" s="887" t="s">
        <v>796</v>
      </c>
      <c r="B35" s="220" t="s">
        <v>2153</v>
      </c>
      <c r="C35" s="225">
        <f ca="1">ROUND(C34*F35,0)</f>
        <v>1539876</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v>
      </c>
      <c r="G36" s="265" t="s">
        <v>2156</v>
      </c>
    </row>
    <row r="37" spans="1:7" s="263" customFormat="1" ht="13.5" customHeight="1">
      <c r="A37" s="887" t="s">
        <v>798</v>
      </c>
      <c r="B37" s="220" t="s">
        <v>2157</v>
      </c>
      <c r="C37" s="254">
        <f ca="1">ROUND(E37*D37,0)</f>
        <v>3421946</v>
      </c>
      <c r="D37" s="222">
        <f ca="1">D19</f>
        <v>17109.73</v>
      </c>
      <c r="E37" s="254">
        <f>'数据-取费表'!B35</f>
        <v>200</v>
      </c>
      <c r="F37" s="264"/>
      <c r="G37" s="266"/>
    </row>
    <row r="38" spans="1:7" ht="13.5" customHeight="1">
      <c r="A38" s="887" t="s">
        <v>799</v>
      </c>
      <c r="B38" s="220" t="s">
        <v>2159</v>
      </c>
      <c r="C38" s="225">
        <f ca="1">ROUND(C34*F38,0)</f>
        <v>769938</v>
      </c>
      <c r="D38" s="225"/>
      <c r="E38" s="225"/>
      <c r="F38" s="264">
        <f>'数据-取费表'!B36</f>
        <v>1.4999999999999999E-2</v>
      </c>
      <c r="G38" s="224" t="s">
        <v>2154</v>
      </c>
    </row>
    <row r="39" spans="1:7" s="219" customFormat="1" ht="13.5" customHeight="1">
      <c r="A39" s="260" t="s">
        <v>2160</v>
      </c>
      <c r="B39" s="215" t="s">
        <v>2161</v>
      </c>
      <c r="C39" s="237">
        <f ca="1">ROUND(C33*F20,0)</f>
        <v>1141219</v>
      </c>
      <c r="D39" s="237"/>
      <c r="E39" s="237"/>
      <c r="F39" s="2504">
        <f>F20</f>
        <v>0.02</v>
      </c>
      <c r="G39" s="239" t="s">
        <v>2162</v>
      </c>
    </row>
    <row r="40" spans="1:7" s="219" customFormat="1" ht="13.5" customHeight="1">
      <c r="A40" s="260" t="s">
        <v>2163</v>
      </c>
      <c r="B40" s="215" t="s">
        <v>2164</v>
      </c>
      <c r="C40" s="1466">
        <f>F21</f>
        <v>0.01</v>
      </c>
      <c r="D40" s="241" t="s">
        <v>2165</v>
      </c>
      <c r="E40" s="237"/>
      <c r="F40" s="2504">
        <f>F21</f>
        <v>0.01</v>
      </c>
      <c r="G40" s="239" t="s">
        <v>2166</v>
      </c>
    </row>
    <row r="41" spans="1:7" s="219" customFormat="1" ht="13.5" customHeight="1">
      <c r="A41" s="260" t="s">
        <v>2167</v>
      </c>
      <c r="B41" s="215" t="s">
        <v>2168</v>
      </c>
      <c r="C41" s="237">
        <f ca="1">ROUND(SUM(C42:C43),0)</f>
        <v>1823908</v>
      </c>
      <c r="D41" s="240">
        <f ca="1">C44</f>
        <v>2.9999999999999997E-4</v>
      </c>
      <c r="E41" s="241" t="s">
        <v>2165</v>
      </c>
      <c r="F41" s="2505">
        <f ca="1">F22</f>
        <v>4.2000000000000003E-2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1788145</v>
      </c>
      <c r="D42" s="243"/>
      <c r="E42" s="243"/>
      <c r="F42" s="244"/>
      <c r="G42" s="3413" t="s">
        <v>2217</v>
      </c>
    </row>
    <row r="43" spans="1:7" ht="13.5" customHeight="1">
      <c r="A43" s="887" t="s">
        <v>792</v>
      </c>
      <c r="B43" s="220" t="s">
        <v>2171</v>
      </c>
      <c r="C43" s="243">
        <f ca="1">ROUND(IF('数据-取费表'!B22&lt;=1,C39*F22*'数据-取费表'!B20/2,C39*(POWER((1+F22),'数据-取费表'!B20/2)-1)),0)</f>
        <v>35763</v>
      </c>
      <c r="D43" s="243"/>
      <c r="E43" s="243"/>
      <c r="F43" s="244"/>
      <c r="G43" s="3414"/>
    </row>
    <row r="44" spans="1:7" ht="13.5" customHeight="1">
      <c r="A44" s="887" t="s">
        <v>793</v>
      </c>
      <c r="B44" s="220" t="s">
        <v>2172</v>
      </c>
      <c r="C44" s="243">
        <f ca="1">ROUND(IF('数据-取费表'!B22&lt;=1,C40*F22*'数据-取费表'!B20/2,C40*(POWER((1+F22),'数据-取费表'!B20/2)-1)),4)</f>
        <v>2.9999999999999997E-4</v>
      </c>
      <c r="D44" s="243"/>
      <c r="E44" s="243"/>
      <c r="F44" s="244"/>
      <c r="G44" s="3415"/>
    </row>
    <row r="45" spans="1:7" s="219" customFormat="1" ht="13.5" customHeight="1">
      <c r="A45" s="260" t="s">
        <v>2173</v>
      </c>
      <c r="B45" s="249" t="s">
        <v>2139</v>
      </c>
      <c r="C45" s="250">
        <f ca="1">C46</f>
        <v>5820217</v>
      </c>
      <c r="D45" s="240">
        <f ca="1">C47</f>
        <v>1E-3</v>
      </c>
      <c r="E45" s="241" t="s">
        <v>2165</v>
      </c>
      <c r="F45" s="2506">
        <f ca="1">F27</f>
        <v>0.1</v>
      </c>
      <c r="G45" s="252" t="s">
        <v>2174</v>
      </c>
    </row>
    <row r="46" spans="1:7" s="219" customFormat="1" ht="13.5" customHeight="1">
      <c r="A46" s="887" t="s">
        <v>791</v>
      </c>
      <c r="B46" s="253" t="s">
        <v>2175</v>
      </c>
      <c r="C46" s="254">
        <f ca="1">ROUND((C33+C39)*F27,0)</f>
        <v>5820217</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5">
        <f>F30</f>
        <v>5.5000000000000007E-2</v>
      </c>
      <c r="G48" s="239" t="s">
        <v>2178</v>
      </c>
    </row>
    <row r="49" spans="1:7" ht="16.5" customHeight="1">
      <c r="A49" s="260" t="s">
        <v>2144</v>
      </c>
      <c r="B49" s="215" t="s">
        <v>2218</v>
      </c>
      <c r="C49" s="237">
        <f ca="1">ROUND((C33+C39+C41+C45)/(1-C40-D41-D45-C48),0)</f>
        <v>70326064</v>
      </c>
      <c r="D49" s="237"/>
      <c r="E49" s="237"/>
      <c r="F49" s="269"/>
      <c r="G49" s="239" t="s">
        <v>2180</v>
      </c>
    </row>
    <row r="50" spans="1:7" s="263" customFormat="1">
      <c r="A50" s="260" t="s">
        <v>2181</v>
      </c>
      <c r="B50" s="215" t="s">
        <v>2182</v>
      </c>
      <c r="C50" s="237"/>
      <c r="D50" s="237"/>
      <c r="E50" s="237"/>
      <c r="F50" s="269">
        <f>IF('数据-取费表'!B24=0,'数据-取费表'!N16,1)</f>
        <v>0.87</v>
      </c>
      <c r="G50" s="252"/>
    </row>
    <row r="51" spans="1:7" ht="16.5" customHeight="1">
      <c r="A51" s="260" t="s">
        <v>2184</v>
      </c>
      <c r="B51" s="215" t="s">
        <v>2219</v>
      </c>
      <c r="C51" s="237">
        <f ca="1">ROUND(C49*F50,0)</f>
        <v>61183676</v>
      </c>
      <c r="D51" s="237"/>
      <c r="E51" s="237"/>
      <c r="F51" s="269"/>
      <c r="G51" s="239" t="s">
        <v>2186</v>
      </c>
    </row>
    <row r="52" spans="1:7" s="213" customFormat="1" ht="16.5" thickBot="1">
      <c r="A52" s="270" t="s">
        <v>2187</v>
      </c>
      <c r="B52" s="271"/>
      <c r="C52" s="272">
        <f ca="1">C31+C51</f>
        <v>65519252</v>
      </c>
      <c r="D52" s="271"/>
      <c r="E52" s="271"/>
      <c r="F52" s="271"/>
      <c r="G52" s="273"/>
    </row>
    <row r="55" spans="1:7" ht="15">
      <c r="B55" s="275" t="s">
        <v>2188</v>
      </c>
      <c r="C55" s="276"/>
    </row>
    <row r="56" spans="1:7">
      <c r="B56" s="278" t="s">
        <v>1418</v>
      </c>
      <c r="C56" s="280">
        <f ca="1">1-C57</f>
        <v>6.5999999999999948E-2</v>
      </c>
    </row>
    <row r="57" spans="1:7">
      <c r="B57" s="278" t="s">
        <v>1419</v>
      </c>
      <c r="C57" s="279">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4"/>
      <c r="C1" s="1325"/>
      <c r="D1" s="1323"/>
      <c r="E1" s="3004"/>
      <c r="F1" s="3004"/>
      <c r="G1" s="2867"/>
      <c r="H1" s="3004"/>
      <c r="I1" s="3004"/>
      <c r="J1" s="3004"/>
      <c r="K1" s="3005">
        <f>MATCH(C1,'数据-取费表'!A6:A16,0)+5</f>
        <v>7</v>
      </c>
    </row>
    <row r="2" spans="1:33" ht="18" customHeight="1">
      <c r="A2" s="206" t="s">
        <v>2088</v>
      </c>
      <c r="B2" s="209">
        <f ca="1">C32</f>
        <v>0</v>
      </c>
      <c r="C2" s="281" t="s">
        <v>2221</v>
      </c>
      <c r="D2" s="281"/>
      <c r="E2" s="3004"/>
      <c r="F2" s="3004"/>
      <c r="G2" s="3004"/>
      <c r="H2" s="3004"/>
      <c r="I2" s="3004"/>
      <c r="J2" s="3004"/>
      <c r="K2" s="3004"/>
    </row>
    <row r="3" spans="1:33" ht="18" customHeight="1" thickBot="1">
      <c r="A3" s="208" t="s">
        <v>2090</v>
      </c>
      <c r="B3" s="209">
        <f ca="1">ROUND(B2*10000/IF(C1="",'数据-汇总表'!E3,INDIRECT("'数据-取费表'!K"&amp;$K$1)),0)</f>
        <v>0</v>
      </c>
      <c r="C3" s="281" t="s">
        <v>2222</v>
      </c>
      <c r="D3" s="281"/>
      <c r="E3" s="3004"/>
      <c r="F3" s="3004"/>
      <c r="G3" s="3004"/>
      <c r="H3" s="3004"/>
      <c r="I3" s="3004"/>
      <c r="J3" s="3004"/>
      <c r="K3" s="3004"/>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3">
        <f ca="1">ROUND(C11*F12,0)</f>
        <v>0</v>
      </c>
      <c r="D12" s="909"/>
      <c r="E12" s="334"/>
      <c r="F12" s="912">
        <f>'数据-取费表'!B33</f>
        <v>0.03</v>
      </c>
      <c r="G12" s="8" t="s">
        <v>2243</v>
      </c>
      <c r="H12" s="904"/>
      <c r="I12" s="904"/>
      <c r="J12" s="904"/>
      <c r="K12" s="905"/>
    </row>
    <row r="13" spans="1:33" s="911" customFormat="1" ht="13.5" customHeight="1">
      <c r="A13" s="907" t="s">
        <v>1243</v>
      </c>
      <c r="B13" s="908" t="s">
        <v>2244</v>
      </c>
      <c r="C13" s="23">
        <f ca="1">ROUND(IF(C1="",SUMIF('数据-取费表'!C:C,"住宅",'数据-取费表'!P:P)*F13,IF(INDIRECT("'数据-取费表'!c"&amp;$K$1)="住宅",INDIRECT("'数据-取费表'!P"&amp;$K$1)*F13,0)),0)</f>
        <v>0</v>
      </c>
      <c r="D13" s="954"/>
      <c r="E13" s="334"/>
      <c r="F13" s="912">
        <f>'数据-取费表'!B34</f>
        <v>0</v>
      </c>
      <c r="G13" s="8" t="s">
        <v>2245</v>
      </c>
      <c r="H13" s="904"/>
      <c r="I13" s="904"/>
      <c r="J13" s="904"/>
      <c r="K13" s="905"/>
    </row>
    <row r="14" spans="1:33" s="913" customFormat="1" ht="13.5" customHeight="1">
      <c r="A14" s="907" t="s">
        <v>1244</v>
      </c>
      <c r="B14" s="908" t="s">
        <v>2246</v>
      </c>
      <c r="C14" s="23">
        <f ca="1">ROUND(D14*E14*F11/10000,0)</f>
        <v>0</v>
      </c>
      <c r="D14" s="954">
        <f ca="1">IF(C1="",'数据-汇总表'!E3,INDIRECT("'数据-取费表'!K"&amp;$K$1)+INDIRECT("'数据-取费表'!S"&amp;$K$1))</f>
        <v>17109.73</v>
      </c>
      <c r="E14" s="23">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5"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5"/>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3">
        <f ca="1">ROUND(D17*E17/10000,0)</f>
        <v>0</v>
      </c>
      <c r="D17" s="954">
        <f ca="1">D14</f>
        <v>17109.73</v>
      </c>
      <c r="E17" s="23">
        <f>'数据-取费表'!B32</f>
        <v>0</v>
      </c>
      <c r="F17" s="914"/>
      <c r="G17" s="135"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3">
        <f ca="1">C19+C20-IF(C1="",'数据-取费表'!B29,IF(G18="已全部缴纳",C19+C20,H18))</f>
        <v>0</v>
      </c>
      <c r="D18" s="954"/>
      <c r="E18" s="23"/>
      <c r="F18" s="912"/>
      <c r="G18" s="2017"/>
      <c r="H18" s="1320"/>
      <c r="I18" s="2018" t="s">
        <v>2254</v>
      </c>
      <c r="J18" s="915"/>
      <c r="K18" s="916"/>
    </row>
    <row r="19" spans="1:33" s="911" customFormat="1" ht="13.5" customHeight="1">
      <c r="A19" s="907" t="s">
        <v>805</v>
      </c>
      <c r="B19" s="908" t="s">
        <v>2255</v>
      </c>
      <c r="C19" s="23">
        <f ca="1">ROUND(D19*E19/10000,0)</f>
        <v>0</v>
      </c>
      <c r="D19" s="954">
        <f ca="1">IF(C1="",'数据-汇总表'!E5,IF(INDIRECT("'数据-取费表'!c"&amp;$K$1)="住宅",INDIRECT("'数据-取费表'!k"&amp;$K$1),0))</f>
        <v>0</v>
      </c>
      <c r="E19" s="23">
        <f>'数据-取费表'!B27</f>
        <v>0</v>
      </c>
      <c r="F19" s="912"/>
      <c r="G19" s="14"/>
      <c r="H19" s="1322"/>
      <c r="I19" s="917"/>
      <c r="J19" s="917"/>
      <c r="K19" s="918"/>
    </row>
    <row r="20" spans="1:33" s="911" customFormat="1" ht="13.5" customHeight="1">
      <c r="A20" s="907" t="s">
        <v>806</v>
      </c>
      <c r="B20" s="908" t="s">
        <v>2256</v>
      </c>
      <c r="C20" s="23">
        <f ca="1">ROUND(D20*E20/10000,0)</f>
        <v>0</v>
      </c>
      <c r="D20" s="954">
        <f ca="1">IF(C1="",'数据-汇总表'!E6,IF(INDIRECT("'数据-取费表'!c"&amp;$K$1)="住宅",INDIRECT("'数据-取费表'!s"&amp;$K$1),INDIRECT("'数据-取费表'!k"&amp;$K$1)+INDIRECT("'数据-取费表'!s"&amp;$K$1)))</f>
        <v>17109.73</v>
      </c>
      <c r="E20" s="23">
        <f>'数据-取费表'!B28</f>
        <v>0</v>
      </c>
      <c r="F20" s="912"/>
      <c r="G20" s="14"/>
      <c r="H20" s="917"/>
      <c r="I20" s="917"/>
      <c r="J20" s="917"/>
      <c r="K20" s="918"/>
    </row>
    <row r="21" spans="1:33" s="911" customFormat="1" ht="13.5" customHeight="1">
      <c r="A21" s="897" t="s">
        <v>802</v>
      </c>
      <c r="B21" s="921" t="s">
        <v>2257</v>
      </c>
      <c r="C21" s="922">
        <f ca="1">C16+C17+C18</f>
        <v>0</v>
      </c>
      <c r="D21" s="923"/>
      <c r="E21" s="286"/>
      <c r="F21" s="286"/>
      <c r="G21" s="135" t="s">
        <v>2258</v>
      </c>
      <c r="H21" s="915"/>
      <c r="I21" s="915"/>
      <c r="J21" s="915"/>
      <c r="K21" s="916"/>
    </row>
    <row r="22" spans="1:33" s="911" customFormat="1" ht="13.5" customHeight="1">
      <c r="A22" s="897" t="s">
        <v>2230</v>
      </c>
      <c r="B22" s="921" t="s">
        <v>2259</v>
      </c>
      <c r="C22" s="922">
        <f ca="1">ROUND(C21*F22,0)</f>
        <v>0</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0.01</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5" t="s">
        <v>2273</v>
      </c>
      <c r="H29" s="915"/>
      <c r="I29" s="915"/>
      <c r="J29" s="915"/>
      <c r="K29" s="916"/>
    </row>
    <row r="30" spans="1:33" s="296" customFormat="1" ht="13.5" customHeight="1">
      <c r="A30" s="907" t="s">
        <v>804</v>
      </c>
      <c r="B30" s="930" t="s">
        <v>2274</v>
      </c>
      <c r="C30" s="297">
        <f ca="1">ROUND((C21+C22+C23)*F28,0)</f>
        <v>0</v>
      </c>
      <c r="D30" s="289"/>
      <c r="E30" s="290"/>
      <c r="F30" s="295"/>
      <c r="G30" s="135"/>
      <c r="H30" s="915"/>
      <c r="I30" s="915"/>
      <c r="J30" s="915"/>
      <c r="K30" s="916"/>
    </row>
    <row r="31" spans="1:33" s="911" customFormat="1" ht="13.5" customHeight="1" thickBot="1">
      <c r="A31" s="2021"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80" zoomScaleNormal="60" zoomScaleSheetLayoutView="80" workbookViewId="0">
      <selection activeCell="N40" sqref="N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f>F61</f>
        <v>3848</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2090</v>
      </c>
      <c r="B3" s="565">
        <f>ROUND(IF(D3="",B2*10000/'数据-汇总表'!E3,B2*10000/D3),0)</f>
        <v>2249</v>
      </c>
      <c r="C3" s="208" t="s">
        <v>2507</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2406</v>
      </c>
      <c r="B4" s="361"/>
      <c r="C4" s="3429" t="s">
        <v>2407</v>
      </c>
      <c r="D4" s="3430"/>
      <c r="E4" s="3431" t="s">
        <v>2408</v>
      </c>
      <c r="F4" s="3432"/>
      <c r="G4" s="3429" t="s">
        <v>2409</v>
      </c>
      <c r="H4" s="3430"/>
      <c r="I4" s="3429" t="s">
        <v>2410</v>
      </c>
      <c r="J4" s="3430"/>
      <c r="K4" s="566" t="s">
        <v>2411</v>
      </c>
      <c r="L4" s="2911"/>
      <c r="M4" s="2912"/>
      <c r="N4" s="2912"/>
      <c r="O4" s="2912"/>
      <c r="P4" s="3433" t="s">
        <v>2412</v>
      </c>
      <c r="Q4" s="3434"/>
      <c r="R4" s="3446" t="s">
        <v>2408</v>
      </c>
      <c r="S4" s="3447"/>
      <c r="T4" s="3446" t="s">
        <v>2409</v>
      </c>
      <c r="U4" s="3447"/>
      <c r="V4" s="3421" t="s">
        <v>2410</v>
      </c>
      <c r="W4" s="3421"/>
      <c r="X4" s="1508"/>
      <c r="Y4" s="3446" t="s">
        <v>2412</v>
      </c>
      <c r="Z4" s="3447"/>
      <c r="AA4" s="3426" t="s">
        <v>2408</v>
      </c>
      <c r="AB4" s="3427" t="s">
        <v>2409</v>
      </c>
      <c r="AC4" s="3426" t="s">
        <v>2410</v>
      </c>
    </row>
    <row r="5" spans="1:29" ht="39.75" customHeight="1">
      <c r="A5" s="363"/>
      <c r="B5" s="364"/>
      <c r="C5" s="3450" t="s">
        <v>2303</v>
      </c>
      <c r="D5" s="3451"/>
      <c r="E5" s="3439" t="str">
        <f>土地案例!A3</f>
        <v xml:space="preserve">顺义区赵全营镇SY04-0100-6006-1-2地块    </v>
      </c>
      <c r="F5" s="3440"/>
      <c r="G5" s="3450" t="str">
        <f>土地案例!A5</f>
        <v xml:space="preserve">顺义区赵全营板桥SY04-0100-6006-2地块M4工业研发用地    </v>
      </c>
      <c r="H5" s="3451"/>
      <c r="I5" s="3450" t="str">
        <f>土地案例!A6</f>
        <v xml:space="preserve">顺义区赵全营镇SY04-0100-6006-3地块M4工业研发项目    </v>
      </c>
      <c r="J5" s="3451"/>
      <c r="K5" s="566"/>
      <c r="L5" s="2911"/>
      <c r="M5" s="2912"/>
      <c r="N5" s="2912"/>
      <c r="O5" s="2912"/>
      <c r="P5" s="3435"/>
      <c r="Q5" s="3436"/>
      <c r="R5" s="3448"/>
      <c r="S5" s="3449"/>
      <c r="T5" s="3448"/>
      <c r="U5" s="3449"/>
      <c r="V5" s="3421"/>
      <c r="W5" s="3421"/>
      <c r="X5" s="1508"/>
      <c r="Y5" s="3448"/>
      <c r="Z5" s="3449"/>
      <c r="AA5" s="3427"/>
      <c r="AB5" s="3427"/>
      <c r="AC5" s="3427"/>
    </row>
    <row r="6" spans="1:29" ht="15.75" thickBot="1">
      <c r="A6" s="365"/>
      <c r="B6" s="366"/>
      <c r="C6" s="3452" t="s">
        <v>2558</v>
      </c>
      <c r="D6" s="3453"/>
      <c r="E6" s="3455" t="s">
        <v>2558</v>
      </c>
      <c r="F6" s="3456"/>
      <c r="G6" s="3452" t="s">
        <v>2558</v>
      </c>
      <c r="H6" s="3453"/>
      <c r="I6" s="3452" t="s">
        <v>2558</v>
      </c>
      <c r="J6" s="3453"/>
      <c r="K6" s="566" t="s">
        <v>2308</v>
      </c>
      <c r="L6" s="2911"/>
      <c r="M6" s="2912"/>
      <c r="N6" s="2912"/>
      <c r="O6" s="2912"/>
      <c r="P6" s="3437"/>
      <c r="Q6" s="3438"/>
      <c r="R6" s="3448"/>
      <c r="S6" s="3449"/>
      <c r="T6" s="3457"/>
      <c r="U6" s="3458"/>
      <c r="V6" s="3421"/>
      <c r="W6" s="3421"/>
      <c r="X6" s="1508"/>
      <c r="Y6" s="3457"/>
      <c r="Z6" s="3458"/>
      <c r="AA6" s="3428"/>
      <c r="AB6" s="3428"/>
      <c r="AC6" s="3428"/>
    </row>
    <row r="7" spans="1:29" s="112" customFormat="1" ht="15.75" thickBot="1">
      <c r="A7" s="367" t="s">
        <v>2309</v>
      </c>
      <c r="B7" s="368"/>
      <c r="C7" s="369">
        <f>'数据-取费表'!B2</f>
        <v>44582</v>
      </c>
      <c r="D7" s="370">
        <v>100</v>
      </c>
      <c r="E7" s="371">
        <f>土地案例!L3</f>
        <v>44446.000497685185</v>
      </c>
      <c r="F7" s="372">
        <f>SUMIF(65:65,YEAR(E7)&amp;"-"&amp;INT((MONTH(E7)+2)/3),66:66)</f>
        <v>99</v>
      </c>
      <c r="G7" s="2129">
        <f>土地案例!L5</f>
        <v>43873.000497685185</v>
      </c>
      <c r="H7" s="370">
        <f>SUMIF(65:65,YEAR(G7)&amp;"-"&amp;INT((MONTH(G7)+2)/3),66:66)</f>
        <v>96</v>
      </c>
      <c r="I7" s="2129">
        <f>土地案例!L6</f>
        <v>43662.000497685185</v>
      </c>
      <c r="J7" s="370">
        <f>SUMIF(65:65,YEAR(I7)&amp;"-"&amp;INT((MONTH(I7)+2)/3),66:66)</f>
        <v>95</v>
      </c>
      <c r="K7" s="567"/>
      <c r="L7" s="2913"/>
      <c r="M7" s="2914"/>
      <c r="N7" s="2914"/>
      <c r="O7" s="2914"/>
      <c r="P7" s="3441" t="s">
        <v>2310</v>
      </c>
      <c r="Q7" s="3454"/>
      <c r="R7" s="709" t="s">
        <v>17</v>
      </c>
      <c r="S7" s="710">
        <f t="shared" ref="S7:S15" si="0">F7</f>
        <v>99</v>
      </c>
      <c r="T7" s="709" t="s">
        <v>17</v>
      </c>
      <c r="U7" s="710">
        <f t="shared" ref="U7:U15" si="1">H7</f>
        <v>96</v>
      </c>
      <c r="V7" s="709" t="s">
        <v>17</v>
      </c>
      <c r="W7" s="710">
        <f t="shared" ref="W7:W15" si="2">J7</f>
        <v>95</v>
      </c>
      <c r="X7" s="711"/>
      <c r="Y7" s="3441" t="s">
        <v>2310</v>
      </c>
      <c r="Z7" s="3442"/>
      <c r="AA7" s="712">
        <f>D7/F7</f>
        <v>1.0101010101010102</v>
      </c>
      <c r="AB7" s="712">
        <f>D7/H7</f>
        <v>1.0416666666666667</v>
      </c>
      <c r="AC7" s="712">
        <f>D7/J7</f>
        <v>1.0526315789473684</v>
      </c>
    </row>
    <row r="8" spans="1:29" s="112" customFormat="1" ht="15.75" thickBot="1">
      <c r="A8" s="367" t="s">
        <v>2311</v>
      </c>
      <c r="B8" s="368"/>
      <c r="C8" s="373" t="s">
        <v>2312</v>
      </c>
      <c r="D8" s="370">
        <v>100</v>
      </c>
      <c r="E8" s="373" t="s">
        <v>3200</v>
      </c>
      <c r="F8" s="372">
        <f>SUMIF(68:68,E8,69:69)-SUMIF(68:68,C8,69:69)+100</f>
        <v>100</v>
      </c>
      <c r="G8" s="373" t="s">
        <v>3200</v>
      </c>
      <c r="H8" s="370">
        <f>SUMIF(68:68,G8,69:69)-SUMIF(68:68,C8,69:69)+100</f>
        <v>100</v>
      </c>
      <c r="I8" s="373" t="s">
        <v>3200</v>
      </c>
      <c r="J8" s="370">
        <f>SUMIF(68:68,I8,69:69)-SUMIF(68:68,C8,69:69)+100</f>
        <v>100</v>
      </c>
      <c r="K8" s="567"/>
      <c r="L8" s="2913"/>
      <c r="M8" s="2914"/>
      <c r="N8" s="2914"/>
      <c r="O8" s="2914"/>
      <c r="P8" s="3441" t="s">
        <v>2313</v>
      </c>
      <c r="Q8" s="3442"/>
      <c r="R8" s="709" t="s">
        <v>17</v>
      </c>
      <c r="S8" s="710">
        <f t="shared" si="0"/>
        <v>100</v>
      </c>
      <c r="T8" s="709" t="s">
        <v>17</v>
      </c>
      <c r="U8" s="710">
        <f t="shared" si="1"/>
        <v>100</v>
      </c>
      <c r="V8" s="709" t="s">
        <v>17</v>
      </c>
      <c r="W8" s="710">
        <f t="shared" si="2"/>
        <v>100</v>
      </c>
      <c r="X8" s="711"/>
      <c r="Y8" s="3441" t="s">
        <v>2313</v>
      </c>
      <c r="Z8" s="3442"/>
      <c r="AA8" s="712">
        <f t="shared" ref="AA8:AA40" si="3">D8/F8</f>
        <v>1</v>
      </c>
      <c r="AB8" s="712">
        <f t="shared" ref="AB8:AB40" si="4">D8/H8</f>
        <v>1</v>
      </c>
      <c r="AC8" s="712">
        <f t="shared" ref="AC8:AC40" si="5">D8/J8</f>
        <v>1</v>
      </c>
    </row>
    <row r="9" spans="1:29" s="112" customFormat="1">
      <c r="A9" s="374" t="s">
        <v>2314</v>
      </c>
      <c r="B9" s="66" t="s">
        <v>2315</v>
      </c>
      <c r="C9" s="2132" t="s">
        <v>6</v>
      </c>
      <c r="D9" s="130">
        <v>100</v>
      </c>
      <c r="E9" s="2132" t="s">
        <v>6</v>
      </c>
      <c r="F9" s="130">
        <f>SUMIF(70:70,E9,71:71)-SUMIF(70:70,C9,71:71)+100</f>
        <v>100</v>
      </c>
      <c r="G9" s="2132" t="s">
        <v>6</v>
      </c>
      <c r="H9" s="130">
        <f>SUMIF(70:70,G9,71:71)-SUMIF(70:70,C9,71:71)+100</f>
        <v>100</v>
      </c>
      <c r="I9" s="2132" t="s">
        <v>6</v>
      </c>
      <c r="J9" s="130">
        <f>SUMIF(70:70,I9,71:71)-SUMIF(70:70,C9,71:71)+100</f>
        <v>100</v>
      </c>
      <c r="K9" s="567"/>
      <c r="L9" s="2913"/>
      <c r="M9" s="2914"/>
      <c r="N9" s="2914"/>
      <c r="O9" s="2968"/>
      <c r="P9" s="3419" t="s">
        <v>2316</v>
      </c>
      <c r="Q9" s="1496" t="str">
        <f t="shared" ref="Q9:Q15" si="6">B9</f>
        <v>用途</v>
      </c>
      <c r="R9" s="709" t="s">
        <v>17</v>
      </c>
      <c r="S9" s="710">
        <f t="shared" si="0"/>
        <v>100</v>
      </c>
      <c r="T9" s="709" t="s">
        <v>17</v>
      </c>
      <c r="U9" s="710">
        <f t="shared" si="1"/>
        <v>100</v>
      </c>
      <c r="V9" s="709" t="s">
        <v>17</v>
      </c>
      <c r="W9" s="710">
        <f t="shared" si="2"/>
        <v>100</v>
      </c>
      <c r="X9" s="711"/>
      <c r="Y9" s="3389" t="s">
        <v>2317</v>
      </c>
      <c r="Z9" s="54" t="str">
        <f t="shared" ref="Z9:Z15" si="7">Q9</f>
        <v>用途</v>
      </c>
      <c r="AA9" s="712">
        <f t="shared" si="3"/>
        <v>1</v>
      </c>
      <c r="AB9" s="712">
        <f t="shared" si="4"/>
        <v>1</v>
      </c>
      <c r="AC9" s="712">
        <f t="shared" si="5"/>
        <v>1</v>
      </c>
    </row>
    <row r="10" spans="1:29" s="385" customFormat="1" ht="27">
      <c r="A10" s="379"/>
      <c r="B10" s="380" t="s">
        <v>2318</v>
      </c>
      <c r="C10" s="390"/>
      <c r="D10" s="131">
        <v>100</v>
      </c>
      <c r="E10" s="390"/>
      <c r="F10" s="131">
        <f>ROUND(100/'数据-取费表'!G16,0)</f>
        <v>107</v>
      </c>
      <c r="G10" s="390"/>
      <c r="H10" s="131">
        <f>ROUND(100/'数据-取费表'!G16,0)</f>
        <v>107</v>
      </c>
      <c r="I10" s="390"/>
      <c r="J10" s="131">
        <f>ROUND(100/'数据-取费表'!G16,0)</f>
        <v>107</v>
      </c>
      <c r="K10" s="627"/>
      <c r="L10" s="2915"/>
      <c r="M10" s="2916"/>
      <c r="N10" s="2916"/>
      <c r="O10" s="2969"/>
      <c r="P10" s="3419"/>
      <c r="Q10" s="1496" t="str">
        <f t="shared" si="6"/>
        <v>土地使用年限（年）</v>
      </c>
      <c r="R10" s="709" t="s">
        <v>17</v>
      </c>
      <c r="S10" s="710">
        <f t="shared" si="0"/>
        <v>107</v>
      </c>
      <c r="T10" s="709" t="s">
        <v>17</v>
      </c>
      <c r="U10" s="710">
        <f t="shared" si="1"/>
        <v>107</v>
      </c>
      <c r="V10" s="709" t="s">
        <v>17</v>
      </c>
      <c r="W10" s="710">
        <f t="shared" si="2"/>
        <v>107</v>
      </c>
      <c r="X10" s="711"/>
      <c r="Y10" s="3389"/>
      <c r="Z10" s="54" t="str">
        <f t="shared" si="7"/>
        <v>土地使用年限（年）</v>
      </c>
      <c r="AA10" s="712">
        <f t="shared" si="3"/>
        <v>0.93457943925233644</v>
      </c>
      <c r="AB10" s="712">
        <f t="shared" si="4"/>
        <v>0.93457943925233644</v>
      </c>
      <c r="AC10" s="712">
        <f t="shared" si="5"/>
        <v>0.93457943925233644</v>
      </c>
    </row>
    <row r="11" spans="1:29" ht="15">
      <c r="A11" s="386"/>
      <c r="B11" s="380" t="s">
        <v>2319</v>
      </c>
      <c r="C11" s="3218">
        <v>1.5</v>
      </c>
      <c r="D11" s="131">
        <v>100</v>
      </c>
      <c r="E11" s="387">
        <v>1.8</v>
      </c>
      <c r="F11" s="131">
        <f>LOOKUP(E11,75:75,76:76)-LOOKUP(C11,75:75,76:76)+100</f>
        <v>100</v>
      </c>
      <c r="G11" s="388">
        <v>1.8</v>
      </c>
      <c r="H11" s="131">
        <f>LOOKUP(G11,75:75,76:76)-LOOKUP(C11,75:75,76:76)+100</f>
        <v>100</v>
      </c>
      <c r="I11" s="387">
        <v>1.8</v>
      </c>
      <c r="J11" s="131">
        <f>LOOKUP(I11,75:75,76:76)-LOOKUP(C11,75:75,76:76)+100</f>
        <v>100</v>
      </c>
      <c r="K11" s="628"/>
      <c r="L11" s="2917"/>
      <c r="M11" s="2912"/>
      <c r="N11" s="2912"/>
      <c r="O11" s="2970"/>
      <c r="P11" s="3419"/>
      <c r="Q11" s="1496" t="str">
        <f t="shared" si="6"/>
        <v>容积率</v>
      </c>
      <c r="R11" s="709" t="s">
        <v>17</v>
      </c>
      <c r="S11" s="710">
        <f t="shared" si="0"/>
        <v>100</v>
      </c>
      <c r="T11" s="709" t="s">
        <v>17</v>
      </c>
      <c r="U11" s="710">
        <f t="shared" si="1"/>
        <v>100</v>
      </c>
      <c r="V11" s="709" t="s">
        <v>17</v>
      </c>
      <c r="W11" s="710">
        <f t="shared" si="2"/>
        <v>100</v>
      </c>
      <c r="X11" s="711"/>
      <c r="Y11" s="3389"/>
      <c r="Z11" s="54" t="str">
        <f t="shared" si="7"/>
        <v>容积率</v>
      </c>
      <c r="AA11" s="712">
        <f t="shared" si="3"/>
        <v>1</v>
      </c>
      <c r="AB11" s="712">
        <f t="shared" si="4"/>
        <v>1</v>
      </c>
      <c r="AC11" s="712">
        <f t="shared" si="5"/>
        <v>1</v>
      </c>
    </row>
    <row r="12" spans="1:29" s="112" customFormat="1" ht="15">
      <c r="A12" s="389"/>
      <c r="B12" s="2048">
        <v>111</v>
      </c>
      <c r="C12" s="390"/>
      <c r="D12" s="391">
        <v>100</v>
      </c>
      <c r="E12" s="505"/>
      <c r="F12" s="131">
        <f>SUMIF(77:77,E12,78:78)-SUMIF(77:77,C12,78:78)+100</f>
        <v>100</v>
      </c>
      <c r="G12" s="629"/>
      <c r="H12" s="131">
        <f>SUMIF(77:77,G12,78:78)-SUMIF(77:77,C12,78:78)+100</f>
        <v>100</v>
      </c>
      <c r="I12" s="505"/>
      <c r="J12" s="131">
        <f>SUMIF(77:77,I12,78:78)-SUMIF(77:77,C12,78:78)+100</f>
        <v>100</v>
      </c>
      <c r="K12" s="627"/>
      <c r="L12" s="2913"/>
      <c r="M12" s="2914"/>
      <c r="N12" s="2914"/>
      <c r="O12" s="2968"/>
      <c r="P12" s="3419"/>
      <c r="Q12" s="1496">
        <f t="shared" si="6"/>
        <v>111</v>
      </c>
      <c r="R12" s="709" t="s">
        <v>17</v>
      </c>
      <c r="S12" s="710">
        <f t="shared" si="0"/>
        <v>100</v>
      </c>
      <c r="T12" s="709" t="s">
        <v>17</v>
      </c>
      <c r="U12" s="710">
        <f t="shared" si="1"/>
        <v>100</v>
      </c>
      <c r="V12" s="709" t="s">
        <v>17</v>
      </c>
      <c r="W12" s="710">
        <f t="shared" si="2"/>
        <v>100</v>
      </c>
      <c r="X12" s="711"/>
      <c r="Y12" s="3389"/>
      <c r="Z12" s="54">
        <f t="shared" si="7"/>
        <v>111</v>
      </c>
      <c r="AA12" s="712">
        <f>D12/F12</f>
        <v>1</v>
      </c>
      <c r="AB12" s="712">
        <f>D12/H12</f>
        <v>1</v>
      </c>
      <c r="AC12" s="712">
        <f>D12/J12</f>
        <v>1</v>
      </c>
    </row>
    <row r="13" spans="1:29" ht="15">
      <c r="A13" s="386"/>
      <c r="B13" s="2048">
        <v>111</v>
      </c>
      <c r="C13" s="392"/>
      <c r="D13" s="393">
        <v>100</v>
      </c>
      <c r="E13" s="505"/>
      <c r="F13" s="131">
        <f>SUMIF(79:79,E13,80:80)-SUMIF(79:79,C13,80:80)+100</f>
        <v>100</v>
      </c>
      <c r="G13" s="629"/>
      <c r="H13" s="393">
        <f>SUMIF(79:79,G13,80:80)-SUMIF(79:79,C13,80:80)+100</f>
        <v>100</v>
      </c>
      <c r="I13" s="505"/>
      <c r="J13" s="393">
        <f>SUMIF(79:79,I13,80:80)-SUMIF(79:79,C13,80:80)+100</f>
        <v>100</v>
      </c>
      <c r="K13" s="627"/>
      <c r="L13" s="2918"/>
      <c r="M13" s="2912"/>
      <c r="N13" s="2912"/>
      <c r="O13" s="2970"/>
      <c r="P13" s="3419"/>
      <c r="Q13" s="1496">
        <f t="shared" si="6"/>
        <v>111</v>
      </c>
      <c r="R13" s="709" t="s">
        <v>17</v>
      </c>
      <c r="S13" s="710">
        <f t="shared" si="0"/>
        <v>100</v>
      </c>
      <c r="T13" s="709" t="s">
        <v>17</v>
      </c>
      <c r="U13" s="710">
        <f t="shared" si="1"/>
        <v>100</v>
      </c>
      <c r="V13" s="709" t="s">
        <v>17</v>
      </c>
      <c r="W13" s="710">
        <f t="shared" si="2"/>
        <v>100</v>
      </c>
      <c r="X13" s="711"/>
      <c r="Y13" s="3389"/>
      <c r="Z13" s="54">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419"/>
      <c r="Q14" s="1496">
        <f t="shared" si="6"/>
        <v>111</v>
      </c>
      <c r="R14" s="709" t="s">
        <v>17</v>
      </c>
      <c r="S14" s="710">
        <f t="shared" si="0"/>
        <v>100</v>
      </c>
      <c r="T14" s="709" t="s">
        <v>17</v>
      </c>
      <c r="U14" s="710">
        <f t="shared" si="1"/>
        <v>100</v>
      </c>
      <c r="V14" s="709" t="s">
        <v>17</v>
      </c>
      <c r="W14" s="710">
        <f t="shared" si="2"/>
        <v>100</v>
      </c>
      <c r="X14" s="711"/>
      <c r="Y14" s="3389"/>
      <c r="Z14" s="54">
        <f t="shared" si="7"/>
        <v>111</v>
      </c>
      <c r="AA14" s="712">
        <f t="shared" si="3"/>
        <v>1</v>
      </c>
      <c r="AB14" s="712">
        <f t="shared" si="4"/>
        <v>1</v>
      </c>
      <c r="AC14" s="712">
        <f t="shared" si="5"/>
        <v>1</v>
      </c>
    </row>
    <row r="15" spans="1:29" ht="15">
      <c r="A15" s="398" t="s">
        <v>2320</v>
      </c>
      <c r="B15" s="584" t="s">
        <v>2559</v>
      </c>
      <c r="C15" s="2126" t="str">
        <f>估价对象房地状况!G15</f>
        <v>较好</v>
      </c>
      <c r="D15" s="399">
        <v>100</v>
      </c>
      <c r="E15" s="400"/>
      <c r="F15" s="399">
        <f>SUMIF(83:83,E16,84:84)-SUMIF(83:83,C16,84:84)+100</f>
        <v>97</v>
      </c>
      <c r="G15" s="400"/>
      <c r="H15" s="399">
        <f>SUMIF(83:83,G16,84:84)-SUMIF(83:83,C16,84:84)+100</f>
        <v>97</v>
      </c>
      <c r="I15" s="402"/>
      <c r="J15" s="399">
        <f>SUMIF(83:83,I16,84:84)-SUMIF(83:83,C16,84:84)+100</f>
        <v>97</v>
      </c>
      <c r="K15" s="628">
        <v>3</v>
      </c>
      <c r="L15" s="2918"/>
      <c r="M15" s="2912"/>
      <c r="N15" s="2912"/>
      <c r="O15" s="2970"/>
      <c r="P15" s="3422" t="s">
        <v>2321</v>
      </c>
      <c r="Q15" s="1505" t="str">
        <f t="shared" si="6"/>
        <v>产业集聚程度</v>
      </c>
      <c r="R15" s="713" t="s">
        <v>17</v>
      </c>
      <c r="S15" s="714">
        <f t="shared" si="0"/>
        <v>97</v>
      </c>
      <c r="T15" s="713" t="s">
        <v>17</v>
      </c>
      <c r="U15" s="714">
        <f t="shared" si="1"/>
        <v>97</v>
      </c>
      <c r="V15" s="713" t="s">
        <v>17</v>
      </c>
      <c r="W15" s="714">
        <f t="shared" si="2"/>
        <v>97</v>
      </c>
      <c r="X15" s="1508"/>
      <c r="Y15" s="3422" t="s">
        <v>2321</v>
      </c>
      <c r="Z15" s="1509" t="str">
        <f t="shared" si="7"/>
        <v>产业集聚程度</v>
      </c>
      <c r="AA15" s="1506">
        <f t="shared" si="3"/>
        <v>1.0309278350515463</v>
      </c>
      <c r="AB15" s="1506">
        <f t="shared" si="4"/>
        <v>1.0309278350515463</v>
      </c>
      <c r="AC15" s="1506">
        <f t="shared" si="5"/>
        <v>1.0309278350515463</v>
      </c>
    </row>
    <row r="16" spans="1:29" ht="15">
      <c r="A16" s="386"/>
      <c r="B16" s="585"/>
      <c r="C16" s="405" t="s">
        <v>3130</v>
      </c>
      <c r="D16" s="406"/>
      <c r="E16" s="2059" t="s">
        <v>3144</v>
      </c>
      <c r="F16" s="406"/>
      <c r="G16" s="2059" t="s">
        <v>3144</v>
      </c>
      <c r="H16" s="408"/>
      <c r="I16" s="2059" t="s">
        <v>3144</v>
      </c>
      <c r="J16" s="406"/>
      <c r="K16" s="627"/>
      <c r="L16" s="2918"/>
      <c r="M16" s="2912"/>
      <c r="N16" s="2912"/>
      <c r="O16" s="2970"/>
      <c r="P16" s="3423"/>
      <c r="Q16" s="1505"/>
      <c r="R16" s="713"/>
      <c r="S16" s="714"/>
      <c r="T16" s="713"/>
      <c r="U16" s="714"/>
      <c r="V16" s="713"/>
      <c r="W16" s="714"/>
      <c r="X16" s="1508"/>
      <c r="Y16" s="3423"/>
      <c r="Z16" s="1509"/>
      <c r="AA16" s="1506">
        <v>1</v>
      </c>
      <c r="AB16" s="1506">
        <v>1</v>
      </c>
      <c r="AC16" s="1506">
        <v>1</v>
      </c>
    </row>
    <row r="17" spans="1:29" ht="15">
      <c r="A17" s="386"/>
      <c r="B17" s="586" t="s">
        <v>2470</v>
      </c>
      <c r="C17" s="2055" t="str">
        <f>估价对象房地状况!G16</f>
        <v>好</v>
      </c>
      <c r="D17" s="408">
        <v>100</v>
      </c>
      <c r="E17" s="410"/>
      <c r="F17" s="413">
        <f>SUMIF(85:85,E18,86:86)-SUMIF(85:85,C18,86:86)+100</f>
        <v>98</v>
      </c>
      <c r="G17" s="410"/>
      <c r="H17" s="413">
        <f>SUMIF(85:85,G18,86:86)-SUMIF(85:85,C18,86:86)+100</f>
        <v>98</v>
      </c>
      <c r="I17" s="412"/>
      <c r="J17" s="408">
        <f>SUMIF(85:85,I18,86:86)-SUMIF(85:85,C18,86:86)+100</f>
        <v>98</v>
      </c>
      <c r="K17" s="628">
        <v>2</v>
      </c>
      <c r="L17" s="2918"/>
      <c r="M17" s="2912"/>
      <c r="N17" s="2912"/>
      <c r="O17" s="2970"/>
      <c r="P17" s="3423"/>
      <c r="Q17" s="1505" t="str">
        <f>B17</f>
        <v>交通便捷度</v>
      </c>
      <c r="R17" s="713" t="s">
        <v>17</v>
      </c>
      <c r="S17" s="714">
        <f>F17</f>
        <v>98</v>
      </c>
      <c r="T17" s="713" t="s">
        <v>17</v>
      </c>
      <c r="U17" s="714">
        <f>H17</f>
        <v>98</v>
      </c>
      <c r="V17" s="713" t="s">
        <v>17</v>
      </c>
      <c r="W17" s="714">
        <f>J17</f>
        <v>98</v>
      </c>
      <c r="X17" s="1508"/>
      <c r="Y17" s="3423"/>
      <c r="Z17" s="1509" t="str">
        <f>Q17</f>
        <v>交通便捷度</v>
      </c>
      <c r="AA17" s="1506">
        <f t="shared" si="3"/>
        <v>1.0204081632653061</v>
      </c>
      <c r="AB17" s="1506">
        <f t="shared" si="4"/>
        <v>1.0204081632653061</v>
      </c>
      <c r="AC17" s="1506">
        <f t="shared" si="5"/>
        <v>1.0204081632653061</v>
      </c>
    </row>
    <row r="18" spans="1:29" ht="15">
      <c r="A18" s="386"/>
      <c r="B18" s="587"/>
      <c r="C18" s="405" t="s">
        <v>3145</v>
      </c>
      <c r="D18" s="406"/>
      <c r="E18" s="2053" t="s">
        <v>3130</v>
      </c>
      <c r="F18" s="406"/>
      <c r="G18" s="2053" t="s">
        <v>3130</v>
      </c>
      <c r="H18" s="406"/>
      <c r="I18" s="2052" t="s">
        <v>3130</v>
      </c>
      <c r="J18" s="406"/>
      <c r="K18" s="627"/>
      <c r="L18" s="2918"/>
      <c r="M18" s="2912"/>
      <c r="N18" s="2912"/>
      <c r="O18" s="2970"/>
      <c r="P18" s="3423"/>
      <c r="Q18" s="1505"/>
      <c r="R18" s="713"/>
      <c r="S18" s="714"/>
      <c r="T18" s="713"/>
      <c r="U18" s="714"/>
      <c r="V18" s="713"/>
      <c r="W18" s="714"/>
      <c r="X18" s="1508"/>
      <c r="Y18" s="3423"/>
      <c r="Z18" s="1509"/>
      <c r="AA18" s="1506">
        <v>1</v>
      </c>
      <c r="AB18" s="1506">
        <v>1</v>
      </c>
      <c r="AC18" s="1506">
        <v>1</v>
      </c>
    </row>
    <row r="19" spans="1:29" ht="15">
      <c r="A19" s="386"/>
      <c r="B19" s="586" t="s">
        <v>2509</v>
      </c>
      <c r="C19" s="2055" t="str">
        <f>估价对象房地状况!G17</f>
        <v>较好</v>
      </c>
      <c r="D19" s="408">
        <v>100</v>
      </c>
      <c r="E19" s="410"/>
      <c r="F19" s="413">
        <f>SUMIF(87:87,E20,88:88)-SUMIF(87:87,C20,88:88)+100</f>
        <v>100</v>
      </c>
      <c r="G19" s="410"/>
      <c r="H19" s="413">
        <f>SUMIF(87:87,G20,88:88)-SUMIF(87:87,C20,88:88)+100</f>
        <v>100</v>
      </c>
      <c r="I19" s="410"/>
      <c r="J19" s="413">
        <f>SUMIF(87:87,I20,88:88)-SUMIF(87:87,C20,88:88)+100</f>
        <v>100</v>
      </c>
      <c r="K19" s="628">
        <v>2</v>
      </c>
      <c r="L19" s="2918"/>
      <c r="M19" s="2912"/>
      <c r="N19" s="2912"/>
      <c r="O19" s="2970"/>
      <c r="P19" s="3423"/>
      <c r="Q19" s="1505" t="str">
        <f t="shared" ref="Q19:Q33" si="8">B19</f>
        <v>区域土地利用方向</v>
      </c>
      <c r="R19" s="713" t="s">
        <v>17</v>
      </c>
      <c r="S19" s="714">
        <f>F19</f>
        <v>100</v>
      </c>
      <c r="T19" s="713" t="s">
        <v>17</v>
      </c>
      <c r="U19" s="714">
        <f>H19</f>
        <v>100</v>
      </c>
      <c r="V19" s="713" t="s">
        <v>17</v>
      </c>
      <c r="W19" s="714">
        <f>J19</f>
        <v>100</v>
      </c>
      <c r="X19" s="1508"/>
      <c r="Y19" s="3423"/>
      <c r="Z19" s="1509" t="str">
        <f>Q19</f>
        <v>区域土地利用方向</v>
      </c>
      <c r="AA19" s="1506">
        <f t="shared" si="3"/>
        <v>1</v>
      </c>
      <c r="AB19" s="1506">
        <f t="shared" si="4"/>
        <v>1</v>
      </c>
      <c r="AC19" s="1506">
        <f t="shared" si="5"/>
        <v>1</v>
      </c>
    </row>
    <row r="20" spans="1:29" ht="15">
      <c r="A20" s="363"/>
      <c r="B20" s="587"/>
      <c r="C20" s="405" t="s">
        <v>3130</v>
      </c>
      <c r="D20" s="406"/>
      <c r="E20" s="2053" t="s">
        <v>3130</v>
      </c>
      <c r="F20" s="406"/>
      <c r="G20" s="2053" t="s">
        <v>3130</v>
      </c>
      <c r="H20" s="406"/>
      <c r="I20" s="2053" t="s">
        <v>3130</v>
      </c>
      <c r="J20" s="406"/>
      <c r="K20" s="750"/>
      <c r="L20" s="2918"/>
      <c r="M20" s="2912"/>
      <c r="N20" s="2912"/>
      <c r="O20" s="2970"/>
      <c r="P20" s="3423"/>
      <c r="Q20" s="1505"/>
      <c r="R20" s="713"/>
      <c r="S20" s="714"/>
      <c r="T20" s="713"/>
      <c r="U20" s="714"/>
      <c r="V20" s="713"/>
      <c r="W20" s="714"/>
      <c r="X20" s="1508"/>
      <c r="Y20" s="3423"/>
      <c r="Z20" s="1509"/>
      <c r="AA20" s="1506"/>
      <c r="AB20" s="1506"/>
      <c r="AC20" s="1506"/>
    </row>
    <row r="21" spans="1:29" ht="15">
      <c r="A21" s="363"/>
      <c r="B21" s="586" t="s">
        <v>2560</v>
      </c>
      <c r="C21" s="2055" t="str">
        <f>估价对象房地状况!G18</f>
        <v>较好</v>
      </c>
      <c r="D21" s="408">
        <v>100</v>
      </c>
      <c r="E21" s="410"/>
      <c r="F21" s="408">
        <f>SUMIF(89:89,E22,90:90)-SUMIF(89:89,C22,90:90)+100</f>
        <v>100</v>
      </c>
      <c r="G21" s="410"/>
      <c r="H21" s="408">
        <f>SUMIF(89:89,G22,90:90)-SUMIF(89:89,C22,90:90)+100</f>
        <v>100</v>
      </c>
      <c r="I21" s="412"/>
      <c r="J21" s="408">
        <f>SUMIF(89:89,I22,90:90)-SUMIF(89:89,C22,90:90)+100</f>
        <v>100</v>
      </c>
      <c r="K21" s="628">
        <v>2</v>
      </c>
      <c r="L21" s="2918"/>
      <c r="M21" s="2912"/>
      <c r="N21" s="2912"/>
      <c r="O21" s="2970"/>
      <c r="P21" s="3423"/>
      <c r="Q21" s="1505" t="str">
        <f t="shared" si="8"/>
        <v>环境状况</v>
      </c>
      <c r="R21" s="713" t="s">
        <v>17</v>
      </c>
      <c r="S21" s="714">
        <f>F21</f>
        <v>100</v>
      </c>
      <c r="T21" s="713" t="s">
        <v>17</v>
      </c>
      <c r="U21" s="714">
        <f>H21</f>
        <v>100</v>
      </c>
      <c r="V21" s="713" t="s">
        <v>17</v>
      </c>
      <c r="W21" s="714">
        <f>J21</f>
        <v>100</v>
      </c>
      <c r="X21" s="1508"/>
      <c r="Y21" s="3423"/>
      <c r="Z21" s="1509" t="str">
        <f>Q21</f>
        <v>环境状况</v>
      </c>
      <c r="AA21" s="1506">
        <f t="shared" si="3"/>
        <v>1</v>
      </c>
      <c r="AB21" s="1506">
        <f t="shared" si="4"/>
        <v>1</v>
      </c>
      <c r="AC21" s="1506">
        <f t="shared" si="5"/>
        <v>1</v>
      </c>
    </row>
    <row r="22" spans="1:29" ht="15">
      <c r="A22" s="363"/>
      <c r="B22" s="587"/>
      <c r="C22" s="405" t="s">
        <v>3130</v>
      </c>
      <c r="D22" s="406"/>
      <c r="E22" s="2059" t="s">
        <v>3130</v>
      </c>
      <c r="F22" s="406"/>
      <c r="G22" s="2059" t="s">
        <v>3130</v>
      </c>
      <c r="H22" s="406"/>
      <c r="I22" s="405" t="s">
        <v>3130</v>
      </c>
      <c r="J22" s="406"/>
      <c r="K22" s="627"/>
      <c r="L22" s="2918"/>
      <c r="M22" s="2912"/>
      <c r="N22" s="2912"/>
      <c r="O22" s="2970"/>
      <c r="P22" s="3423"/>
      <c r="Q22" s="1505"/>
      <c r="R22" s="713"/>
      <c r="S22" s="714"/>
      <c r="T22" s="713"/>
      <c r="U22" s="714"/>
      <c r="V22" s="713"/>
      <c r="W22" s="714"/>
      <c r="X22" s="1508"/>
      <c r="Y22" s="3423"/>
      <c r="Z22" s="1509"/>
      <c r="AA22" s="1506">
        <v>1</v>
      </c>
      <c r="AB22" s="1506">
        <v>1</v>
      </c>
      <c r="AC22" s="1506">
        <v>1</v>
      </c>
    </row>
    <row r="23" spans="1:29" s="112" customFormat="1" ht="15">
      <c r="A23" s="604"/>
      <c r="B23" s="588" t="s">
        <v>2415</v>
      </c>
      <c r="C23" s="2055" t="str">
        <f>估价对象房地状况!G19</f>
        <v>较好</v>
      </c>
      <c r="D23" s="408">
        <v>100</v>
      </c>
      <c r="E23" s="410"/>
      <c r="F23" s="408">
        <f>SUMIF(91:91,E24,92:92)-SUMIF(91:91,C24,92:92)+100</f>
        <v>98</v>
      </c>
      <c r="G23" s="410"/>
      <c r="H23" s="408">
        <f>SUMIF(91:91,G24,92:92)-SUMIF(91:91,C24,92:92)+100</f>
        <v>98</v>
      </c>
      <c r="I23" s="412"/>
      <c r="J23" s="408">
        <f>SUMIF(91:91,I24,92:92)-SUMIF(91:91,C24,92:92)+100</f>
        <v>98</v>
      </c>
      <c r="K23" s="628">
        <v>2</v>
      </c>
      <c r="L23" s="2913"/>
      <c r="M23" s="2914"/>
      <c r="N23" s="2914"/>
      <c r="O23" s="2968"/>
      <c r="P23" s="3423"/>
      <c r="Q23" s="1496" t="str">
        <f t="shared" si="8"/>
        <v>公共配套设施</v>
      </c>
      <c r="R23" s="709" t="s">
        <v>17</v>
      </c>
      <c r="S23" s="710">
        <f>F23</f>
        <v>98</v>
      </c>
      <c r="T23" s="709" t="s">
        <v>17</v>
      </c>
      <c r="U23" s="710">
        <f>H23</f>
        <v>98</v>
      </c>
      <c r="V23" s="709" t="s">
        <v>17</v>
      </c>
      <c r="W23" s="710">
        <f>J23</f>
        <v>98</v>
      </c>
      <c r="X23" s="711"/>
      <c r="Y23" s="3423"/>
      <c r="Z23" s="54" t="str">
        <f>Q23</f>
        <v>公共配套设施</v>
      </c>
      <c r="AA23" s="1506">
        <f>D23/F23</f>
        <v>1.0204081632653061</v>
      </c>
      <c r="AB23" s="1506">
        <f>D23/H23</f>
        <v>1.0204081632653061</v>
      </c>
      <c r="AC23" s="1506">
        <f>D23/J23</f>
        <v>1.0204081632653061</v>
      </c>
    </row>
    <row r="24" spans="1:29" s="112" customFormat="1" ht="15">
      <c r="A24" s="604"/>
      <c r="B24" s="587"/>
      <c r="C24" s="2133" t="s">
        <v>3130</v>
      </c>
      <c r="D24" s="406"/>
      <c r="E24" s="2059" t="s">
        <v>3144</v>
      </c>
      <c r="F24" s="406"/>
      <c r="G24" s="2059" t="s">
        <v>3144</v>
      </c>
      <c r="H24" s="406"/>
      <c r="I24" s="405" t="s">
        <v>3144</v>
      </c>
      <c r="J24" s="406"/>
      <c r="K24" s="627"/>
      <c r="L24" s="2913"/>
      <c r="M24" s="2914"/>
      <c r="N24" s="2914"/>
      <c r="O24" s="2968"/>
      <c r="P24" s="3423"/>
      <c r="Q24" s="1496"/>
      <c r="R24" s="709"/>
      <c r="S24" s="710"/>
      <c r="T24" s="709"/>
      <c r="U24" s="710"/>
      <c r="V24" s="709"/>
      <c r="W24" s="710"/>
      <c r="X24" s="711"/>
      <c r="Y24" s="3423"/>
      <c r="Z24" s="54"/>
      <c r="AA24" s="712">
        <v>1</v>
      </c>
      <c r="AB24" s="712">
        <v>1</v>
      </c>
      <c r="AC24" s="712">
        <v>1</v>
      </c>
    </row>
    <row r="25" spans="1:29" s="112" customFormat="1" ht="15">
      <c r="A25" s="604"/>
      <c r="B25" s="588" t="s">
        <v>2416</v>
      </c>
      <c r="C25" s="2055" t="str">
        <f>估价对象房地状况!G20</f>
        <v>七通</v>
      </c>
      <c r="D25" s="408">
        <v>100</v>
      </c>
      <c r="E25" s="410"/>
      <c r="F25" s="408">
        <f>SUMIF(93:93,E26,94:94)-SUMIF(93:93,C26,94:94)+100</f>
        <v>100</v>
      </c>
      <c r="G25" s="410"/>
      <c r="H25" s="408">
        <f>SUMIF(93:93,G26,94:94)-SUMIF(93:93,C26,94:94)+100</f>
        <v>100</v>
      </c>
      <c r="I25" s="412"/>
      <c r="J25" s="408">
        <f>SUMIF(93:93,I26,94:94)-SUMIF(93:93,C26,94:94)+100</f>
        <v>100</v>
      </c>
      <c r="K25" s="628">
        <v>2</v>
      </c>
      <c r="L25" s="2913"/>
      <c r="M25" s="2914"/>
      <c r="N25" s="2914"/>
      <c r="O25" s="2968"/>
      <c r="P25" s="3423"/>
      <c r="Q25" s="1496" t="str">
        <f t="shared" ref="Q25" si="9">B25</f>
        <v>基础设施水平</v>
      </c>
      <c r="R25" s="709" t="s">
        <v>17</v>
      </c>
      <c r="S25" s="710">
        <f>F25</f>
        <v>100</v>
      </c>
      <c r="T25" s="709" t="s">
        <v>17</v>
      </c>
      <c r="U25" s="710">
        <f>H25</f>
        <v>100</v>
      </c>
      <c r="V25" s="709" t="s">
        <v>17</v>
      </c>
      <c r="W25" s="710">
        <f>J25</f>
        <v>100</v>
      </c>
      <c r="X25" s="711"/>
      <c r="Y25" s="3423"/>
      <c r="Z25" s="54" t="str">
        <f>Q25</f>
        <v>基础设施水平</v>
      </c>
      <c r="AA25" s="1506">
        <f>D25/F25</f>
        <v>1</v>
      </c>
      <c r="AB25" s="1506">
        <f>D25/H25</f>
        <v>1</v>
      </c>
      <c r="AC25" s="1506">
        <f>D25/J25</f>
        <v>1</v>
      </c>
    </row>
    <row r="26" spans="1:29" s="112" customFormat="1" ht="15">
      <c r="A26" s="604"/>
      <c r="B26" s="587"/>
      <c r="C26" s="2133" t="s">
        <v>3132</v>
      </c>
      <c r="D26" s="406"/>
      <c r="E26" s="2133" t="s">
        <v>3132</v>
      </c>
      <c r="F26" s="406"/>
      <c r="G26" s="2133" t="s">
        <v>3132</v>
      </c>
      <c r="H26" s="406"/>
      <c r="I26" s="2133" t="s">
        <v>3132</v>
      </c>
      <c r="J26" s="406"/>
      <c r="K26" s="627"/>
      <c r="L26" s="2913"/>
      <c r="M26" s="2914"/>
      <c r="N26" s="2914"/>
      <c r="O26" s="2968"/>
      <c r="P26" s="3423"/>
      <c r="Q26" s="1496"/>
      <c r="R26" s="709"/>
      <c r="S26" s="710"/>
      <c r="T26" s="709"/>
      <c r="U26" s="710"/>
      <c r="V26" s="709"/>
      <c r="W26" s="710"/>
      <c r="X26" s="711"/>
      <c r="Y26" s="3423"/>
      <c r="Z26" s="54"/>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423"/>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423"/>
      <c r="Z27" s="1509" t="str">
        <f t="shared" ref="Z27:Z40" si="13">Q27</f>
        <v>临街状况</v>
      </c>
      <c r="AA27" s="1506">
        <f t="shared" si="3"/>
        <v>1</v>
      </c>
      <c r="AB27" s="1506">
        <f t="shared" si="4"/>
        <v>1</v>
      </c>
      <c r="AC27" s="1506">
        <f t="shared" si="5"/>
        <v>1</v>
      </c>
    </row>
    <row r="28" spans="1:29" ht="27">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v>2</v>
      </c>
      <c r="L28" s="2918"/>
      <c r="M28" s="2912"/>
      <c r="N28" s="2912"/>
      <c r="O28" s="2970"/>
      <c r="P28" s="3423"/>
      <c r="Q28" s="1505" t="str">
        <f t="shared" si="8"/>
        <v>毗邻道路的类型与等级</v>
      </c>
      <c r="R28" s="713" t="s">
        <v>17</v>
      </c>
      <c r="S28" s="714">
        <f t="shared" si="10"/>
        <v>100</v>
      </c>
      <c r="T28" s="713" t="s">
        <v>17</v>
      </c>
      <c r="U28" s="714">
        <f t="shared" si="11"/>
        <v>100</v>
      </c>
      <c r="V28" s="713" t="s">
        <v>17</v>
      </c>
      <c r="W28" s="714">
        <f t="shared" si="12"/>
        <v>100</v>
      </c>
      <c r="X28" s="1508"/>
      <c r="Y28" s="3423"/>
      <c r="Z28" s="1509" t="str">
        <f t="shared" si="13"/>
        <v>毗邻道路的类型与等级</v>
      </c>
      <c r="AA28" s="1506">
        <f t="shared" si="3"/>
        <v>1</v>
      </c>
      <c r="AB28" s="1506">
        <f t="shared" si="4"/>
        <v>1</v>
      </c>
      <c r="AC28" s="1506">
        <f t="shared" si="5"/>
        <v>1</v>
      </c>
    </row>
    <row r="29" spans="1:29" ht="15">
      <c r="A29" s="386"/>
      <c r="B29" s="587"/>
      <c r="C29" s="405" t="s">
        <v>3205</v>
      </c>
      <c r="D29" s="406"/>
      <c r="E29" s="2059" t="s">
        <v>3205</v>
      </c>
      <c r="F29" s="406"/>
      <c r="G29" s="2059" t="s">
        <v>3205</v>
      </c>
      <c r="H29" s="406"/>
      <c r="I29" s="2059" t="s">
        <v>3205</v>
      </c>
      <c r="J29" s="406"/>
      <c r="K29" s="569"/>
      <c r="L29" s="2918"/>
      <c r="M29" s="2912"/>
      <c r="N29" s="2912"/>
      <c r="O29" s="2970"/>
      <c r="P29" s="3423"/>
      <c r="Q29" s="1505"/>
      <c r="R29" s="713"/>
      <c r="S29" s="714"/>
      <c r="T29" s="713"/>
      <c r="U29" s="714"/>
      <c r="V29" s="713"/>
      <c r="W29" s="714"/>
      <c r="X29" s="1508"/>
      <c r="Y29" s="3423"/>
      <c r="Z29" s="1509"/>
      <c r="AA29" s="1506">
        <v>1</v>
      </c>
      <c r="AB29" s="1506">
        <v>1</v>
      </c>
      <c r="AC29" s="1506">
        <v>1</v>
      </c>
    </row>
    <row r="30" spans="1:29" ht="15">
      <c r="A30" s="386"/>
      <c r="B30" s="609" t="s">
        <v>2511</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423"/>
      <c r="Q30" s="1505" t="str">
        <f t="shared" si="8"/>
        <v>土地级别</v>
      </c>
      <c r="R30" s="713" t="s">
        <v>17</v>
      </c>
      <c r="S30" s="714">
        <f t="shared" si="10"/>
        <v>100</v>
      </c>
      <c r="T30" s="713" t="s">
        <v>17</v>
      </c>
      <c r="U30" s="714">
        <f t="shared" si="11"/>
        <v>100</v>
      </c>
      <c r="V30" s="713" t="s">
        <v>17</v>
      </c>
      <c r="W30" s="714">
        <f t="shared" si="12"/>
        <v>100</v>
      </c>
      <c r="X30" s="1508"/>
      <c r="Y30" s="3423"/>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423"/>
      <c r="Q31" s="1505">
        <f t="shared" si="8"/>
        <v>111</v>
      </c>
      <c r="R31" s="713" t="s">
        <v>17</v>
      </c>
      <c r="S31" s="714">
        <f t="shared" si="10"/>
        <v>100</v>
      </c>
      <c r="T31" s="713" t="s">
        <v>17</v>
      </c>
      <c r="U31" s="714">
        <f t="shared" si="11"/>
        <v>100</v>
      </c>
      <c r="V31" s="713" t="s">
        <v>17</v>
      </c>
      <c r="W31" s="714">
        <f t="shared" si="12"/>
        <v>100</v>
      </c>
      <c r="X31" s="1508"/>
      <c r="Y31" s="3423"/>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424" t="s">
        <v>2326</v>
      </c>
      <c r="Q32" s="1505">
        <f t="shared" si="8"/>
        <v>111</v>
      </c>
      <c r="R32" s="713" t="s">
        <v>17</v>
      </c>
      <c r="S32" s="714">
        <f t="shared" si="10"/>
        <v>100</v>
      </c>
      <c r="T32" s="713" t="s">
        <v>17</v>
      </c>
      <c r="U32" s="714">
        <f t="shared" si="11"/>
        <v>100</v>
      </c>
      <c r="V32" s="713" t="s">
        <v>17</v>
      </c>
      <c r="W32" s="714">
        <f t="shared" si="12"/>
        <v>100</v>
      </c>
      <c r="X32" s="1508"/>
      <c r="Y32" s="3425" t="s">
        <v>2326</v>
      </c>
      <c r="Z32" s="1509">
        <f t="shared" si="13"/>
        <v>111</v>
      </c>
      <c r="AA32" s="1506">
        <f t="shared" si="3"/>
        <v>1</v>
      </c>
      <c r="AB32" s="1506">
        <f t="shared" si="4"/>
        <v>1</v>
      </c>
      <c r="AC32" s="1506">
        <f t="shared" si="5"/>
        <v>1</v>
      </c>
    </row>
    <row r="33" spans="1:31" s="429" customFormat="1" ht="15.75" thickBot="1">
      <c r="A33" s="631"/>
      <c r="B33" s="214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425"/>
      <c r="Q33" s="1505">
        <f t="shared" si="8"/>
        <v>111</v>
      </c>
      <c r="R33" s="716" t="s">
        <v>17</v>
      </c>
      <c r="S33" s="717">
        <f t="shared" si="10"/>
        <v>100</v>
      </c>
      <c r="T33" s="716" t="s">
        <v>17</v>
      </c>
      <c r="U33" s="717">
        <f t="shared" si="11"/>
        <v>100</v>
      </c>
      <c r="V33" s="716" t="s">
        <v>17</v>
      </c>
      <c r="W33" s="717">
        <f t="shared" si="12"/>
        <v>100</v>
      </c>
      <c r="X33" s="718"/>
      <c r="Y33" s="3425"/>
      <c r="Z33" s="719">
        <f t="shared" si="13"/>
        <v>111</v>
      </c>
      <c r="AA33" s="1506">
        <f t="shared" si="3"/>
        <v>1</v>
      </c>
      <c r="AB33" s="1506">
        <f t="shared" si="4"/>
        <v>1</v>
      </c>
      <c r="AC33" s="1506">
        <f t="shared" si="5"/>
        <v>1</v>
      </c>
    </row>
    <row r="34" spans="1:31" ht="15">
      <c r="A34" s="398" t="s">
        <v>2324</v>
      </c>
      <c r="B34" s="414" t="s">
        <v>2512</v>
      </c>
      <c r="C34" s="3561">
        <v>33329.5</v>
      </c>
      <c r="D34" s="425">
        <v>100</v>
      </c>
      <c r="E34" s="634">
        <f>土地案例!E3</f>
        <v>16627.21</v>
      </c>
      <c r="F34" s="425">
        <f>LOOKUP(E34,108:108,109:109)-LOOKUP(C34,108:108,109:109)+100</f>
        <v>99</v>
      </c>
      <c r="G34" s="634">
        <f>土地案例!E5</f>
        <v>19340</v>
      </c>
      <c r="H34" s="425">
        <f>LOOKUP(G34,108:108,109:109)-LOOKUP(C34,108:108,109:109)+100</f>
        <v>99</v>
      </c>
      <c r="I34" s="486">
        <f>土地案例!E6</f>
        <v>16697.47</v>
      </c>
      <c r="J34" s="425">
        <f>LOOKUP(I34,108:108,109:109)-LOOKUP(C34,108:108,109:109)+100</f>
        <v>99</v>
      </c>
      <c r="K34" s="569"/>
      <c r="L34" s="2918"/>
      <c r="M34" s="2912"/>
      <c r="N34" s="2912"/>
      <c r="O34" s="2970"/>
      <c r="P34" s="3425"/>
      <c r="Q34" s="1505" t="str">
        <f>B34</f>
        <v>宗地面积</v>
      </c>
      <c r="R34" s="713" t="s">
        <v>17</v>
      </c>
      <c r="S34" s="714">
        <f t="shared" si="10"/>
        <v>99</v>
      </c>
      <c r="T34" s="713" t="s">
        <v>17</v>
      </c>
      <c r="U34" s="714">
        <f t="shared" si="11"/>
        <v>99</v>
      </c>
      <c r="V34" s="713" t="s">
        <v>17</v>
      </c>
      <c r="W34" s="714">
        <f t="shared" si="12"/>
        <v>99</v>
      </c>
      <c r="X34" s="1508"/>
      <c r="Y34" s="3425"/>
      <c r="Z34" s="1509" t="str">
        <f t="shared" si="13"/>
        <v>宗地面积</v>
      </c>
      <c r="AA34" s="1506">
        <f t="shared" si="3"/>
        <v>1.0101010101010102</v>
      </c>
      <c r="AB34" s="1506">
        <f t="shared" si="4"/>
        <v>1.0101010101010102</v>
      </c>
      <c r="AC34" s="1506">
        <f t="shared" si="5"/>
        <v>1.0101010101010102</v>
      </c>
    </row>
    <row r="35" spans="1:31" ht="15">
      <c r="A35" s="430"/>
      <c r="B35" s="380" t="s">
        <v>2513</v>
      </c>
      <c r="C35" s="2061" t="s">
        <v>3212</v>
      </c>
      <c r="D35" s="393">
        <v>100</v>
      </c>
      <c r="E35" s="2061" t="s">
        <v>3212</v>
      </c>
      <c r="F35" s="393">
        <f>SUMIF(110:110,E35,111:111)-SUMIF(110:110,C35,111:111)+100</f>
        <v>100</v>
      </c>
      <c r="G35" s="2061" t="s">
        <v>3212</v>
      </c>
      <c r="H35" s="393">
        <f>SUMIF(110:110,G35,111:111)-SUMIF(110:110,C35,111:111)+100</f>
        <v>100</v>
      </c>
      <c r="I35" s="2061" t="s">
        <v>3212</v>
      </c>
      <c r="J35" s="393">
        <f>SUMIF(110:110,I35,111:111)-SUMIF(110:110,C35,111:111)+100</f>
        <v>100</v>
      </c>
      <c r="K35" s="568">
        <v>2</v>
      </c>
      <c r="L35" s="2918"/>
      <c r="M35" s="2912"/>
      <c r="N35" s="2912"/>
      <c r="O35" s="2970"/>
      <c r="P35" s="3425"/>
      <c r="Q35" s="1505" t="str">
        <f t="shared" ref="Q35:Q40" si="14">B35</f>
        <v>宗地形状</v>
      </c>
      <c r="R35" s="713" t="s">
        <v>17</v>
      </c>
      <c r="S35" s="714">
        <f t="shared" si="10"/>
        <v>100</v>
      </c>
      <c r="T35" s="713" t="s">
        <v>17</v>
      </c>
      <c r="U35" s="714">
        <f t="shared" si="11"/>
        <v>100</v>
      </c>
      <c r="V35" s="713" t="s">
        <v>17</v>
      </c>
      <c r="W35" s="714">
        <f t="shared" si="12"/>
        <v>100</v>
      </c>
      <c r="X35" s="1508"/>
      <c r="Y35" s="3425"/>
      <c r="Z35" s="1509" t="str">
        <f t="shared" si="13"/>
        <v>宗地形状</v>
      </c>
      <c r="AA35" s="1506">
        <f t="shared" si="3"/>
        <v>1</v>
      </c>
      <c r="AB35" s="1506">
        <f t="shared" si="4"/>
        <v>1</v>
      </c>
      <c r="AC35" s="1506">
        <f t="shared" si="5"/>
        <v>1</v>
      </c>
    </row>
    <row r="36" spans="1:31" s="112" customFormat="1" ht="15">
      <c r="A36" s="431"/>
      <c r="B36" s="380" t="s">
        <v>2515</v>
      </c>
      <c r="C36" s="2135" t="s">
        <v>3132</v>
      </c>
      <c r="D36" s="131">
        <v>100</v>
      </c>
      <c r="E36" s="2135" t="s">
        <v>3132</v>
      </c>
      <c r="F36" s="393">
        <f>SUMIF(112:112,E36,113:113)-SUMIF(112:112,C36,113:113)+100</f>
        <v>100</v>
      </c>
      <c r="G36" s="2135" t="s">
        <v>3132</v>
      </c>
      <c r="H36" s="393">
        <f>SUMIF(112:112,G36,113:113)-SUMIF(112:112,C36,113:113)+100</f>
        <v>100</v>
      </c>
      <c r="I36" s="2135" t="s">
        <v>3132</v>
      </c>
      <c r="J36" s="393">
        <f>SUMIF(112:112,I36,113:113)-SUMIF(112:112,C36,113:113)+100</f>
        <v>100</v>
      </c>
      <c r="K36" s="568">
        <v>1</v>
      </c>
      <c r="L36" s="2913"/>
      <c r="M36" s="2914"/>
      <c r="N36" s="2914"/>
      <c r="O36" s="2968"/>
      <c r="P36" s="3425"/>
      <c r="Q36" s="1505" t="str">
        <f t="shared" si="14"/>
        <v>宗地开发程度</v>
      </c>
      <c r="R36" s="709" t="s">
        <v>17</v>
      </c>
      <c r="S36" s="710">
        <f t="shared" si="10"/>
        <v>100</v>
      </c>
      <c r="T36" s="709" t="s">
        <v>17</v>
      </c>
      <c r="U36" s="710">
        <f t="shared" si="11"/>
        <v>100</v>
      </c>
      <c r="V36" s="709" t="s">
        <v>17</v>
      </c>
      <c r="W36" s="710">
        <f t="shared" si="12"/>
        <v>100</v>
      </c>
      <c r="X36" s="711"/>
      <c r="Y36" s="3425"/>
      <c r="Z36" s="54" t="str">
        <f t="shared" si="13"/>
        <v>宗地开发程度</v>
      </c>
      <c r="AA36" s="712">
        <f t="shared" si="3"/>
        <v>1</v>
      </c>
      <c r="AB36" s="712">
        <f t="shared" si="4"/>
        <v>1</v>
      </c>
      <c r="AC36" s="712">
        <f t="shared" si="5"/>
        <v>1</v>
      </c>
    </row>
    <row r="37" spans="1:31" ht="15">
      <c r="A37" s="430"/>
      <c r="B37" s="380" t="s">
        <v>2516</v>
      </c>
      <c r="C37" s="2061" t="s">
        <v>3130</v>
      </c>
      <c r="D37" s="393">
        <v>100</v>
      </c>
      <c r="E37" s="2061" t="s">
        <v>3130</v>
      </c>
      <c r="F37" s="393">
        <f>SUMIF(114:114,E37,115:115)-SUMIF(114:114,C37,115:115)+100</f>
        <v>100</v>
      </c>
      <c r="G37" s="2061" t="s">
        <v>3130</v>
      </c>
      <c r="H37" s="393">
        <f>SUMIF(114:114,G37,115:115)-SUMIF(114:114,C37,115:115)+100</f>
        <v>100</v>
      </c>
      <c r="I37" s="2061" t="s">
        <v>3130</v>
      </c>
      <c r="J37" s="393">
        <f>SUMIF(114:114,I37,115:115)-SUMIF(114:114,C37,115:115)+100</f>
        <v>100</v>
      </c>
      <c r="K37" s="568">
        <v>2</v>
      </c>
      <c r="L37" s="2918"/>
      <c r="M37" s="2912"/>
      <c r="N37" s="2912"/>
      <c r="O37" s="2970"/>
      <c r="P37" s="3425" t="s">
        <v>2326</v>
      </c>
      <c r="Q37" s="1505" t="str">
        <f t="shared" si="14"/>
        <v>工程地质条件</v>
      </c>
      <c r="R37" s="713" t="s">
        <v>17</v>
      </c>
      <c r="S37" s="714">
        <f t="shared" si="10"/>
        <v>100</v>
      </c>
      <c r="T37" s="713" t="s">
        <v>17</v>
      </c>
      <c r="U37" s="714">
        <f t="shared" si="11"/>
        <v>100</v>
      </c>
      <c r="V37" s="713" t="s">
        <v>17</v>
      </c>
      <c r="W37" s="714">
        <f t="shared" si="12"/>
        <v>100</v>
      </c>
      <c r="X37" s="1508"/>
      <c r="Y37" s="3425"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425"/>
      <c r="Q38" s="1505">
        <f t="shared" si="14"/>
        <v>111</v>
      </c>
      <c r="R38" s="713" t="s">
        <v>17</v>
      </c>
      <c r="S38" s="714">
        <f t="shared" si="10"/>
        <v>100</v>
      </c>
      <c r="T38" s="713" t="s">
        <v>17</v>
      </c>
      <c r="U38" s="714">
        <f t="shared" si="11"/>
        <v>100</v>
      </c>
      <c r="V38" s="713" t="s">
        <v>17</v>
      </c>
      <c r="W38" s="714">
        <f t="shared" si="12"/>
        <v>100</v>
      </c>
      <c r="X38" s="1508"/>
      <c r="Y38" s="3425"/>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425"/>
      <c r="Q39" s="1505">
        <f t="shared" si="14"/>
        <v>111</v>
      </c>
      <c r="R39" s="713" t="s">
        <v>17</v>
      </c>
      <c r="S39" s="714">
        <f t="shared" si="10"/>
        <v>100</v>
      </c>
      <c r="T39" s="713" t="s">
        <v>17</v>
      </c>
      <c r="U39" s="714">
        <f t="shared" si="11"/>
        <v>100</v>
      </c>
      <c r="V39" s="713" t="s">
        <v>17</v>
      </c>
      <c r="W39" s="714">
        <f t="shared" si="12"/>
        <v>100</v>
      </c>
      <c r="X39" s="1508"/>
      <c r="Y39" s="3425"/>
      <c r="Z39" s="1509">
        <f t="shared" si="13"/>
        <v>111</v>
      </c>
      <c r="AA39" s="1506">
        <f t="shared" si="3"/>
        <v>1</v>
      </c>
      <c r="AB39" s="1506">
        <f t="shared" si="4"/>
        <v>1</v>
      </c>
      <c r="AC39" s="1506">
        <f t="shared" si="5"/>
        <v>1</v>
      </c>
    </row>
    <row r="40" spans="1:31" s="429" customFormat="1" ht="15.75" thickBot="1">
      <c r="A40" s="426"/>
      <c r="B40" s="1267">
        <v>111</v>
      </c>
      <c r="C40" s="2136"/>
      <c r="D40" s="132">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425"/>
      <c r="Q40" s="1505">
        <f t="shared" si="14"/>
        <v>111</v>
      </c>
      <c r="R40" s="716" t="s">
        <v>17</v>
      </c>
      <c r="S40" s="717">
        <f t="shared" si="10"/>
        <v>100</v>
      </c>
      <c r="T40" s="716" t="s">
        <v>17</v>
      </c>
      <c r="U40" s="717">
        <f t="shared" si="11"/>
        <v>100</v>
      </c>
      <c r="V40" s="716" t="s">
        <v>17</v>
      </c>
      <c r="W40" s="717">
        <f t="shared" si="12"/>
        <v>100</v>
      </c>
      <c r="X40" s="718"/>
      <c r="Y40" s="3425"/>
      <c r="Z40" s="719">
        <f t="shared" si="13"/>
        <v>111</v>
      </c>
      <c r="AA40" s="1506">
        <f t="shared" si="3"/>
        <v>1</v>
      </c>
      <c r="AB40" s="1506">
        <f t="shared" si="4"/>
        <v>1</v>
      </c>
      <c r="AC40" s="1506">
        <f t="shared" si="5"/>
        <v>1</v>
      </c>
    </row>
    <row r="41" spans="1:31" ht="15">
      <c r="A41" s="437" t="s">
        <v>2481</v>
      </c>
      <c r="B41" s="2137" t="s">
        <v>3218</v>
      </c>
      <c r="C41" s="637" t="s">
        <v>1</v>
      </c>
      <c r="D41" s="439"/>
      <c r="E41" s="440">
        <f>土地案例!U3</f>
        <v>2595</v>
      </c>
      <c r="F41" s="441"/>
      <c r="G41" s="442">
        <f>土地案例!U5</f>
        <v>2516</v>
      </c>
      <c r="H41" s="443"/>
      <c r="I41" s="440">
        <f>土地案例!U6</f>
        <v>2516</v>
      </c>
      <c r="J41" s="443"/>
      <c r="K41" s="722"/>
      <c r="L41" s="2920"/>
      <c r="M41" s="2912"/>
      <c r="N41" s="2912"/>
      <c r="O41" s="2921"/>
      <c r="P41" s="3419" t="str">
        <f>A41</f>
        <v>成交单价</v>
      </c>
      <c r="Q41" s="3419"/>
      <c r="R41" s="3421">
        <f>E41</f>
        <v>2595</v>
      </c>
      <c r="S41" s="3421"/>
      <c r="T41" s="3421">
        <f>G41</f>
        <v>2516</v>
      </c>
      <c r="U41" s="3421"/>
      <c r="V41" s="3421">
        <f>I41</f>
        <v>2516</v>
      </c>
      <c r="W41" s="3421"/>
      <c r="X41" s="698"/>
      <c r="Y41" s="720"/>
      <c r="Z41" s="698"/>
      <c r="AA41" s="698"/>
      <c r="AB41" s="698"/>
      <c r="AC41" s="698"/>
    </row>
    <row r="42" spans="1:31" ht="15.75" thickBot="1">
      <c r="A42" s="444" t="s">
        <v>2430</v>
      </c>
      <c r="B42" s="638"/>
      <c r="C42" s="447">
        <f>R43</f>
        <v>2665</v>
      </c>
      <c r="D42" s="2507" t="s">
        <v>2818</v>
      </c>
      <c r="E42" s="447">
        <f>R42</f>
        <v>2656</v>
      </c>
      <c r="F42" s="2508"/>
      <c r="G42" s="446">
        <f>T42</f>
        <v>2656</v>
      </c>
      <c r="H42" s="2508"/>
      <c r="I42" s="447">
        <f>V42</f>
        <v>2684</v>
      </c>
      <c r="J42" s="2508"/>
      <c r="K42" s="2510">
        <f>F42+H42+J42</f>
        <v>0</v>
      </c>
      <c r="L42" s="2920"/>
      <c r="M42" s="2912"/>
      <c r="N42" s="2912"/>
      <c r="O42" s="2921"/>
      <c r="P42" s="3419" t="str">
        <f>A42</f>
        <v>比较价值（元/平方米）</v>
      </c>
      <c r="Q42" s="3419"/>
      <c r="R42" s="3420">
        <f>ROUND(PRODUCT(R41,AA7:AA40),0)</f>
        <v>2656</v>
      </c>
      <c r="S42" s="3420"/>
      <c r="T42" s="3420">
        <f>ROUND(PRODUCT(T41,AB7:AB40),0)</f>
        <v>2656</v>
      </c>
      <c r="U42" s="3420"/>
      <c r="V42" s="3420">
        <f>ROUND(PRODUCT(V41,AC7:AC40),0)</f>
        <v>2684</v>
      </c>
      <c r="W42" s="3420"/>
      <c r="X42" s="698"/>
      <c r="Y42" s="698"/>
      <c r="Z42" s="698"/>
      <c r="AA42" s="698"/>
      <c r="AB42" s="698"/>
      <c r="AC42" s="698"/>
    </row>
    <row r="43" spans="1:31" ht="15.75" thickBot="1">
      <c r="A43" s="448" t="s">
        <v>2431</v>
      </c>
      <c r="B43" s="449"/>
      <c r="C43" s="450">
        <f>R43</f>
        <v>2665</v>
      </c>
      <c r="D43" s="450"/>
      <c r="E43" s="450"/>
      <c r="F43" s="450"/>
      <c r="G43" s="450"/>
      <c r="H43" s="450"/>
      <c r="I43" s="450"/>
      <c r="J43" s="450"/>
      <c r="K43" s="723"/>
      <c r="L43" s="2920"/>
      <c r="M43" s="2912"/>
      <c r="N43" s="2912"/>
      <c r="O43" s="2921"/>
      <c r="P43" s="3416" t="str">
        <f>A43</f>
        <v>估价对象XX用房的比较价值（楼面单价，元/平方米）</v>
      </c>
      <c r="Q43" s="3417"/>
      <c r="R43" s="3418">
        <f>ROUND(IF(D42="简单平均",AVERAGE(R42:W42),R42*F42+T42*H42+V42*J42),0)</f>
        <v>2665</v>
      </c>
      <c r="S43" s="3418"/>
      <c r="T43" s="3418"/>
      <c r="U43" s="3418"/>
      <c r="V43" s="3418"/>
      <c r="W43" s="3418"/>
      <c r="X43" s="698"/>
      <c r="Y43" s="698"/>
      <c r="Z43" s="698"/>
      <c r="AA43" s="698"/>
      <c r="AB43" s="698"/>
      <c r="AC43" s="698"/>
    </row>
    <row r="44" spans="1:31">
      <c r="A44" s="2921"/>
      <c r="B44" s="2921"/>
      <c r="C44" s="2921">
        <f>C42*666.67/10000</f>
        <v>177.66755499999999</v>
      </c>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3" t="s">
        <v>2432</v>
      </c>
      <c r="D46" s="454"/>
      <c r="E46" s="455">
        <f>IF(E41&lt;E42,E42/E41-1,E41/E42-1)</f>
        <v>2.3506743737957692E-2</v>
      </c>
      <c r="F46" s="456" t="str">
        <f>IF(OR(E46&gt;=0.3,E46&lt;=-0.3),"超过30%","")</f>
        <v/>
      </c>
      <c r="G46" s="455">
        <f>IF(G41&lt;G42,G42/G41-1,G41/G42-1)</f>
        <v>5.5643879173290944E-2</v>
      </c>
      <c r="H46" s="456" t="str">
        <f>IF(OR(G46&gt;=0.3,G46&lt;=-0.3),"超过30%","")</f>
        <v/>
      </c>
      <c r="I46" s="455">
        <f>IF(I41&lt;I42,I42/I41-1,I41/I42-1)</f>
        <v>6.6772655007949044E-2</v>
      </c>
      <c r="J46" s="456" t="str">
        <f>IF(OR(I46&gt;=0.3,I46&lt;=-0.3),"超过30%","")</f>
        <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3" t="s">
        <v>2433</v>
      </c>
      <c r="D47" s="457"/>
      <c r="E47" s="455">
        <f>IF(E42&lt;G42,G42/E42-1,E42/G42-1)</f>
        <v>0</v>
      </c>
      <c r="F47" s="456" t="str">
        <f>IF(OR(E47&gt;=0.2,E47&lt;=-0.2),"超过20%","")</f>
        <v/>
      </c>
      <c r="G47" s="455">
        <f>IF(G42&lt;I42,I42/G42-1,G42/I42-1)</f>
        <v>1.0542168674698704E-2</v>
      </c>
      <c r="H47" s="456" t="str">
        <f>IF(OR(G47&gt;=0.2,G47&lt;=-0.2),"超过20%","")</f>
        <v/>
      </c>
      <c r="I47" s="455">
        <f>IF(I42&lt;E42,E42/I42-1,I42/E42-1)</f>
        <v>1.0542168674698704E-2</v>
      </c>
      <c r="J47" s="456" t="str">
        <f>IF(OR(I47&gt;=0.2,I47&lt;=-0.2),"超过20%","")</f>
        <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c r="A48" s="2924"/>
      <c r="B48" s="2924"/>
      <c r="C48" s="453" t="s">
        <v>2434</v>
      </c>
      <c r="D48" s="457"/>
      <c r="E48" s="455">
        <f>IF(E41&lt;G41,G41/E41-1,E41/G41-1)</f>
        <v>3.1399046104928496E-2</v>
      </c>
      <c r="F48" s="456" t="str">
        <f>IF(OR(E48&gt;=0.3,E48&lt;=-0.3),"超过30%","")</f>
        <v/>
      </c>
      <c r="G48" s="455">
        <f>IF(G41&lt;I41,I41/G41-1,G41/I41-1)</f>
        <v>0</v>
      </c>
      <c r="H48" s="456" t="str">
        <f>IF(OR(G48&gt;=0.3,G48&lt;=-0.3),"超过30%","")</f>
        <v/>
      </c>
      <c r="I48" s="455">
        <f>IF(I41&lt;E41,E41/I41-1,I41/E41-1)</f>
        <v>3.1399046104928496E-2</v>
      </c>
      <c r="J48" s="456" t="str">
        <f>IF(OR(I48&gt;=0.3,I48&lt;=-0.3),"超过30%","")</f>
        <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5"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39" t="s">
        <v>2519</v>
      </c>
      <c r="B50" s="640" t="s">
        <v>2520</v>
      </c>
      <c r="C50" s="2138" t="s">
        <v>2521</v>
      </c>
      <c r="D50" s="2139" t="s">
        <v>2522</v>
      </c>
      <c r="E50" s="641" t="s">
        <v>2523</v>
      </c>
      <c r="F50" s="642" t="s">
        <v>2524</v>
      </c>
      <c r="G50" s="3429" t="s">
        <v>2525</v>
      </c>
      <c r="H50" s="3443"/>
      <c r="I50" s="1509" t="s">
        <v>2561</v>
      </c>
      <c r="J50" s="1509">
        <f>项目基本情况!F35</f>
        <v>0</v>
      </c>
      <c r="K50" s="2141"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c r="A51" s="643" t="s">
        <v>2528</v>
      </c>
      <c r="B51" s="644">
        <f>C43</f>
        <v>2665</v>
      </c>
      <c r="C51" s="645">
        <v>1</v>
      </c>
      <c r="D51" s="1074">
        <v>1</v>
      </c>
      <c r="E51" s="645">
        <f>'数据-汇总表'!E8+'数据-汇总表'!E9</f>
        <v>14258.11</v>
      </c>
      <c r="F51" s="646">
        <f t="shared" ref="F51:F60" si="15">ROUND(B51*E51/10000,0)</f>
        <v>3800</v>
      </c>
      <c r="G51" s="3444"/>
      <c r="H51" s="3419"/>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c r="A52" s="648" t="s">
        <v>2529</v>
      </c>
      <c r="B52" s="223">
        <f>ROUND($C$43*C52*D52,0)</f>
        <v>0</v>
      </c>
      <c r="C52" s="175">
        <f t="shared" ref="C52:C60" si="16">IF($C$50="北京市系数",I52,J52)</f>
        <v>0</v>
      </c>
      <c r="D52" s="1075">
        <v>0.25</v>
      </c>
      <c r="E52" s="649"/>
      <c r="F52" s="646">
        <f t="shared" si="15"/>
        <v>0</v>
      </c>
      <c r="G52" s="3445" t="s">
        <v>2530</v>
      </c>
      <c r="H52" s="1017">
        <f>项目基本情况!B37</f>
        <v>0</v>
      </c>
      <c r="I52" s="878">
        <f>SUMIF(修正!A45:A56,H52,修正!B45:B56)</f>
        <v>0</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c r="A53" s="648" t="s">
        <v>2531</v>
      </c>
      <c r="B53" s="223">
        <f t="shared" ref="B53:B60" si="17">ROUND($C$43*C53*D53,0)</f>
        <v>0</v>
      </c>
      <c r="C53" s="175">
        <f t="shared" si="16"/>
        <v>0</v>
      </c>
      <c r="D53" s="1075">
        <v>0.25</v>
      </c>
      <c r="E53" s="649"/>
      <c r="F53" s="646">
        <f t="shared" si="15"/>
        <v>0</v>
      </c>
      <c r="G53" s="3445"/>
      <c r="H53" s="1017">
        <f>项目基本情况!B37</f>
        <v>0</v>
      </c>
      <c r="I53" s="878">
        <f>SUMIF(修正!A45:A56,H53,修正!C45:C56)</f>
        <v>0</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c r="A54" s="648" t="s">
        <v>2532</v>
      </c>
      <c r="B54" s="223">
        <f t="shared" si="17"/>
        <v>0</v>
      </c>
      <c r="C54" s="175">
        <f t="shared" si="16"/>
        <v>0</v>
      </c>
      <c r="D54" s="1075">
        <v>0.25</v>
      </c>
      <c r="E54" s="649"/>
      <c r="F54" s="646">
        <f t="shared" si="15"/>
        <v>0</v>
      </c>
      <c r="G54" s="3445"/>
      <c r="H54" s="1017">
        <f>项目基本情况!B37</f>
        <v>0</v>
      </c>
      <c r="I54" s="878">
        <f>SUMIF(修正!A45:A56,H54,修正!D45:D56)</f>
        <v>0</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c r="A55" s="648" t="s">
        <v>2533</v>
      </c>
      <c r="B55" s="223">
        <f t="shared" si="17"/>
        <v>0</v>
      </c>
      <c r="C55" s="175">
        <f t="shared" si="16"/>
        <v>0</v>
      </c>
      <c r="D55" s="1075">
        <v>0.25</v>
      </c>
      <c r="E55" s="649"/>
      <c r="F55" s="646">
        <f t="shared" si="15"/>
        <v>0</v>
      </c>
      <c r="G55" s="3445"/>
      <c r="H55" s="1017">
        <f>项目基本情况!B37</f>
        <v>0</v>
      </c>
      <c r="I55" s="878">
        <f>SUMIF(修正!A45:A56,H55,修正!E45:E56)</f>
        <v>0</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c r="A56" s="648" t="s">
        <v>2534</v>
      </c>
      <c r="B56" s="223">
        <f t="shared" si="17"/>
        <v>0</v>
      </c>
      <c r="C56" s="175">
        <f t="shared" si="16"/>
        <v>0</v>
      </c>
      <c r="D56" s="1075">
        <v>0.25</v>
      </c>
      <c r="E56" s="222">
        <f>'数据-汇总表'!E11</f>
        <v>0</v>
      </c>
      <c r="F56" s="646">
        <f t="shared" si="15"/>
        <v>0</v>
      </c>
      <c r="G56" s="2142" t="s">
        <v>2535</v>
      </c>
      <c r="H56" s="1017">
        <f>项目基本情况!C37</f>
        <v>0</v>
      </c>
      <c r="I56" s="878">
        <f>SUMIF(修正!A45:A56,H56,修正!F45:F56)</f>
        <v>0</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c r="A57" s="648" t="s">
        <v>2536</v>
      </c>
      <c r="B57" s="223">
        <f t="shared" si="17"/>
        <v>167</v>
      </c>
      <c r="C57" s="175">
        <f t="shared" si="16"/>
        <v>0.25</v>
      </c>
      <c r="D57" s="1075">
        <v>0.25</v>
      </c>
      <c r="E57" s="222">
        <f>'数据-汇总表'!E12</f>
        <v>2851.619999999999</v>
      </c>
      <c r="F57" s="3221">
        <f t="shared" si="15"/>
        <v>48</v>
      </c>
      <c r="G57" s="1022" t="s">
        <v>6</v>
      </c>
      <c r="H57" s="1017" t="str">
        <f>IF(G57="商业",项目基本情况!B37,IF(G57="办公",项目基本情况!C37,IF(G57="住宅",项目基本情况!D37,项目基本情况!E37)))</f>
        <v>七级</v>
      </c>
      <c r="I57" s="878">
        <f>SUMIF(修正!A45:A56,H57,修正!G45:G56)</f>
        <v>0.25</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c r="A58" s="648" t="s">
        <v>2538</v>
      </c>
      <c r="B58" s="223">
        <f t="shared" si="17"/>
        <v>133</v>
      </c>
      <c r="C58" s="175">
        <f t="shared" si="16"/>
        <v>0.2</v>
      </c>
      <c r="D58" s="1075">
        <v>0.25</v>
      </c>
      <c r="E58" s="222">
        <f>'数据-汇总表'!E13</f>
        <v>0</v>
      </c>
      <c r="F58" s="646">
        <f t="shared" si="15"/>
        <v>0</v>
      </c>
      <c r="G58" s="1022" t="s">
        <v>6</v>
      </c>
      <c r="H58" s="1017" t="str">
        <f>IF(G58="商业",项目基本情况!B37,IF(G58="办公",项目基本情况!C37,IF(G58="住宅",项目基本情况!D37,项目基本情况!E37)))</f>
        <v>七级</v>
      </c>
      <c r="I58" s="878">
        <f>SUMIF(修正!A45:A56,H58,修正!H45:H56)</f>
        <v>0.2</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c r="A59" s="648" t="s">
        <v>2540</v>
      </c>
      <c r="B59" s="223">
        <f t="shared" si="17"/>
        <v>0</v>
      </c>
      <c r="C59" s="175">
        <f t="shared" si="16"/>
        <v>0</v>
      </c>
      <c r="D59" s="1075">
        <v>0.25</v>
      </c>
      <c r="E59" s="222">
        <f>'数据-汇总表'!E14</f>
        <v>0</v>
      </c>
      <c r="F59" s="646">
        <f t="shared" si="15"/>
        <v>0</v>
      </c>
      <c r="G59" s="2142" t="s">
        <v>2530</v>
      </c>
      <c r="H59" s="1017">
        <f>项目基本情况!B37</f>
        <v>0</v>
      </c>
      <c r="I59" s="878">
        <f>SUMIF(修正!A45:A56,H59,修正!H45:H56)</f>
        <v>0</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5" thickBot="1">
      <c r="A60" s="648" t="s">
        <v>2541</v>
      </c>
      <c r="B60" s="223">
        <f t="shared" si="17"/>
        <v>0</v>
      </c>
      <c r="C60" s="175">
        <f t="shared" si="16"/>
        <v>0</v>
      </c>
      <c r="D60" s="1075">
        <v>0.25</v>
      </c>
      <c r="E60" s="222">
        <f>'数据-汇总表'!E15</f>
        <v>0</v>
      </c>
      <c r="F60" s="646">
        <f t="shared" si="15"/>
        <v>0</v>
      </c>
      <c r="G60" s="2143" t="s">
        <v>2535</v>
      </c>
      <c r="H60" s="1027">
        <f>项目基本情况!C37</f>
        <v>0</v>
      </c>
      <c r="I60" s="878">
        <f>SUMIF(修正!A45:A56,H60,修正!H45:H56)</f>
        <v>0</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5" thickBot="1">
      <c r="A61" s="650" t="s">
        <v>2542</v>
      </c>
      <c r="B61" s="651" t="s">
        <v>28</v>
      </c>
      <c r="C61" s="651" t="s">
        <v>29</v>
      </c>
      <c r="D61" s="651" t="s">
        <v>997</v>
      </c>
      <c r="E61" s="651">
        <f>IF(B41="楼面地价",SUM(E51:E60),'数据-汇总表'!D3)</f>
        <v>17109.73</v>
      </c>
      <c r="F61" s="652">
        <f>IF(B41="楼面地价",SUM(F51:F60),ROUND(C43*E61/10000,0))</f>
        <v>3848</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1"/>
      <c r="Q63" s="2921"/>
      <c r="R63" s="2921"/>
      <c r="S63" s="2921"/>
      <c r="T63" s="2921"/>
      <c r="U63" s="2921"/>
      <c r="V63" s="2921"/>
      <c r="W63" s="2921"/>
      <c r="X63" s="2921"/>
      <c r="Y63" s="2921"/>
      <c r="Z63" s="2921"/>
      <c r="AA63" s="2921"/>
      <c r="AB63" s="2921"/>
      <c r="AC63" s="2921"/>
      <c r="AD63" s="2921"/>
      <c r="AE63" s="2921"/>
    </row>
    <row r="64" spans="1:31" ht="21.75" thickBot="1">
      <c r="A64" s="702" t="s">
        <v>2435</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ht="15">
      <c r="A65" s="2144" t="s">
        <v>2543</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2"/>
      <c r="Q65" s="2937"/>
      <c r="R65" s="2937"/>
      <c r="S65" s="2937"/>
      <c r="T65" s="2937"/>
      <c r="U65" s="2937"/>
      <c r="V65" s="2937"/>
      <c r="W65" s="2937"/>
      <c r="X65" s="2937"/>
      <c r="Y65" s="2937"/>
      <c r="Z65" s="2937"/>
      <c r="AA65" s="2937"/>
      <c r="AB65" s="2937"/>
      <c r="AC65" s="2937"/>
      <c r="AD65" s="2937"/>
      <c r="AE65" s="2937"/>
    </row>
    <row r="66" spans="1:31" s="112" customFormat="1" ht="30.75" customHeight="1">
      <c r="A66" s="2149" t="s">
        <v>2562</v>
      </c>
      <c r="B66" s="293" t="str">
        <f>"北京市平均增长率"&amp;TEXT(基准地价修正!P24,"0.00%")</f>
        <v>北京市平均增长率1.18%</v>
      </c>
      <c r="C66" s="559">
        <v>100</v>
      </c>
      <c r="D66" s="551">
        <f>C66-$C$67</f>
        <v>99.5</v>
      </c>
      <c r="E66" s="551">
        <f t="shared" ref="E66:M66" si="20">D66-$C$67</f>
        <v>99</v>
      </c>
      <c r="F66" s="551">
        <f t="shared" si="20"/>
        <v>98.5</v>
      </c>
      <c r="G66" s="551">
        <f t="shared" si="20"/>
        <v>98</v>
      </c>
      <c r="H66" s="551">
        <f t="shared" si="20"/>
        <v>97.5</v>
      </c>
      <c r="I66" s="551">
        <f t="shared" si="20"/>
        <v>97</v>
      </c>
      <c r="J66" s="551">
        <f t="shared" si="20"/>
        <v>96.5</v>
      </c>
      <c r="K66" s="551">
        <f t="shared" si="20"/>
        <v>96</v>
      </c>
      <c r="L66" s="551">
        <f t="shared" si="20"/>
        <v>95.5</v>
      </c>
      <c r="M66" s="551">
        <f t="shared" si="20"/>
        <v>95</v>
      </c>
      <c r="N66" s="1311"/>
      <c r="O66" s="1313"/>
      <c r="P66" s="2935"/>
      <c r="Q66" s="2855"/>
      <c r="R66" s="2855"/>
      <c r="S66" s="2855"/>
      <c r="T66" s="2855"/>
      <c r="U66" s="2855"/>
      <c r="V66" s="2855"/>
      <c r="W66" s="2855"/>
      <c r="X66" s="2855"/>
      <c r="Y66" s="2855"/>
      <c r="Z66" s="2855"/>
      <c r="AA66" s="2855"/>
      <c r="AB66" s="2855"/>
      <c r="AC66" s="2855"/>
      <c r="AD66" s="2855"/>
      <c r="AE66" s="2855"/>
    </row>
    <row r="67" spans="1:31" s="112" customFormat="1" ht="15.75" thickBot="1">
      <c r="A67" s="471" t="s">
        <v>2346</v>
      </c>
      <c r="B67" s="472"/>
      <c r="C67" s="473">
        <v>0.5</v>
      </c>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2" customFormat="1" ht="15">
      <c r="A68" s="477" t="s">
        <v>2311</v>
      </c>
      <c r="B68" s="466"/>
      <c r="C68" s="478" t="s">
        <v>2413</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2" customFormat="1" ht="15.75" thickBot="1">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c r="A70" s="483" t="s">
        <v>2349</v>
      </c>
      <c r="B70" s="484" t="s">
        <v>2315</v>
      </c>
      <c r="C70" s="3214" t="s">
        <v>3201</v>
      </c>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0"/>
      <c r="B72" s="494" t="s">
        <v>2318</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0"/>
      <c r="B74" s="502" t="s">
        <v>2319</v>
      </c>
      <c r="C74" s="503" t="str">
        <f>C75&amp;"（含）"&amp;"-"&amp;D75</f>
        <v>0（含）-2</v>
      </c>
      <c r="D74" s="503" t="str">
        <f t="shared" ref="D74:L74" si="21">D75&amp;"（含）"&amp;"-"&amp;E75</f>
        <v>2（含）-</v>
      </c>
      <c r="E74" s="503" t="str">
        <f t="shared" si="21"/>
        <v>（含）-</v>
      </c>
      <c r="F74" s="503" t="str">
        <f t="shared" si="21"/>
        <v>（含）-</v>
      </c>
      <c r="G74" s="503" t="str">
        <f t="shared" si="21"/>
        <v>（含）-</v>
      </c>
      <c r="H74" s="503" t="str">
        <f t="shared" si="21"/>
        <v>（含）-</v>
      </c>
      <c r="I74" s="503" t="str">
        <f t="shared" si="21"/>
        <v>（含）-</v>
      </c>
      <c r="J74" s="503" t="str">
        <f t="shared" si="21"/>
        <v>（含）-</v>
      </c>
      <c r="K74" s="503" t="str">
        <f t="shared" si="21"/>
        <v>（含）-</v>
      </c>
      <c r="L74" s="503" t="str">
        <f t="shared" si="21"/>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0"/>
      <c r="B75" s="504"/>
      <c r="C75" s="505">
        <v>0</v>
      </c>
      <c r="D75" s="505">
        <v>2</v>
      </c>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0"/>
      <c r="B76" s="491"/>
      <c r="C76" s="500">
        <v>100</v>
      </c>
      <c r="D76" s="500">
        <f>IF($B$41="单位面积地价",C76+$K11,C76-$K11)</f>
        <v>100</v>
      </c>
      <c r="E76" s="500">
        <f t="shared" ref="E76:M76" si="22">IF($B$41="单位面积地价",D76+$K11,D76-$K11)</f>
        <v>100</v>
      </c>
      <c r="F76" s="500">
        <f t="shared" si="22"/>
        <v>100</v>
      </c>
      <c r="G76" s="500">
        <f t="shared" si="22"/>
        <v>100</v>
      </c>
      <c r="H76" s="500">
        <f t="shared" si="22"/>
        <v>100</v>
      </c>
      <c r="I76" s="500">
        <f t="shared" si="22"/>
        <v>100</v>
      </c>
      <c r="J76" s="500">
        <f t="shared" si="22"/>
        <v>100</v>
      </c>
      <c r="K76" s="500">
        <f t="shared" si="22"/>
        <v>100</v>
      </c>
      <c r="L76" s="500">
        <f t="shared" si="22"/>
        <v>100</v>
      </c>
      <c r="M76" s="500">
        <f t="shared" si="22"/>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5.75" thickTop="1">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5.75" thickBot="1">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5.75" thickTop="1">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5.75" thickBot="1">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5.75" thickTop="1">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5.75" thickBot="1">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c r="A83" s="483" t="s">
        <v>2320</v>
      </c>
      <c r="B83" s="484" t="s">
        <v>2466</v>
      </c>
      <c r="C83" s="529" t="s">
        <v>2358</v>
      </c>
      <c r="D83" s="529" t="s">
        <v>2359</v>
      </c>
      <c r="E83" s="529" t="s">
        <v>2360</v>
      </c>
      <c r="F83" s="529" t="s">
        <v>2361</v>
      </c>
      <c r="G83" s="529" t="s">
        <v>2362</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0"/>
      <c r="B84" s="499"/>
      <c r="C84" s="500">
        <v>100</v>
      </c>
      <c r="D84" s="500">
        <f>C84-$K15</f>
        <v>97</v>
      </c>
      <c r="E84" s="500">
        <f>D84-$K15</f>
        <v>94</v>
      </c>
      <c r="F84" s="500">
        <f>E84-$K15</f>
        <v>91</v>
      </c>
      <c r="G84" s="500">
        <f>F84-$K15</f>
        <v>88</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0"/>
      <c r="B85" s="494" t="s">
        <v>2363</v>
      </c>
      <c r="C85" s="534" t="s">
        <v>2358</v>
      </c>
      <c r="D85" s="534" t="s">
        <v>2359</v>
      </c>
      <c r="E85" s="534" t="s">
        <v>2360</v>
      </c>
      <c r="F85" s="534" t="s">
        <v>2361</v>
      </c>
      <c r="G85" s="534" t="s">
        <v>2362</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0"/>
      <c r="B86" s="499"/>
      <c r="C86" s="500">
        <v>100</v>
      </c>
      <c r="D86" s="500">
        <f>C86-$K17</f>
        <v>98</v>
      </c>
      <c r="E86" s="500">
        <f>D86-$K17</f>
        <v>96</v>
      </c>
      <c r="F86" s="500">
        <f>E86-$K17</f>
        <v>94</v>
      </c>
      <c r="G86" s="500">
        <f>F86-$K17</f>
        <v>92</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2" customFormat="1" ht="15.75" thickTop="1">
      <c r="A87" s="535"/>
      <c r="B87" s="494" t="s">
        <v>2546</v>
      </c>
      <c r="C87" s="529" t="s">
        <v>2358</v>
      </c>
      <c r="D87" s="529" t="s">
        <v>2359</v>
      </c>
      <c r="E87" s="529" t="s">
        <v>2360</v>
      </c>
      <c r="F87" s="529" t="s">
        <v>2361</v>
      </c>
      <c r="G87" s="529" t="s">
        <v>2362</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2" customFormat="1" ht="15.75" thickBot="1">
      <c r="A88" s="535"/>
      <c r="B88" s="499"/>
      <c r="C88" s="538">
        <v>100</v>
      </c>
      <c r="D88" s="500">
        <f>C88-$K19</f>
        <v>98</v>
      </c>
      <c r="E88" s="500">
        <f>D88-$K19</f>
        <v>96</v>
      </c>
      <c r="F88" s="500">
        <f>E88-$K19</f>
        <v>94</v>
      </c>
      <c r="G88" s="500">
        <f>F88-$K19</f>
        <v>92</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2" customFormat="1" ht="27.75" thickTop="1">
      <c r="A89" s="535"/>
      <c r="B89" s="494" t="s">
        <v>2547</v>
      </c>
      <c r="C89" s="529" t="s">
        <v>2358</v>
      </c>
      <c r="D89" s="529" t="s">
        <v>2359</v>
      </c>
      <c r="E89" s="529" t="s">
        <v>2360</v>
      </c>
      <c r="F89" s="529" t="s">
        <v>2361</v>
      </c>
      <c r="G89" s="529" t="s">
        <v>2362</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2" customFormat="1" ht="15.75" thickBot="1">
      <c r="A90" s="535"/>
      <c r="B90" s="499"/>
      <c r="C90" s="500">
        <v>100</v>
      </c>
      <c r="D90" s="500">
        <f>C90-$K21</f>
        <v>98</v>
      </c>
      <c r="E90" s="500">
        <f>D90-$K21</f>
        <v>96</v>
      </c>
      <c r="F90" s="500">
        <f>E90-$K21</f>
        <v>94</v>
      </c>
      <c r="G90" s="500">
        <f>F90-$K21</f>
        <v>92</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5.75" thickBot="1">
      <c r="A94" s="509"/>
      <c r="B94" s="502"/>
      <c r="C94" s="500">
        <v>100</v>
      </c>
      <c r="D94" s="500">
        <f>C94-$K25</f>
        <v>98</v>
      </c>
      <c r="E94" s="500">
        <f>D94-$K25</f>
        <v>96</v>
      </c>
      <c r="F94" s="500">
        <f>E94-$K25</f>
        <v>94</v>
      </c>
      <c r="G94" s="500">
        <f>F94-$K25</f>
        <v>92</v>
      </c>
      <c r="H94" s="504"/>
      <c r="I94" s="504"/>
      <c r="J94" s="504"/>
      <c r="K94" s="504"/>
      <c r="L94" s="504"/>
      <c r="M94" s="1265"/>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0"/>
      <c r="B95" s="494" t="str">
        <f>B27</f>
        <v>临街状况</v>
      </c>
      <c r="C95" s="495" t="s">
        <v>2548</v>
      </c>
      <c r="D95" s="495" t="s">
        <v>2549</v>
      </c>
      <c r="E95" s="495" t="s">
        <v>2550</v>
      </c>
      <c r="F95" s="495" t="s">
        <v>2551</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0"/>
      <c r="B97" s="494" t="s">
        <v>2452</v>
      </c>
      <c r="C97" s="3215" t="s">
        <v>3203</v>
      </c>
      <c r="D97" s="3215" t="s">
        <v>3204</v>
      </c>
      <c r="E97" s="3215" t="s">
        <v>3206</v>
      </c>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0"/>
      <c r="B98" s="499"/>
      <c r="C98" s="500">
        <v>100</v>
      </c>
      <c r="D98" s="500">
        <f t="shared" ref="D98:M98" si="24">C98-$K28</f>
        <v>98</v>
      </c>
      <c r="E98" s="500">
        <f t="shared" si="24"/>
        <v>96</v>
      </c>
      <c r="F98" s="500">
        <f t="shared" si="24"/>
        <v>94</v>
      </c>
      <c r="G98" s="500">
        <f t="shared" si="24"/>
        <v>92</v>
      </c>
      <c r="H98" s="500">
        <f t="shared" si="24"/>
        <v>90</v>
      </c>
      <c r="I98" s="500">
        <f t="shared" si="24"/>
        <v>88</v>
      </c>
      <c r="J98" s="500">
        <f t="shared" si="24"/>
        <v>86</v>
      </c>
      <c r="K98" s="500">
        <f t="shared" si="24"/>
        <v>84</v>
      </c>
      <c r="L98" s="500">
        <f t="shared" si="24"/>
        <v>82</v>
      </c>
      <c r="M98" s="500">
        <f t="shared" si="24"/>
        <v>80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0"/>
      <c r="B99" s="494" t="s">
        <v>2511</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5" thickTop="1">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5.75" thickBot="1">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28.5">
      <c r="A107" s="483" t="s">
        <v>2324</v>
      </c>
      <c r="B107" s="484" t="s">
        <v>2552</v>
      </c>
      <c r="C107" s="485" t="str">
        <f t="shared" ref="C107:L107" si="26">C108&amp;"(含)"&amp;"-"&amp;D108</f>
        <v>0(含)-20000</v>
      </c>
      <c r="D107" s="485" t="str">
        <f t="shared" si="26"/>
        <v>20000(含)-40000</v>
      </c>
      <c r="E107" s="485" t="str">
        <f t="shared" si="26"/>
        <v>40000(含)-60000</v>
      </c>
      <c r="F107" s="485" t="str">
        <f t="shared" si="26"/>
        <v>60000(含)-80000</v>
      </c>
      <c r="G107" s="485" t="str">
        <f t="shared" si="26"/>
        <v>80000(含)-</v>
      </c>
      <c r="H107" s="485" t="str">
        <f t="shared" si="26"/>
        <v>(含)-</v>
      </c>
      <c r="I107" s="485" t="str">
        <f t="shared" si="26"/>
        <v>(含)-</v>
      </c>
      <c r="J107" s="485" t="str">
        <f t="shared" si="26"/>
        <v>(含)-</v>
      </c>
      <c r="K107" s="1472" t="str">
        <f t="shared" si="26"/>
        <v>(含)-</v>
      </c>
      <c r="L107" s="1472" t="str">
        <f t="shared" si="26"/>
        <v>(含)-</v>
      </c>
      <c r="M107" s="1473"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0"/>
      <c r="B108" s="502"/>
      <c r="C108" s="551">
        <v>0</v>
      </c>
      <c r="D108" s="551">
        <v>20000</v>
      </c>
      <c r="E108" s="551">
        <v>40000</v>
      </c>
      <c r="F108" s="551">
        <v>60000</v>
      </c>
      <c r="G108" s="551">
        <v>80000</v>
      </c>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0"/>
      <c r="B109" s="499"/>
      <c r="C109" s="526">
        <v>100</v>
      </c>
      <c r="D109" s="547">
        <v>101</v>
      </c>
      <c r="E109" s="547">
        <v>102</v>
      </c>
      <c r="F109" s="547">
        <v>103</v>
      </c>
      <c r="G109" s="547">
        <v>104</v>
      </c>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5"/>
      <c r="B110" s="494" t="s">
        <v>2553</v>
      </c>
      <c r="C110" s="3216" t="s">
        <v>3211</v>
      </c>
      <c r="D110" s="3216" t="s">
        <v>3213</v>
      </c>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c r="A112" s="549"/>
      <c r="B112" s="494" t="s">
        <v>2555</v>
      </c>
      <c r="C112" s="3215" t="s">
        <v>3207</v>
      </c>
      <c r="D112" s="3215" t="s">
        <v>3208</v>
      </c>
      <c r="E112" s="3215" t="s">
        <v>3209</v>
      </c>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5.75" thickBot="1">
      <c r="A113" s="509"/>
      <c r="B113" s="499"/>
      <c r="C113" s="500">
        <v>100</v>
      </c>
      <c r="D113" s="500">
        <f t="shared" ref="D113:M113" si="28">C113-$K36</f>
        <v>99</v>
      </c>
      <c r="E113" s="500">
        <f t="shared" si="28"/>
        <v>98</v>
      </c>
      <c r="F113" s="500">
        <f t="shared" si="28"/>
        <v>97</v>
      </c>
      <c r="G113" s="500">
        <f t="shared" si="28"/>
        <v>96</v>
      </c>
      <c r="H113" s="500">
        <f t="shared" si="28"/>
        <v>95</v>
      </c>
      <c r="I113" s="500">
        <f t="shared" si="28"/>
        <v>94</v>
      </c>
      <c r="J113" s="500">
        <f t="shared" si="28"/>
        <v>93</v>
      </c>
      <c r="K113" s="500">
        <f t="shared" si="28"/>
        <v>92</v>
      </c>
      <c r="L113" s="500">
        <f t="shared" si="28"/>
        <v>91</v>
      </c>
      <c r="M113" s="501">
        <f t="shared" si="28"/>
        <v>90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5"/>
      <c r="B114" s="494" t="s">
        <v>2556</v>
      </c>
      <c r="C114" s="3215" t="s">
        <v>3210</v>
      </c>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5" thickTop="1">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5.75" thickBot="1">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1" sqref="J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3125</v>
      </c>
      <c r="D1" s="1515" t="s">
        <v>70</v>
      </c>
      <c r="E1" s="1516" t="s">
        <v>1292</v>
      </c>
      <c r="F1" s="1192">
        <f ca="1">J53</f>
        <v>40.15</v>
      </c>
      <c r="G1" s="1531">
        <f>MATCH(C1,'数据-取费表'!A6:A16,0)+5</f>
        <v>6</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13397</v>
      </c>
      <c r="C2" s="1540" t="s">
        <v>1421</v>
      </c>
      <c r="D2" s="1540"/>
      <c r="E2" s="1541"/>
      <c r="F2" s="1542"/>
      <c r="G2" s="2902"/>
      <c r="H2" s="2891"/>
      <c r="I2" s="2891"/>
      <c r="J2" s="2891"/>
      <c r="K2" s="2892"/>
      <c r="L2" s="2891"/>
      <c r="M2" s="2891"/>
    </row>
    <row r="3" spans="1:37" ht="18" customHeight="1" thickBot="1">
      <c r="A3" s="1543" t="s">
        <v>1422</v>
      </c>
      <c r="B3" s="1544">
        <f ca="1">IF(ISERROR(B2*10000/F43),0,ROUND(B2*10000/F43,0))</f>
        <v>7830</v>
      </c>
      <c r="C3" s="1540" t="s">
        <v>1423</v>
      </c>
      <c r="D3" s="1540"/>
      <c r="E3" s="1541"/>
      <c r="F3" s="1542"/>
      <c r="G3" s="2902"/>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788</v>
      </c>
      <c r="D5" s="1517" t="s">
        <v>1307</v>
      </c>
      <c r="E5" s="1202"/>
      <c r="F5" s="1203"/>
      <c r="G5" s="1537"/>
      <c r="H5" s="304">
        <v>1</v>
      </c>
      <c r="I5" s="305" t="s">
        <v>1306</v>
      </c>
      <c r="J5" s="1201">
        <f ca="1">J6+J10+J12</f>
        <v>0</v>
      </c>
      <c r="K5" s="1517" t="s">
        <v>1307</v>
      </c>
      <c r="L5" s="1202"/>
      <c r="M5" s="1203"/>
    </row>
    <row r="6" spans="1:37" ht="18" customHeight="1">
      <c r="A6" s="1200" t="s">
        <v>1003</v>
      </c>
      <c r="B6" s="3461" t="s">
        <v>1308</v>
      </c>
      <c r="C6" s="1205">
        <f ca="1">ROUND(F6*F8*F7*(1-F9)/10000,0)</f>
        <v>787</v>
      </c>
      <c r="D6" s="159" t="s">
        <v>2788</v>
      </c>
      <c r="E6" s="307" t="s">
        <v>1310</v>
      </c>
      <c r="F6" s="308">
        <f ca="1">INDIRECT("'数据-取费表'!u"&amp;$G$1)</f>
        <v>1.4</v>
      </c>
      <c r="G6" s="1537"/>
      <c r="H6" s="1200" t="s">
        <v>1003</v>
      </c>
      <c r="I6" s="3461" t="s">
        <v>1308</v>
      </c>
      <c r="J6" s="306">
        <f ca="1">ROUND(M6*M8*M7*(1-M9)/10000,0)</f>
        <v>0</v>
      </c>
      <c r="K6" s="159" t="s">
        <v>2787</v>
      </c>
      <c r="L6" s="307" t="s">
        <v>1310</v>
      </c>
      <c r="M6" s="308">
        <f ca="1">INDIRECT("'数据-取费表'!z"&amp;$G$1)</f>
        <v>0</v>
      </c>
    </row>
    <row r="7" spans="1:37" ht="18" customHeight="1">
      <c r="A7" s="1204"/>
      <c r="B7" s="3462"/>
      <c r="C7" s="1206"/>
      <c r="D7" s="312"/>
      <c r="E7" s="1207" t="s">
        <v>1311</v>
      </c>
      <c r="F7" s="308">
        <f ca="1">IF(INDIRECT("'数据-取费表'!ah"&amp;$G$1)="",INDIRECT("'数据-取费表'!k"&amp;$G$1),INDIRECT("'数据-取费表'!ah"&amp;$G$1))</f>
        <v>17109.73</v>
      </c>
      <c r="G7" s="1537"/>
      <c r="H7" s="309"/>
      <c r="I7" s="3462"/>
      <c r="J7" s="311"/>
      <c r="K7" s="312"/>
      <c r="L7" s="307" t="s">
        <v>1311</v>
      </c>
      <c r="M7" s="308">
        <f ca="1">F7</f>
        <v>17109.73</v>
      </c>
    </row>
    <row r="8" spans="1:37" ht="18" customHeight="1">
      <c r="A8" s="309"/>
      <c r="B8" s="3462"/>
      <c r="C8" s="311"/>
      <c r="D8" s="312"/>
      <c r="E8" s="307" t="s">
        <v>1312</v>
      </c>
      <c r="F8" s="308">
        <f ca="1">INDIRECT("'数据-取费表'!ai"&amp;$G$1)</f>
        <v>365</v>
      </c>
      <c r="G8" s="1537"/>
      <c r="H8" s="309"/>
      <c r="I8" s="3462"/>
      <c r="J8" s="311"/>
      <c r="K8" s="312"/>
      <c r="L8" s="307" t="s">
        <v>1312</v>
      </c>
      <c r="M8" s="308">
        <f ca="1">INDIRECT("'数据-取费表'!ai"&amp;$G$1)</f>
        <v>365</v>
      </c>
    </row>
    <row r="9" spans="1:37" ht="18" customHeight="1">
      <c r="A9" s="309"/>
      <c r="B9" s="3463"/>
      <c r="C9" s="311"/>
      <c r="D9" s="312"/>
      <c r="E9" s="307" t="s">
        <v>1313</v>
      </c>
      <c r="F9" s="317">
        <f ca="1">INDIRECT("'数据-取费表'!w"&amp;$G$1)</f>
        <v>0.1</v>
      </c>
      <c r="G9" s="1537"/>
      <c r="H9" s="309"/>
      <c r="I9" s="3463"/>
      <c r="J9" s="311"/>
      <c r="K9" s="312"/>
      <c r="L9" s="318" t="s">
        <v>1313</v>
      </c>
      <c r="M9" s="319">
        <f ca="1">INDIRECT("'数据-取费表'!ab"&amp;$G$1)</f>
        <v>0</v>
      </c>
    </row>
    <row r="10" spans="1:37" ht="18" customHeight="1">
      <c r="A10" s="1200" t="s">
        <v>1007</v>
      </c>
      <c r="B10" s="1518" t="s">
        <v>1314</v>
      </c>
      <c r="C10" s="321">
        <f ca="1">ROUND(IF(F10="押一",C6/12*F11,IF(F10="押二",C6/12*2*F11,IF(F10="押三",C6/12*3*F11,C11*F11))),0)</f>
        <v>1</v>
      </c>
      <c r="D10" s="1519" t="s">
        <v>2796</v>
      </c>
      <c r="E10" s="318" t="s">
        <v>1315</v>
      </c>
      <c r="F10" s="1247" t="s">
        <v>3215</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6119</v>
      </c>
      <c r="D13" s="1212" t="s">
        <v>1320</v>
      </c>
      <c r="E13" s="1212" t="s">
        <v>1321</v>
      </c>
      <c r="F13" s="1213">
        <f ca="1">INDIRECT("'数据-取费表'!y"&amp;$G$1)</f>
        <v>0.87</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5133</v>
      </c>
      <c r="D14" s="1498" t="s">
        <v>1323</v>
      </c>
      <c r="E14" s="1495"/>
      <c r="F14" s="324"/>
      <c r="G14" s="1537"/>
      <c r="H14" s="1112" t="s">
        <v>1003</v>
      </c>
      <c r="I14" s="307" t="s">
        <v>1324</v>
      </c>
      <c r="J14" s="23">
        <f ca="1">C29</f>
        <v>7033</v>
      </c>
      <c r="K14" s="14"/>
      <c r="L14" s="915"/>
      <c r="M14" s="916"/>
    </row>
    <row r="15" spans="1:37" s="1550" customFormat="1" ht="18" customHeight="1" thickBot="1">
      <c r="A15" s="1112" t="s">
        <v>1004</v>
      </c>
      <c r="B15" s="307" t="s">
        <v>1325</v>
      </c>
      <c r="C15" s="23">
        <f ca="1">ROUND(C14*F15,0)</f>
        <v>154</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3">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165</v>
      </c>
      <c r="K16" s="1218" t="s">
        <v>1330</v>
      </c>
      <c r="L16" s="1219"/>
      <c r="M16" s="1203"/>
    </row>
    <row r="17" spans="1:37" s="1550" customFormat="1" ht="18" customHeight="1">
      <c r="A17" s="1112" t="s">
        <v>1295</v>
      </c>
      <c r="B17" s="307" t="s">
        <v>1331</v>
      </c>
      <c r="C17" s="23">
        <f ca="1">ROUND(F17*(F43+INDIRECT("'数据-取费表'!S"&amp;$G$1))/10000,0)</f>
        <v>342</v>
      </c>
      <c r="D17" s="307" t="s">
        <v>1332</v>
      </c>
      <c r="E17" s="307" t="s">
        <v>1333</v>
      </c>
      <c r="F17" s="25">
        <f>'数据-取费表'!B35</f>
        <v>200</v>
      </c>
      <c r="G17" s="1549"/>
      <c r="H17" s="1112" t="s">
        <v>1003</v>
      </c>
      <c r="I17" s="307" t="s">
        <v>1334</v>
      </c>
      <c r="J17" s="2503">
        <f ca="1">ROUND(IF(AND(项目基本情况!B11="自然人",项目基本情况!B10="北京市"),J6*M17/(1+'数据-取费表'!C42),J18+J19+J20),0)</f>
        <v>59</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3">
        <f ca="1">ROUND(C14*F18,0)</f>
        <v>77</v>
      </c>
      <c r="D18" s="307" t="s">
        <v>1326</v>
      </c>
      <c r="E18" s="307" t="s">
        <v>1327</v>
      </c>
      <c r="F18" s="327">
        <f>'数据-取费表'!B36</f>
        <v>1.4999999999999999E-2</v>
      </c>
      <c r="G18" s="1549"/>
      <c r="H18" s="1112" t="s">
        <v>1002</v>
      </c>
      <c r="I18" s="307" t="s">
        <v>1338</v>
      </c>
      <c r="J18" s="23">
        <f ca="1">ROUND(J6*M18/(1+'数据-取费表'!C42),2)</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3">
        <f ca="1">SUM(C14:C18)</f>
        <v>5706</v>
      </c>
      <c r="D19" s="135" t="s">
        <v>1341</v>
      </c>
      <c r="E19" s="1513"/>
      <c r="F19" s="25"/>
      <c r="G19" s="1537"/>
      <c r="H19" s="1112" t="s">
        <v>1004</v>
      </c>
      <c r="I19" s="307" t="s">
        <v>1342</v>
      </c>
      <c r="J19" s="23">
        <f ca="1">IF(K19="按租金收入计税",ROUND(J6*M19/(1+'数据-取费表'!C42),2),ROUND(C29*M19*0.7,2))</f>
        <v>59.08</v>
      </c>
      <c r="K19" s="1523" t="s">
        <v>1343</v>
      </c>
      <c r="L19" s="307" t="s">
        <v>1327</v>
      </c>
      <c r="M19" s="327">
        <f>IF(K19="按租金收入计税",'数据-取费表'!B51,'数据-取费表'!B50)</f>
        <v>1.2E-2</v>
      </c>
    </row>
    <row r="20" spans="1:37" s="1550" customFormat="1" ht="18" customHeight="1">
      <c r="A20" s="1112" t="s">
        <v>1007</v>
      </c>
      <c r="B20" s="307" t="s">
        <v>1344</v>
      </c>
      <c r="C20" s="23">
        <f ca="1">ROUND(C19*F20,0)</f>
        <v>114</v>
      </c>
      <c r="D20" s="328" t="s">
        <v>1345</v>
      </c>
      <c r="E20" s="307" t="s">
        <v>1327</v>
      </c>
      <c r="F20" s="327">
        <f>'数据-取费表'!B37</f>
        <v>0.02</v>
      </c>
      <c r="G20" s="1549"/>
      <c r="H20" s="1112" t="s">
        <v>1294</v>
      </c>
      <c r="I20" s="159" t="s">
        <v>1346</v>
      </c>
      <c r="J20" s="24">
        <f ca="1">ROUND(M20*M21/10000,2)</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3" t="s">
        <v>18</v>
      </c>
      <c r="D21" s="328" t="s">
        <v>1350</v>
      </c>
      <c r="E21" s="307" t="s">
        <v>1351</v>
      </c>
      <c r="F21" s="327">
        <f>'数据-取费表'!B38</f>
        <v>0.01</v>
      </c>
      <c r="G21" s="1549"/>
      <c r="H21" s="331"/>
      <c r="I21" s="316"/>
      <c r="J21" s="28"/>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3"/>
      <c r="F22" s="25"/>
      <c r="G22" s="1537"/>
      <c r="H22" s="1112" t="s">
        <v>1007</v>
      </c>
      <c r="I22" s="307" t="s">
        <v>1354</v>
      </c>
      <c r="J22" s="23">
        <f ca="1">ROUND(J14*M22,1)</f>
        <v>105.5</v>
      </c>
      <c r="K22" s="1497" t="s">
        <v>1355</v>
      </c>
      <c r="L22" s="307" t="s">
        <v>1327</v>
      </c>
      <c r="M22" s="333">
        <f ca="1">INDIRECT("'数据-取费表'!Ak"&amp;$G$1)</f>
        <v>1.4999999999999999E-2</v>
      </c>
    </row>
    <row r="23" spans="1:37" s="1550" customFormat="1" ht="18" customHeight="1">
      <c r="A23" s="1112" t="s">
        <v>1002</v>
      </c>
      <c r="B23" s="307" t="s">
        <v>1356</v>
      </c>
      <c r="C23" s="23">
        <f ca="1">IF('数据-取费表'!B22&lt;=1,ROUND(C19*F24*F23/2,0)+ROUND(C20*F24*F23/2,0),ROUND(C19*(POWER((1+F24),F23/2)-1),0)+ROUND(C20*(POWER((1+F24),F23/2)-1),0))</f>
        <v>183</v>
      </c>
      <c r="D23" s="334" t="str">
        <f>IF(F23&lt;=1,"(建造成本+管理费用)×利率×(建设周期÷2)","(建造成本+管理费用)×((1+利率)^(建设周期÷2)-1)")</f>
        <v>(建造成本+管理费用)×((1+利率)^(建设周期÷2)-1)</v>
      </c>
      <c r="E23" s="307" t="s">
        <v>1357</v>
      </c>
      <c r="F23" s="330">
        <f>'数据-取费表'!B20</f>
        <v>1.5</v>
      </c>
      <c r="G23" s="1549"/>
      <c r="H23" s="1112" t="s">
        <v>1043</v>
      </c>
      <c r="I23" s="307" t="s">
        <v>1358</v>
      </c>
      <c r="J23" s="23">
        <f ca="1">ROUND(J13*M23,1)</f>
        <v>0</v>
      </c>
      <c r="K23" s="1497" t="s">
        <v>1359</v>
      </c>
      <c r="L23" s="307" t="s">
        <v>1360</v>
      </c>
      <c r="M23" s="335">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3">
        <f ca="1">ROUND(IF('数据-取费表'!B22&lt;=1,F21*F24*F23/2,F21*(POWER((1+F24),F23/2)-1)),4)</f>
        <v>2.9999999999999997E-4</v>
      </c>
      <c r="D24" s="334" t="str">
        <f>IF(F23&lt;=1,"销售费用×利率×(建设周期÷2)","销售费用×((1+利率)^(建设周期÷2)-1)")</f>
        <v>销售费用×((1+利率)^(建设周期÷2)-1)</v>
      </c>
      <c r="E24" s="307" t="s">
        <v>1363</v>
      </c>
      <c r="F24" s="336">
        <f ca="1">'数据-取费表'!B40</f>
        <v>4.2000000000000003E-2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3"/>
      <c r="D25" s="135" t="s">
        <v>1367</v>
      </c>
      <c r="E25" s="1513"/>
      <c r="F25" s="25"/>
      <c r="G25" s="1537"/>
      <c r="H25" s="1210" t="s">
        <v>999</v>
      </c>
      <c r="I25" s="1225" t="s">
        <v>1368</v>
      </c>
      <c r="J25" s="315">
        <f ca="1">J5-J16</f>
        <v>-165</v>
      </c>
      <c r="K25" s="1226" t="s">
        <v>1369</v>
      </c>
      <c r="L25" s="1227"/>
      <c r="M25" s="1228"/>
    </row>
    <row r="26" spans="1:37">
      <c r="A26" s="1112" t="s">
        <v>1002</v>
      </c>
      <c r="B26" s="307" t="s">
        <v>1370</v>
      </c>
      <c r="C26" s="23">
        <f ca="1">ROUND((C19+C20)*F26,0)</f>
        <v>582</v>
      </c>
      <c r="D26" s="328" t="s">
        <v>1371</v>
      </c>
      <c r="E26" s="318" t="s">
        <v>1372</v>
      </c>
      <c r="F26" s="317">
        <f ca="1">INDIRECT("'数据-取费表'!q"&amp;$G$1)</f>
        <v>0.1</v>
      </c>
      <c r="G26" s="1537"/>
      <c r="H26" s="304" t="s">
        <v>1000</v>
      </c>
      <c r="I26" s="305" t="s">
        <v>1373</v>
      </c>
      <c r="J26" s="306">
        <f ca="1">IF(J5&lt;&gt;0,ROUND(J25*(1-((1+M28)/(1+M26))^M27)/(M26-M28),0),0)</f>
        <v>0</v>
      </c>
      <c r="K26" s="329" t="s">
        <v>1374</v>
      </c>
      <c r="L26" s="307" t="s">
        <v>1375</v>
      </c>
      <c r="M26" s="317">
        <f ca="1">INDIRECT("'数据-取费表'!I"&amp;$G$1)</f>
        <v>0.05</v>
      </c>
    </row>
    <row r="27" spans="1:37" ht="18" customHeight="1">
      <c r="A27" s="1112" t="s">
        <v>1004</v>
      </c>
      <c r="B27" s="307" t="s">
        <v>1376</v>
      </c>
      <c r="C27" s="23">
        <f ca="1">ROUND(F21*F26,4)</f>
        <v>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3">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7033</v>
      </c>
      <c r="D29" s="1223"/>
      <c r="E29" s="1221"/>
      <c r="F29" s="1224"/>
      <c r="G29" s="1549"/>
      <c r="H29" s="339" t="s">
        <v>1001</v>
      </c>
      <c r="I29" s="340" t="s">
        <v>1384</v>
      </c>
      <c r="J29" s="341">
        <f ca="1">ROUND(J26/(1+F40)^F41,0)</f>
        <v>0</v>
      </c>
      <c r="K29" s="342" t="s">
        <v>1385</v>
      </c>
      <c r="L29" s="343"/>
      <c r="M29" s="344">
        <f ca="1">INDIRECT("'数据-取费表'!k"&amp;$G$1)</f>
        <v>17109.73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254</v>
      </c>
      <c r="D30" s="1218" t="s">
        <v>1330</v>
      </c>
      <c r="E30" s="1219"/>
      <c r="F30" s="1203"/>
      <c r="G30" s="1537"/>
      <c r="H30" s="2893"/>
      <c r="I30" s="1551"/>
      <c r="J30" s="1552"/>
      <c r="K30" s="2668"/>
      <c r="L30" s="2894"/>
      <c r="M30" s="2895"/>
    </row>
    <row r="31" spans="1:37" ht="18" customHeight="1">
      <c r="A31" s="1112" t="s">
        <v>1003</v>
      </c>
      <c r="B31" s="307" t="s">
        <v>1334</v>
      </c>
      <c r="C31" s="2503">
        <f ca="1">ROUND(IF(AND(项目基本情况!B11="自然人",项目基本情况!B10="北京市"),C6*F31/(1+'数据-取费表'!C42),C32+C33+C34),0)</f>
        <v>131</v>
      </c>
      <c r="D31" s="1498" t="s">
        <v>1335</v>
      </c>
      <c r="E31" s="1497" t="s">
        <v>1386</v>
      </c>
      <c r="F31" s="2502" t="str">
        <f>IF(项目基本情况!B11="企业","——",IF('数据-取费表'!B10="住宅",IF(F6*F7*F8/12/(1+'数据-取费表'!F30)&gt;100000,4%,2.5%),IF(F6*F7*F8/12/(1+'数据-取费表'!F30)&gt;100000,12%,7%)))</f>
        <v>——</v>
      </c>
      <c r="G31" s="1537"/>
      <c r="H31" s="3006" t="s">
        <v>2983</v>
      </c>
      <c r="I31" s="1551"/>
      <c r="J31" s="1552"/>
      <c r="K31" s="2668"/>
      <c r="L31" s="2894"/>
      <c r="M31" s="2895"/>
    </row>
    <row r="32" spans="1:37" ht="18" customHeight="1">
      <c r="A32" s="1112" t="s">
        <v>1002</v>
      </c>
      <c r="B32" s="307" t="s">
        <v>1338</v>
      </c>
      <c r="C32" s="23">
        <f ca="1">IF(项目基本情况!B11="自然人","——",ROUND(C6*F32/(1+'数据-取费表'!C42),2))</f>
        <v>41.22</v>
      </c>
      <c r="D32" s="1497" t="s">
        <v>1339</v>
      </c>
      <c r="E32" s="307" t="s">
        <v>1327</v>
      </c>
      <c r="F32" s="336">
        <f>'数据-取费表'!B41</f>
        <v>5.5000000000000007E-2</v>
      </c>
      <c r="G32" s="1537"/>
      <c r="H32" s="2893"/>
      <c r="I32" s="1551"/>
      <c r="J32" s="1552"/>
      <c r="K32" s="2668"/>
      <c r="L32" s="2894"/>
      <c r="M32" s="2895"/>
    </row>
    <row r="33" spans="1:18" ht="18" customHeight="1">
      <c r="A33" s="1112" t="s">
        <v>1004</v>
      </c>
      <c r="B33" s="307" t="s">
        <v>1342</v>
      </c>
      <c r="C33" s="23">
        <f ca="1">IF(项目基本情况!B11="自然人","——",IF(D33="按租金收入计税",ROUND(C6*F33/(1+'数据-取费表'!C42),2),IF(D33="按房产原值计税",ROUND(C29*F33*0.7,2),INDIRECT("'数据-取费表'!Aj"&amp;$G$1))))</f>
        <v>89.94</v>
      </c>
      <c r="D33" s="3217" t="s">
        <v>3214</v>
      </c>
      <c r="E33" s="307" t="s">
        <v>1327</v>
      </c>
      <c r="F33" s="327">
        <f>IF(D33="按票据","——",IF(D33="按租金收入计税",'数据-取费表'!B51,'数据-取费表'!B50))</f>
        <v>0.12</v>
      </c>
      <c r="G33" s="1537"/>
      <c r="H33" s="2896"/>
      <c r="I33" s="1551"/>
      <c r="J33" s="1552"/>
      <c r="K33" s="2897"/>
      <c r="L33" s="2896"/>
      <c r="M33" s="2896"/>
    </row>
    <row r="34" spans="1:18" ht="18" customHeight="1">
      <c r="A34" s="1200" t="s">
        <v>1294</v>
      </c>
      <c r="B34" s="159" t="s">
        <v>1346</v>
      </c>
      <c r="C34" s="24">
        <f ca="1">IF(项目基本情况!B11="自然人","——",ROUND(F34*F35/10000,2))</f>
        <v>0</v>
      </c>
      <c r="D34" s="329" t="s">
        <v>1347</v>
      </c>
      <c r="E34" s="307" t="s">
        <v>1348</v>
      </c>
      <c r="F34" s="330">
        <f>'数据-取费表'!B52</f>
        <v>1.5</v>
      </c>
      <c r="G34" s="1537"/>
      <c r="H34" s="2893"/>
      <c r="I34" s="1551"/>
      <c r="J34" s="1552"/>
      <c r="K34" s="2898"/>
      <c r="L34" s="2899"/>
      <c r="M34" s="2899"/>
    </row>
    <row r="35" spans="1:18" ht="18" customHeight="1">
      <c r="A35" s="1234"/>
      <c r="B35" s="1232"/>
      <c r="C35" s="28"/>
      <c r="D35" s="332"/>
      <c r="E35" s="307" t="s">
        <v>1352</v>
      </c>
      <c r="F35" s="308">
        <f ca="1">INDIRECT("'数据-取费表'!r"&amp;$G$1)</f>
        <v>0</v>
      </c>
      <c r="G35" s="1537"/>
      <c r="H35" s="2893"/>
      <c r="I35" s="1551"/>
      <c r="J35" s="1552"/>
      <c r="K35" s="2897"/>
      <c r="L35" s="2896"/>
      <c r="M35" s="2896"/>
    </row>
    <row r="36" spans="1:18" ht="18" customHeight="1">
      <c r="A36" s="1233" t="s">
        <v>1007</v>
      </c>
      <c r="B36" s="307" t="s">
        <v>1354</v>
      </c>
      <c r="C36" s="23">
        <f ca="1">ROUND(C29*F36,1)</f>
        <v>105.5</v>
      </c>
      <c r="D36" s="1497" t="s">
        <v>1387</v>
      </c>
      <c r="E36" s="307" t="s">
        <v>1327</v>
      </c>
      <c r="F36" s="333">
        <f ca="1">INDIRECT("'数据-取费表'!Ak"&amp;$G$1)</f>
        <v>1.4999999999999999E-2</v>
      </c>
      <c r="G36" s="1537"/>
      <c r="H36" s="2896"/>
      <c r="I36" s="1551"/>
      <c r="J36" s="1552"/>
      <c r="K36" s="2737"/>
      <c r="L36" s="2896"/>
      <c r="M36" s="2896"/>
    </row>
    <row r="37" spans="1:18" ht="18" customHeight="1">
      <c r="A37" s="1112" t="s">
        <v>1043</v>
      </c>
      <c r="B37" s="307" t="s">
        <v>1358</v>
      </c>
      <c r="C37" s="23">
        <f ca="1">ROUND(C13*F37,1)</f>
        <v>9.1999999999999993</v>
      </c>
      <c r="D37" s="1497" t="s">
        <v>1359</v>
      </c>
      <c r="E37" s="307" t="s">
        <v>1360</v>
      </c>
      <c r="F37" s="335">
        <f ca="1">INDIRECT("'数据-取费表'!Al"&amp;$G$1)</f>
        <v>1.5E-3</v>
      </c>
      <c r="G37" s="1537"/>
      <c r="H37" s="2896"/>
      <c r="I37" s="1551"/>
      <c r="J37" s="1552"/>
      <c r="K37" s="2737"/>
      <c r="L37" s="2896"/>
      <c r="M37" s="2896"/>
    </row>
    <row r="38" spans="1:18" ht="18" customHeight="1" thickBot="1">
      <c r="A38" s="1220" t="s">
        <v>1298</v>
      </c>
      <c r="B38" s="1221" t="s">
        <v>1344</v>
      </c>
      <c r="C38" s="1222">
        <f ca="1">ROUND(C5*F38,1)</f>
        <v>7.9</v>
      </c>
      <c r="D38" s="1223" t="s">
        <v>1364</v>
      </c>
      <c r="E38" s="1221" t="s">
        <v>1360</v>
      </c>
      <c r="F38" s="1217">
        <f ca="1">INDIRECT("'数据-取费表'!Am"&amp;$G$1)</f>
        <v>0.01</v>
      </c>
      <c r="G38" s="1537"/>
      <c r="H38" s="2896"/>
      <c r="I38" s="1551"/>
      <c r="J38" s="1552"/>
      <c r="K38" s="2900"/>
      <c r="L38" s="2896"/>
      <c r="M38" s="2896"/>
    </row>
    <row r="39" spans="1:18" ht="24.6" customHeight="1" thickTop="1">
      <c r="A39" s="1210" t="s">
        <v>999</v>
      </c>
      <c r="B39" s="1225" t="s">
        <v>1388</v>
      </c>
      <c r="C39" s="315">
        <f ca="1">C5-C30</f>
        <v>534</v>
      </c>
      <c r="D39" s="1226" t="s">
        <v>1389</v>
      </c>
      <c r="E39" s="1227"/>
      <c r="F39" s="1228"/>
      <c r="G39" s="1537"/>
      <c r="H39" s="2896"/>
      <c r="I39" s="1551"/>
      <c r="J39" s="1552"/>
      <c r="K39" s="2900"/>
      <c r="L39" s="2896"/>
      <c r="M39" s="2896"/>
    </row>
    <row r="40" spans="1:18" ht="18" customHeight="1">
      <c r="A40" s="304" t="s">
        <v>1000</v>
      </c>
      <c r="B40" s="305" t="s">
        <v>1390</v>
      </c>
      <c r="C40" s="306">
        <f ca="1">ROUND(C39*(1-((1+F42)/(1+F40))^F41)/(F40-F42),0)</f>
        <v>13243</v>
      </c>
      <c r="D40" s="329" t="s">
        <v>1374</v>
      </c>
      <c r="E40" s="307" t="s">
        <v>1375</v>
      </c>
      <c r="F40" s="317">
        <f ca="1">INDIRECT("'数据-取费表'!I"&amp;$G$1)</f>
        <v>0.05</v>
      </c>
      <c r="G40" s="1537"/>
      <c r="H40" s="1614"/>
      <c r="I40" s="1551"/>
      <c r="J40" s="1552"/>
      <c r="K40" s="2900"/>
      <c r="L40" s="1614"/>
      <c r="M40" s="1614"/>
    </row>
    <row r="41" spans="1:18" ht="18" customHeight="1">
      <c r="A41" s="309"/>
      <c r="B41" s="310"/>
      <c r="C41" s="311"/>
      <c r="D41" s="337" t="s">
        <v>1391</v>
      </c>
      <c r="E41" s="307" t="s">
        <v>1379</v>
      </c>
      <c r="F41" s="338">
        <f ca="1">IF(INDIRECT("'数据-取费表'!af"&amp;$G$1)=0,INDIRECT("'数据-取费表'!ae"&amp;$G$1),INDIRECT("'数据-取费表'!af"&amp;$G$1))</f>
        <v>40.15</v>
      </c>
      <c r="G41" s="1537"/>
      <c r="H41" s="1324"/>
      <c r="I41" s="1551"/>
      <c r="J41" s="1552"/>
      <c r="K41" s="2737"/>
      <c r="L41" s="1324"/>
      <c r="M41" s="1324"/>
    </row>
    <row r="42" spans="1:18" ht="18" customHeight="1">
      <c r="A42" s="313"/>
      <c r="B42" s="314"/>
      <c r="C42" s="315"/>
      <c r="D42" s="332"/>
      <c r="E42" s="307" t="s">
        <v>1382</v>
      </c>
      <c r="F42" s="317">
        <f ca="1">INDIRECT("'数据-取费表'!v"&amp;$G$1)</f>
        <v>2.5000000000000001E-2</v>
      </c>
      <c r="G42" s="1537"/>
      <c r="H42" s="1324"/>
      <c r="I42" s="1551"/>
      <c r="J42" s="1552"/>
      <c r="K42" s="2737"/>
      <c r="L42" s="1324"/>
      <c r="M42" s="1324"/>
    </row>
    <row r="43" spans="1:18" ht="18" customHeight="1" thickBot="1">
      <c r="A43" s="339" t="s">
        <v>1001</v>
      </c>
      <c r="B43" s="340" t="s">
        <v>1392</v>
      </c>
      <c r="C43" s="341">
        <f ca="1">ROUND(C40*10000/F43,0)</f>
        <v>7740</v>
      </c>
      <c r="D43" s="342" t="s">
        <v>1393</v>
      </c>
      <c r="E43" s="343" t="s">
        <v>1394</v>
      </c>
      <c r="F43" s="344">
        <f ca="1">INDIRECT("'数据-取费表'!k"&amp;$G$1)</f>
        <v>17109.73</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1" t="s">
        <v>1424</v>
      </c>
      <c r="P45" s="1614"/>
      <c r="Q45" s="1614"/>
      <c r="R45" s="1614"/>
    </row>
    <row r="46" spans="1:18" s="1537" customFormat="1" ht="13.5" thickBot="1">
      <c r="A46" s="1557" t="s">
        <v>1425</v>
      </c>
      <c r="C46" s="1558">
        <f ca="1">C68-C40</f>
        <v>-25372</v>
      </c>
      <c r="D46" s="1559" t="str">
        <f>C2</f>
        <v>万元</v>
      </c>
      <c r="E46" s="1553"/>
      <c r="F46" s="1553"/>
      <c r="I46" s="1560" t="s">
        <v>1426</v>
      </c>
      <c r="J46" s="1561"/>
      <c r="K46" s="1562"/>
      <c r="L46" s="1563">
        <f ca="1">IF(M47="住宅",0,IF(L48&gt;J51,L60,J60))</f>
        <v>154</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3220</v>
      </c>
      <c r="K47" s="1569" t="s">
        <v>1432</v>
      </c>
      <c r="L47" s="1570">
        <f ca="1">INDIRECT("'数据-取费表'!d"&amp;$G$1)</f>
        <v>50</v>
      </c>
      <c r="M47" s="1533" t="str">
        <f>IF(ISNUMBER(FIND("住宅",C1)),"住宅","非住宅")</f>
        <v>非住宅</v>
      </c>
      <c r="O47" s="1571" t="s">
        <v>1008</v>
      </c>
      <c r="P47" s="1572" t="s">
        <v>1433</v>
      </c>
      <c r="Q47" s="1573">
        <f ca="1">C40+J29</f>
        <v>13243</v>
      </c>
      <c r="R47" s="1573" t="s">
        <v>1434</v>
      </c>
    </row>
    <row r="48" spans="1:18" s="1537" customFormat="1" ht="28.5" thickBot="1">
      <c r="A48" s="1241" t="s">
        <v>1044</v>
      </c>
      <c r="B48" s="305" t="s">
        <v>1306</v>
      </c>
      <c r="C48" s="1512">
        <f ca="1">C49+C53+C55</f>
        <v>0</v>
      </c>
      <c r="D48" s="1243"/>
      <c r="E48" s="1244"/>
      <c r="F48" s="1092"/>
      <c r="G48" s="730"/>
      <c r="H48" s="731"/>
      <c r="I48" s="1574" t="s">
        <v>1435</v>
      </c>
      <c r="J48" s="3223" t="s">
        <v>3216</v>
      </c>
      <c r="K48" s="1576" t="s">
        <v>1436</v>
      </c>
      <c r="L48" s="1577">
        <f ca="1">INDIRECT("'数据-取费表'!f"&amp;$G$1)</f>
        <v>40.15</v>
      </c>
      <c r="O48" s="1571" t="s">
        <v>1009</v>
      </c>
      <c r="P48" s="1572" t="s">
        <v>1437</v>
      </c>
      <c r="Q48" s="1573">
        <f ca="1">J60</f>
        <v>154</v>
      </c>
      <c r="R48" s="1573" t="s">
        <v>1438</v>
      </c>
    </row>
    <row r="49" spans="1:18" s="1537" customFormat="1" ht="13.5" thickBot="1">
      <c r="A49" s="1105" t="s">
        <v>1045</v>
      </c>
      <c r="B49" s="1524" t="s">
        <v>1395</v>
      </c>
      <c r="C49" s="1245">
        <f ca="1">ROUND(F49*F51*F50*(1-F52)/10000,0)</f>
        <v>0</v>
      </c>
      <c r="D49" s="1185" t="s">
        <v>2789</v>
      </c>
      <c r="E49" s="1525" t="s">
        <v>1396</v>
      </c>
      <c r="F49" s="1190"/>
      <c r="G49" s="1578"/>
      <c r="H49" s="731"/>
      <c r="I49" s="1574" t="s">
        <v>1439</v>
      </c>
      <c r="J49" s="1579">
        <v>2014</v>
      </c>
      <c r="K49" s="1576" t="s">
        <v>1440</v>
      </c>
      <c r="L49" s="1580"/>
      <c r="O49" s="1581" t="s">
        <v>1010</v>
      </c>
      <c r="P49" s="1572" t="s">
        <v>1441</v>
      </c>
      <c r="Q49" s="1573">
        <f ca="1">C29</f>
        <v>7033</v>
      </c>
      <c r="R49" s="1573" t="s">
        <v>1434</v>
      </c>
    </row>
    <row r="50" spans="1:18" s="1537" customFormat="1" ht="13.5" thickBot="1">
      <c r="A50" s="1106"/>
      <c r="B50" s="1109"/>
      <c r="C50" s="1249"/>
      <c r="D50" s="1083"/>
      <c r="E50" s="1186" t="s">
        <v>1311</v>
      </c>
      <c r="F50" s="1187">
        <f ca="1">F7</f>
        <v>17109.73</v>
      </c>
      <c r="H50" s="731"/>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8">
        <f ca="1">F8</f>
        <v>365</v>
      </c>
      <c r="I51" s="1585" t="s">
        <v>1445</v>
      </c>
      <c r="J51" s="1586">
        <f>IF(J49="",J50,J49+J50-YEAR('数据-取费表'!B2))</f>
        <v>52</v>
      </c>
      <c r="K51" s="1587" t="s">
        <v>1446</v>
      </c>
      <c r="L51" s="1588">
        <f ca="1">ROUND(-PV(INDIRECT("'数据-取费表'!h"&amp;$G$1),J51,(C39-C13*C76),0),0)</f>
        <v>2110</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40.15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40.15</v>
      </c>
      <c r="K53" s="3459" t="s">
        <v>1453</v>
      </c>
      <c r="L53" s="3460"/>
      <c r="O53" s="1571" t="s">
        <v>1014</v>
      </c>
      <c r="P53" s="1572" t="s">
        <v>1454</v>
      </c>
      <c r="Q53" s="1573">
        <f ca="1">Q47+Q48</f>
        <v>13397</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f ca="1">ROUND(IF(J47="钢混",J57/J50,1-(1-2%)*(J50-J57)/J50),3)</f>
        <v>0.19800000000000001</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6119</v>
      </c>
      <c r="D56" s="1600"/>
      <c r="E56" s="1601"/>
      <c r="F56" s="1593"/>
      <c r="I56" s="1602" t="s">
        <v>1459</v>
      </c>
      <c r="J56" s="1603" t="s">
        <v>3221</v>
      </c>
      <c r="K56" s="1574" t="s">
        <v>1460</v>
      </c>
      <c r="L56" s="1577" t="str">
        <f ca="1">IF(L48&lt;J51,"——",L48-J53)</f>
        <v>——</v>
      </c>
      <c r="O56" s="1571" t="s">
        <v>1008</v>
      </c>
      <c r="P56" s="1572" t="s">
        <v>1433</v>
      </c>
      <c r="Q56" s="1573">
        <f ca="1">C40+J29</f>
        <v>13243</v>
      </c>
      <c r="R56" s="1573" t="s">
        <v>1434</v>
      </c>
    </row>
    <row r="57" spans="1:18" s="1537" customFormat="1" ht="24.75" thickBot="1">
      <c r="A57" s="1604"/>
      <c r="B57" s="1080" t="s">
        <v>1383</v>
      </c>
      <c r="C57" s="243">
        <f ca="1">C29</f>
        <v>7033</v>
      </c>
      <c r="D57" s="1605"/>
      <c r="E57" s="1606"/>
      <c r="F57" s="1607"/>
      <c r="I57" s="1608" t="s">
        <v>1461</v>
      </c>
      <c r="J57" s="1609">
        <f ca="1">IF(OR(M47="住宅",J51&lt;L48,J56="是"),"——",J51-L48)</f>
        <v>11.850000000000001</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706</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591</v>
      </c>
      <c r="D59" s="1093" t="s">
        <v>1335</v>
      </c>
      <c r="E59" s="1094" t="s">
        <v>1336</v>
      </c>
      <c r="F59" s="2502" t="str">
        <f>IF(项目基本情况!B11="企业","——",IF('数据-取费表'!B10="住宅",IF(F49*F50*F51/12/(1+'数据-取费表'!F30)&gt;100000,4%,2.5%),IF(F49*F50*F51/12/(1+'数据-取费表'!F30)&gt;100000,12%,7%)))</f>
        <v>——</v>
      </c>
      <c r="I59" s="1608" t="s">
        <v>1468</v>
      </c>
      <c r="J59" s="1609">
        <f ca="1">IF(OR(M47="住宅",J51&lt;L48,J56="是"),"——",ROUND(C29*J58,0))</f>
        <v>2813</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3">
        <f ca="1">IF(项目基本情况!B11="自然人","——",ROUND(C48*F60/(1+'数据-取费表'!C42),2))</f>
        <v>0</v>
      </c>
      <c r="D60" s="1094" t="s">
        <v>1339</v>
      </c>
      <c r="E60" s="1080" t="s">
        <v>1327</v>
      </c>
      <c r="F60" s="336">
        <f t="shared" ref="F60:F66" si="0">F32</f>
        <v>5.5000000000000007E-2</v>
      </c>
      <c r="I60" s="1611" t="s">
        <v>1470</v>
      </c>
      <c r="J60" s="1612">
        <f ca="1">IF(OR(M47="住宅",J51&lt;L48,J56="是"),"0",ROUND(J59/(1+J52)^J53,0))</f>
        <v>154</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3">
        <f ca="1">IF(项目基本情况!B11="自然人","——",IF(D61="按租金收入计税",ROUND(C49*F61/(1+'数据-取费表'!C42),2),IF(D61="按房产原值计税",ROUND(C57*F61*0.7,2),INDIRECT("'数据-取费表'!Aj"&amp;$G$1))))</f>
        <v>590.77</v>
      </c>
      <c r="D61" s="1523" t="s">
        <v>1343</v>
      </c>
      <c r="E61" s="1080" t="s">
        <v>1399</v>
      </c>
      <c r="F61" s="327">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4">
        <f ca="1">IF(项目基本情况!B11="自然人","——",ROUND(F62*F63/10000,2))</f>
        <v>0</v>
      </c>
      <c r="D62" s="1095" t="s">
        <v>1402</v>
      </c>
      <c r="E62" s="1080" t="s">
        <v>1403</v>
      </c>
      <c r="F62" s="330">
        <f t="shared" si="0"/>
        <v>1.5</v>
      </c>
      <c r="I62" s="1615" t="s">
        <v>1475</v>
      </c>
      <c r="J62" s="1616" t="s">
        <v>1476</v>
      </c>
      <c r="K62" s="1616" t="s">
        <v>1477</v>
      </c>
      <c r="L62" s="1616" t="s">
        <v>1478</v>
      </c>
      <c r="M62" s="1617" t="s">
        <v>1479</v>
      </c>
      <c r="O62" s="1571" t="s">
        <v>1014</v>
      </c>
      <c r="P62" s="1572" t="s">
        <v>1480</v>
      </c>
      <c r="Q62" s="1573">
        <f ca="1">Q56+Q57</f>
        <v>13243</v>
      </c>
      <c r="R62" s="1573" t="s">
        <v>1015</v>
      </c>
    </row>
    <row r="63" spans="1:18" s="1537" customFormat="1" ht="13.5" thickBot="1">
      <c r="A63" s="331"/>
      <c r="B63" s="1086"/>
      <c r="C63" s="28"/>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3">
        <f ca="1">ROUND(C57*F64,1)</f>
        <v>105.5</v>
      </c>
      <c r="D64" s="1094" t="s">
        <v>1407</v>
      </c>
      <c r="E64" s="1080" t="s">
        <v>1399</v>
      </c>
      <c r="F64" s="333">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3">
        <f ca="1">ROUND(C56*F65,1)</f>
        <v>9.1999999999999993</v>
      </c>
      <c r="D65" s="1094" t="s">
        <v>1359</v>
      </c>
      <c r="E65" s="1080" t="s">
        <v>1360</v>
      </c>
      <c r="F65" s="335">
        <f t="shared" ca="1" si="0"/>
        <v>1.5E-3</v>
      </c>
      <c r="I65" s="1615" t="s">
        <v>1484</v>
      </c>
      <c r="J65" s="1616">
        <v>40</v>
      </c>
      <c r="K65" s="1616">
        <v>30</v>
      </c>
      <c r="L65" s="1616">
        <v>50</v>
      </c>
      <c r="M65" s="1618">
        <v>0.02</v>
      </c>
      <c r="O65" s="1571" t="s">
        <v>1008</v>
      </c>
      <c r="P65" s="1572" t="s">
        <v>1485</v>
      </c>
      <c r="Q65" s="1573">
        <f ca="1">C40+J29</f>
        <v>13243</v>
      </c>
      <c r="R65" s="1573" t="s">
        <v>1434</v>
      </c>
    </row>
    <row r="66" spans="1:18" s="1537" customFormat="1" ht="16.5" thickBot="1">
      <c r="A66" s="1112" t="s">
        <v>1409</v>
      </c>
      <c r="B66" s="1080" t="s">
        <v>1344</v>
      </c>
      <c r="C66" s="23">
        <f ca="1">ROUND(C48*F66,1)</f>
        <v>0</v>
      </c>
      <c r="D66" s="1094" t="s">
        <v>1410</v>
      </c>
      <c r="E66" s="1080" t="s">
        <v>1327</v>
      </c>
      <c r="F66" s="317">
        <f t="shared" ca="1" si="0"/>
        <v>0.01</v>
      </c>
      <c r="O66" s="1571" t="s">
        <v>1009</v>
      </c>
      <c r="P66" s="1572" t="s">
        <v>1463</v>
      </c>
      <c r="Q66" s="1573">
        <f ca="1">L60</f>
        <v>0</v>
      </c>
      <c r="R66" s="1573" t="s">
        <v>1486</v>
      </c>
    </row>
    <row r="67" spans="1:18" s="1537" customFormat="1" ht="16.5" thickBot="1">
      <c r="A67" s="1087" t="s">
        <v>999</v>
      </c>
      <c r="B67" s="1097" t="s">
        <v>1368</v>
      </c>
      <c r="C67" s="321">
        <f ca="1">C48-C58</f>
        <v>-706</v>
      </c>
      <c r="D67" s="1093" t="s">
        <v>1369</v>
      </c>
      <c r="E67" s="1098"/>
      <c r="F67" s="1099"/>
      <c r="O67" s="1581" t="s">
        <v>1010</v>
      </c>
      <c r="P67" s="1572" t="s">
        <v>1467</v>
      </c>
      <c r="Q67" s="1619">
        <f ca="1">L51</f>
        <v>2110</v>
      </c>
      <c r="R67" s="1573" t="s">
        <v>1487</v>
      </c>
    </row>
    <row r="68" spans="1:18" s="1537" customFormat="1" ht="16.5" thickBot="1">
      <c r="A68" s="1077" t="s">
        <v>1000</v>
      </c>
      <c r="B68" s="1078" t="s">
        <v>1390</v>
      </c>
      <c r="C68" s="306">
        <f ca="1">ROUND(C67*(1-((1+F70)/(1+F68))^F69)/(F68-F70),0)</f>
        <v>-12129</v>
      </c>
      <c r="D68" s="1095" t="s">
        <v>1374</v>
      </c>
      <c r="E68" s="1080" t="s">
        <v>1375</v>
      </c>
      <c r="F68" s="317">
        <f ca="1">F40</f>
        <v>0.05</v>
      </c>
      <c r="O68" s="1581" t="s">
        <v>1011</v>
      </c>
      <c r="P68" s="1620" t="s">
        <v>1488</v>
      </c>
      <c r="Q68" s="1573">
        <f ca="1">ROUND(Q69-Q70*Q71,0)</f>
        <v>106</v>
      </c>
      <c r="R68" s="1573" t="s">
        <v>1019</v>
      </c>
    </row>
    <row r="69" spans="1:18" s="1537" customFormat="1" ht="13.5" thickBot="1">
      <c r="A69" s="1081"/>
      <c r="B69" s="1082"/>
      <c r="C69" s="311"/>
      <c r="D69" s="1100" t="s">
        <v>1378</v>
      </c>
      <c r="E69" s="1080" t="s">
        <v>1379</v>
      </c>
      <c r="F69" s="338">
        <f ca="1">F41</f>
        <v>40.15</v>
      </c>
      <c r="O69" s="1581" t="s">
        <v>1016</v>
      </c>
      <c r="P69" s="1620" t="s">
        <v>1489</v>
      </c>
      <c r="Q69" s="1573">
        <f ca="1">C39</f>
        <v>534</v>
      </c>
      <c r="R69" s="1573" t="s">
        <v>1434</v>
      </c>
    </row>
    <row r="70" spans="1:18" s="1537" customFormat="1" ht="13.5" thickBot="1">
      <c r="A70" s="1084"/>
      <c r="B70" s="1085"/>
      <c r="C70" s="315"/>
      <c r="D70" s="1096"/>
      <c r="E70" s="1080" t="s">
        <v>1382</v>
      </c>
      <c r="F70" s="1184"/>
      <c r="O70" s="1581" t="s">
        <v>1017</v>
      </c>
      <c r="P70" s="1620" t="s">
        <v>1490</v>
      </c>
      <c r="Q70" s="1573">
        <f ca="1">C13</f>
        <v>6119</v>
      </c>
      <c r="R70" s="1573" t="s">
        <v>1434</v>
      </c>
    </row>
    <row r="71" spans="1:18" s="1537" customFormat="1" ht="13.5" thickBot="1">
      <c r="A71" s="1101" t="s">
        <v>1001</v>
      </c>
      <c r="B71" s="1102" t="s">
        <v>1392</v>
      </c>
      <c r="C71" s="341">
        <f ca="1">ROUND(C68*10000/F71,0)</f>
        <v>-7089</v>
      </c>
      <c r="D71" s="1103" t="s">
        <v>1393</v>
      </c>
      <c r="E71" s="1104" t="s">
        <v>1394</v>
      </c>
      <c r="F71" s="344">
        <f ca="1">F43</f>
        <v>17109.73</v>
      </c>
      <c r="O71" s="1581" t="s">
        <v>1018</v>
      </c>
      <c r="P71" s="1620" t="s">
        <v>1491</v>
      </c>
      <c r="Q71" s="1584">
        <f ca="1">C76</f>
        <v>7.0000000000000007E-2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5" t="s">
        <v>1411</v>
      </c>
      <c r="C75" s="346">
        <f ca="1">ROUND(C13*C76,0)</f>
        <v>428</v>
      </c>
      <c r="D75" s="1537"/>
      <c r="E75" s="1537"/>
      <c r="F75" s="1537"/>
      <c r="K75" s="1555"/>
      <c r="L75" s="1537"/>
      <c r="O75" s="1571" t="s">
        <v>1014</v>
      </c>
      <c r="P75" s="1572" t="s">
        <v>1454</v>
      </c>
      <c r="Q75" s="1573">
        <f ca="1">Q65+Q66</f>
        <v>13243</v>
      </c>
      <c r="R75" s="1573" t="s">
        <v>1015</v>
      </c>
    </row>
    <row r="76" spans="1:18">
      <c r="B76" s="347" t="s">
        <v>1412</v>
      </c>
      <c r="C76" s="348">
        <f ca="1">INDIRECT("'数据-取费表'!j"&amp;$G$1)</f>
        <v>7.0000000000000007E-2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0.19899999999999995</v>
      </c>
    </row>
    <row r="80" spans="1:18">
      <c r="B80" s="345" t="s">
        <v>1416</v>
      </c>
      <c r="C80" s="279">
        <f ca="1">ROUND(C75/C39,3)</f>
        <v>0.80100000000000005</v>
      </c>
    </row>
    <row r="81" spans="2:3">
      <c r="B81" s="275" t="s">
        <v>1417</v>
      </c>
      <c r="C81" s="243"/>
    </row>
    <row r="82" spans="2:3">
      <c r="B82" s="278" t="s">
        <v>1418</v>
      </c>
      <c r="C82" s="280">
        <f ca="1">1-C83</f>
        <v>0.53800000000000003</v>
      </c>
    </row>
    <row r="83" spans="2:3">
      <c r="B83" s="278" t="s">
        <v>1419</v>
      </c>
      <c r="C83" s="279">
        <f ca="1">ROUND(C13/C40,3)</f>
        <v>0.46200000000000002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0</v>
      </c>
      <c r="G1" s="1531">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2"/>
      <c r="H2" s="2891"/>
      <c r="I2" s="2891"/>
      <c r="J2" s="2891"/>
      <c r="K2" s="2892"/>
      <c r="L2" s="2891"/>
      <c r="M2" s="2891"/>
    </row>
    <row r="3" spans="1:37" ht="18" customHeight="1" thickBot="1">
      <c r="A3" s="1543" t="s">
        <v>1498</v>
      </c>
      <c r="B3" s="1544">
        <f ca="1">IF(ISERROR(D2/F43),0,ROUND(D2/F43,0))</f>
        <v>0</v>
      </c>
      <c r="C3" s="1540" t="s">
        <v>1499</v>
      </c>
      <c r="D3" s="1540"/>
      <c r="E3" s="1541"/>
      <c r="F3" s="1542"/>
      <c r="G3" s="2902"/>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61" t="s">
        <v>1308</v>
      </c>
      <c r="C6" s="1205">
        <f ca="1">ROUND(F6*F8*F7*(1-F9),0)</f>
        <v>0</v>
      </c>
      <c r="D6" s="159" t="s">
        <v>2785</v>
      </c>
      <c r="E6" s="307" t="s">
        <v>1310</v>
      </c>
      <c r="F6" s="308">
        <f ca="1">INDIRECT("'数据-取费表'!u"&amp;$G$1)</f>
        <v>0</v>
      </c>
      <c r="G6" s="1537"/>
      <c r="H6" s="1200" t="s">
        <v>1003</v>
      </c>
      <c r="I6" s="3461" t="s">
        <v>1308</v>
      </c>
      <c r="J6" s="306">
        <f ca="1">ROUND(M6*M8*M7*(1-M9),0)</f>
        <v>0</v>
      </c>
      <c r="K6" s="1529" t="s">
        <v>2786</v>
      </c>
      <c r="L6" s="307" t="s">
        <v>1310</v>
      </c>
      <c r="M6" s="308">
        <f ca="1">INDIRECT("'数据-取费表'!z"&amp;$G$1)</f>
        <v>0</v>
      </c>
    </row>
    <row r="7" spans="1:37" ht="18" customHeight="1">
      <c r="A7" s="1204"/>
      <c r="B7" s="3462"/>
      <c r="C7" s="1206"/>
      <c r="D7" s="312"/>
      <c r="E7" s="1207" t="s">
        <v>1311</v>
      </c>
      <c r="F7" s="308">
        <f ca="1">IF(INDIRECT("'数据-取费表'!ah"&amp;$G$1)="",INDIRECT("'数据-取费表'!k"&amp;$G$1),INDIRECT("'数据-取费表'!ah"&amp;$G$1))</f>
        <v>0</v>
      </c>
      <c r="G7" s="1537"/>
      <c r="H7" s="309"/>
      <c r="I7" s="3462"/>
      <c r="J7" s="311"/>
      <c r="K7" s="312"/>
      <c r="L7" s="307" t="s">
        <v>1311</v>
      </c>
      <c r="M7" s="308">
        <f ca="1">F7</f>
        <v>0</v>
      </c>
    </row>
    <row r="8" spans="1:37" ht="18" customHeight="1">
      <c r="A8" s="309"/>
      <c r="B8" s="3462"/>
      <c r="C8" s="311"/>
      <c r="D8" s="312"/>
      <c r="E8" s="307" t="s">
        <v>1312</v>
      </c>
      <c r="F8" s="308">
        <f ca="1">INDIRECT("'数据-取费表'!ai"&amp;$G$1)</f>
        <v>0</v>
      </c>
      <c r="G8" s="1537"/>
      <c r="H8" s="309"/>
      <c r="I8" s="3462"/>
      <c r="J8" s="311"/>
      <c r="K8" s="312"/>
      <c r="L8" s="307" t="s">
        <v>1312</v>
      </c>
      <c r="M8" s="308">
        <f ca="1">INDIRECT("'数据-取费表'!ai"&amp;$G$1)</f>
        <v>0</v>
      </c>
    </row>
    <row r="9" spans="1:37" ht="18" customHeight="1">
      <c r="A9" s="309"/>
      <c r="B9" s="3463"/>
      <c r="C9" s="311"/>
      <c r="D9" s="312"/>
      <c r="E9" s="307" t="s">
        <v>1313</v>
      </c>
      <c r="F9" s="317">
        <f ca="1">INDIRECT("'数据-取费表'!w"&amp;$G$1)</f>
        <v>0</v>
      </c>
      <c r="G9" s="1537"/>
      <c r="H9" s="309"/>
      <c r="I9" s="3463"/>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c r="G10" s="1537"/>
      <c r="H10" s="1200" t="s">
        <v>1007</v>
      </c>
      <c r="I10" s="1518" t="s">
        <v>1314</v>
      </c>
      <c r="J10" s="306">
        <f ca="1">ROUND(IF(M10="押一",J6/12*M11,IF(M10="押二",J6/12*2*M11,IF(M10="押三",J6/12*3*M11,J11*M11))),0)</f>
        <v>0</v>
      </c>
      <c r="K10" s="1530" t="s">
        <v>2797</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3">
        <f ca="1">C29</f>
        <v>0</v>
      </c>
      <c r="K14" s="14"/>
      <c r="L14" s="915"/>
      <c r="M14" s="916"/>
    </row>
    <row r="15" spans="1:37" s="1550" customFormat="1" ht="18" customHeight="1" thickBot="1">
      <c r="A15" s="1112" t="s">
        <v>1004</v>
      </c>
      <c r="B15" s="307" t="s">
        <v>1325</v>
      </c>
      <c r="C15" s="23">
        <f ca="1">ROUND(C14*F15,0)</f>
        <v>0</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3">
        <f ca="1">ROUND(INDIRECT("'数据-取费表'!l"&amp;$G$1)*F43*F16,0)</f>
        <v>0</v>
      </c>
      <c r="D16" s="307" t="s">
        <v>1326</v>
      </c>
      <c r="E16" s="307" t="s">
        <v>1327</v>
      </c>
      <c r="F16" s="327">
        <f ca="1">IF(INDIRECT("'数据-取费表'!c"&amp;$G$1)="住宅",'数据-取费表'!B34,0)</f>
        <v>0</v>
      </c>
      <c r="G16" s="1537"/>
      <c r="H16" s="1210" t="s">
        <v>998</v>
      </c>
      <c r="I16" s="1211" t="s">
        <v>1329</v>
      </c>
      <c r="J16" s="315">
        <f ca="1">ROUND(J17+J22+J23+J24,0)</f>
        <v>0</v>
      </c>
      <c r="K16" s="1218" t="s">
        <v>1330</v>
      </c>
      <c r="L16" s="1219"/>
      <c r="M16" s="1203"/>
    </row>
    <row r="17" spans="1:37" s="1550" customFormat="1" ht="18" customHeight="1">
      <c r="A17" s="1112" t="s">
        <v>1295</v>
      </c>
      <c r="B17" s="307" t="s">
        <v>1331</v>
      </c>
      <c r="C17" s="23">
        <f ca="1">ROUND(F17*(F43+INDIRECT("'数据-取费表'!S"&amp;$G$1)),0)</f>
        <v>0</v>
      </c>
      <c r="D17" s="307" t="s">
        <v>1332</v>
      </c>
      <c r="E17" s="307" t="s">
        <v>1333</v>
      </c>
      <c r="F17" s="25">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3">
        <f ca="1">ROUND(C14*F18,0)</f>
        <v>0</v>
      </c>
      <c r="D18" s="307" t="s">
        <v>1326</v>
      </c>
      <c r="E18" s="307" t="s">
        <v>1327</v>
      </c>
      <c r="F18" s="327">
        <f>'数据-取费表'!B36</f>
        <v>1.4999999999999999E-2</v>
      </c>
      <c r="G18" s="1549"/>
      <c r="H18" s="1112" t="s">
        <v>1002</v>
      </c>
      <c r="I18" s="307" t="s">
        <v>1338</v>
      </c>
      <c r="J18" s="23">
        <f ca="1">ROUND(J6*M18/(1+'数据-取费表'!C42),0)</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3">
        <f ca="1">SUM(C14:C18)</f>
        <v>0</v>
      </c>
      <c r="D19" s="135" t="s">
        <v>1341</v>
      </c>
      <c r="E19" s="1513"/>
      <c r="F19" s="25"/>
      <c r="G19" s="1537"/>
      <c r="H19" s="1112" t="s">
        <v>1004</v>
      </c>
      <c r="I19" s="307" t="s">
        <v>1342</v>
      </c>
      <c r="J19" s="23">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3">
        <f ca="1">ROUND(C19*F20,0)</f>
        <v>0</v>
      </c>
      <c r="D20" s="328" t="s">
        <v>1345</v>
      </c>
      <c r="E20" s="307" t="s">
        <v>1327</v>
      </c>
      <c r="F20" s="327">
        <f>'数据-取费表'!B37</f>
        <v>0.02</v>
      </c>
      <c r="G20" s="1549"/>
      <c r="H20" s="1112" t="s">
        <v>1294</v>
      </c>
      <c r="I20" s="159" t="s">
        <v>1346</v>
      </c>
      <c r="J20" s="24">
        <f ca="1">ROUND(M20*M21,0)</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3" t="s">
        <v>1</v>
      </c>
      <c r="D21" s="328" t="s">
        <v>1350</v>
      </c>
      <c r="E21" s="307" t="s">
        <v>1351</v>
      </c>
      <c r="F21" s="327">
        <f>'数据-取费表'!B38</f>
        <v>0.01</v>
      </c>
      <c r="G21" s="1549"/>
      <c r="H21" s="331"/>
      <c r="I21" s="316"/>
      <c r="J21" s="28"/>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3"/>
      <c r="F22" s="25"/>
      <c r="G22" s="1537"/>
      <c r="H22" s="1112" t="s">
        <v>1007</v>
      </c>
      <c r="I22" s="307" t="s">
        <v>1354</v>
      </c>
      <c r="J22" s="23">
        <f ca="1">ROUND(J14*M22,0)</f>
        <v>0</v>
      </c>
      <c r="K22" s="1497" t="s">
        <v>1355</v>
      </c>
      <c r="L22" s="307" t="s">
        <v>1327</v>
      </c>
      <c r="M22" s="333">
        <f ca="1">INDIRECT("'数据-取费表'!Ak"&amp;$G$1)</f>
        <v>0</v>
      </c>
    </row>
    <row r="23" spans="1:37" s="1550" customFormat="1" ht="18" customHeight="1">
      <c r="A23" s="1112" t="s">
        <v>1002</v>
      </c>
      <c r="B23" s="307" t="s">
        <v>1356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1.5</v>
      </c>
      <c r="G23" s="1549"/>
      <c r="H23" s="1112" t="s">
        <v>1043</v>
      </c>
      <c r="I23" s="307" t="s">
        <v>1358</v>
      </c>
      <c r="J23" s="23">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3">
        <f ca="1">ROUND(IF('数据-取费表'!B22&lt;=1,F21*F24*F23/2,F21*(POWER((1+F24),F23/2)-1)),4)</f>
        <v>2.9999999999999997E-4</v>
      </c>
      <c r="D24" s="334" t="str">
        <f>IF(F23&lt;=1,"销售费用×利率×(建设周期÷2)","销售费用×((1+利率)^(建设周期÷2)-1)")</f>
        <v>销售费用×((1+利率)^(建设周期÷2)-1)</v>
      </c>
      <c r="E24" s="307" t="s">
        <v>1363</v>
      </c>
      <c r="F24" s="336">
        <f ca="1">'数据-取费表'!B40</f>
        <v>4.2000000000000003E-2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3"/>
      <c r="D25" s="135" t="s">
        <v>1367</v>
      </c>
      <c r="E25" s="1513"/>
      <c r="F25" s="25"/>
      <c r="G25" s="1537"/>
      <c r="H25" s="1210" t="s">
        <v>999</v>
      </c>
      <c r="I25" s="1225" t="s">
        <v>1368</v>
      </c>
      <c r="J25" s="315">
        <f ca="1">J5-J16</f>
        <v>0</v>
      </c>
      <c r="K25" s="1226" t="s">
        <v>1369</v>
      </c>
      <c r="L25" s="1227"/>
      <c r="M25" s="1228"/>
    </row>
    <row r="26" spans="1:37" ht="18" customHeight="1">
      <c r="A26" s="1112" t="s">
        <v>1002</v>
      </c>
      <c r="B26" s="307" t="s">
        <v>1370</v>
      </c>
      <c r="C26" s="23">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3">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3">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3"/>
      <c r="I30" s="1551"/>
      <c r="J30" s="1552"/>
      <c r="K30" s="2668"/>
      <c r="L30" s="2894"/>
      <c r="M30" s="2895"/>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6" t="s">
        <v>2983</v>
      </c>
      <c r="I31" s="1551"/>
      <c r="J31" s="1552"/>
      <c r="K31" s="2668"/>
      <c r="L31" s="2894"/>
      <c r="M31" s="2895"/>
    </row>
    <row r="32" spans="1:37" ht="18" customHeight="1">
      <c r="A32" s="1112" t="s">
        <v>1002</v>
      </c>
      <c r="B32" s="307" t="s">
        <v>1338</v>
      </c>
      <c r="C32" s="23">
        <f ca="1">IF(项目基本情况!B11="自然人","——",ROUND(C6*F32/(1+'数据-取费表'!C42),0))</f>
        <v>0</v>
      </c>
      <c r="D32" s="1497" t="s">
        <v>1339</v>
      </c>
      <c r="E32" s="307" t="s">
        <v>1327</v>
      </c>
      <c r="F32" s="336">
        <f>'数据-取费表'!B41</f>
        <v>5.5000000000000007E-2</v>
      </c>
      <c r="G32" s="1537"/>
      <c r="H32" s="2893"/>
      <c r="I32" s="1551"/>
      <c r="J32" s="1552"/>
      <c r="K32" s="2668"/>
      <c r="L32" s="2894"/>
      <c r="M32" s="2895"/>
    </row>
    <row r="33" spans="1:18" ht="18" customHeight="1">
      <c r="A33" s="1112" t="s">
        <v>1004</v>
      </c>
      <c r="B33" s="307" t="s">
        <v>1342</v>
      </c>
      <c r="C33" s="23">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6"/>
      <c r="I33" s="1551"/>
      <c r="J33" s="1552"/>
      <c r="K33" s="2897"/>
      <c r="L33" s="2896"/>
      <c r="M33" s="2896"/>
    </row>
    <row r="34" spans="1:18" ht="18" customHeight="1">
      <c r="A34" s="1200" t="s">
        <v>1294</v>
      </c>
      <c r="B34" s="159" t="s">
        <v>1346</v>
      </c>
      <c r="C34" s="24">
        <f ca="1">IF(项目基本情况!B11="自然人","——",ROUND(F34*F35,))</f>
        <v>0</v>
      </c>
      <c r="D34" s="329" t="s">
        <v>1347</v>
      </c>
      <c r="E34" s="307" t="s">
        <v>1348</v>
      </c>
      <c r="F34" s="330">
        <f>'数据-取费表'!B52</f>
        <v>1.5</v>
      </c>
      <c r="G34" s="1537"/>
      <c r="H34" s="2893"/>
      <c r="I34" s="1551"/>
      <c r="J34" s="1552"/>
      <c r="K34" s="2898"/>
      <c r="L34" s="2899"/>
      <c r="M34" s="2899"/>
    </row>
    <row r="35" spans="1:18" ht="18" customHeight="1">
      <c r="A35" s="1234"/>
      <c r="B35" s="1232"/>
      <c r="C35" s="28"/>
      <c r="D35" s="332"/>
      <c r="E35" s="307" t="s">
        <v>1352</v>
      </c>
      <c r="F35" s="308">
        <f ca="1">INDIRECT("'数据-取费表'!r"&amp;$G$1)</f>
        <v>0</v>
      </c>
      <c r="G35" s="1537"/>
      <c r="H35" s="2893"/>
      <c r="I35" s="1551"/>
      <c r="J35" s="1552"/>
      <c r="K35" s="2897"/>
      <c r="L35" s="2896"/>
      <c r="M35" s="2896"/>
    </row>
    <row r="36" spans="1:18" ht="18" customHeight="1">
      <c r="A36" s="1233" t="s">
        <v>1007</v>
      </c>
      <c r="B36" s="307" t="s">
        <v>1354</v>
      </c>
      <c r="C36" s="23">
        <f ca="1">ROUND(C29*F36,0)</f>
        <v>0</v>
      </c>
      <c r="D36" s="1497" t="s">
        <v>1387</v>
      </c>
      <c r="E36" s="307" t="s">
        <v>1327</v>
      </c>
      <c r="F36" s="333">
        <f ca="1">INDIRECT("'数据-取费表'!Ak"&amp;$G$1)</f>
        <v>0</v>
      </c>
      <c r="G36" s="1537"/>
      <c r="H36" s="2896"/>
      <c r="I36" s="1551"/>
      <c r="J36" s="1552"/>
      <c r="K36" s="2737"/>
      <c r="L36" s="2896"/>
      <c r="M36" s="2896"/>
    </row>
    <row r="37" spans="1:18" ht="18" customHeight="1">
      <c r="A37" s="1112" t="s">
        <v>1043</v>
      </c>
      <c r="B37" s="307" t="s">
        <v>1358</v>
      </c>
      <c r="C37" s="23">
        <f ca="1">ROUND(C13*F37,0)</f>
        <v>0</v>
      </c>
      <c r="D37" s="1497" t="s">
        <v>1359</v>
      </c>
      <c r="E37" s="307" t="s">
        <v>1360</v>
      </c>
      <c r="F37" s="335">
        <f ca="1">INDIRECT("'数据-取费表'!Al"&amp;$G$1)</f>
        <v>0</v>
      </c>
      <c r="G37" s="1537"/>
      <c r="H37" s="2896"/>
      <c r="I37" s="1551"/>
      <c r="J37" s="1552"/>
      <c r="K37" s="2737"/>
      <c r="L37" s="2896"/>
      <c r="M37" s="2896"/>
    </row>
    <row r="38" spans="1:18" ht="18" customHeight="1" thickBot="1">
      <c r="A38" s="1220" t="s">
        <v>1298</v>
      </c>
      <c r="B38" s="1221" t="s">
        <v>1344</v>
      </c>
      <c r="C38" s="1222">
        <f ca="1">ROUND(C5*F38,1)</f>
        <v>0</v>
      </c>
      <c r="D38" s="1223" t="s">
        <v>1364</v>
      </c>
      <c r="E38" s="1221" t="s">
        <v>1360</v>
      </c>
      <c r="F38" s="1217">
        <f ca="1">INDIRECT("'数据-取费表'!Am"&amp;$G$1)</f>
        <v>0</v>
      </c>
      <c r="G38" s="1537"/>
      <c r="H38" s="2896"/>
      <c r="I38" s="1551"/>
      <c r="J38" s="1552"/>
      <c r="K38" s="2900"/>
      <c r="L38" s="2896"/>
      <c r="M38" s="2896"/>
    </row>
    <row r="39" spans="1:18" ht="24.6" customHeight="1" thickTop="1">
      <c r="A39" s="1210" t="s">
        <v>999</v>
      </c>
      <c r="B39" s="1225" t="s">
        <v>1388</v>
      </c>
      <c r="C39" s="315">
        <f ca="1">C5-C30</f>
        <v>0</v>
      </c>
      <c r="D39" s="1226" t="s">
        <v>1389</v>
      </c>
      <c r="E39" s="1227"/>
      <c r="F39" s="1228"/>
      <c r="G39" s="1537"/>
      <c r="H39" s="2896"/>
      <c r="I39" s="1551"/>
      <c r="J39" s="1552"/>
      <c r="K39" s="2900"/>
      <c r="L39" s="2896"/>
      <c r="M39" s="2896"/>
    </row>
    <row r="40" spans="1:18" ht="18" customHeight="1">
      <c r="A40" s="304" t="s">
        <v>1000</v>
      </c>
      <c r="B40" s="305" t="s">
        <v>1390</v>
      </c>
      <c r="C40" s="306" t="e">
        <f ca="1">ROUND(C39*(1-((1+F42)/(1+F40))^F41)/(F40-F42),0)</f>
        <v>#DIV/0!</v>
      </c>
      <c r="D40" s="329" t="s">
        <v>1374</v>
      </c>
      <c r="E40" s="307" t="s">
        <v>1375</v>
      </c>
      <c r="F40" s="317">
        <f ca="1">INDIRECT("'数据-取费表'!I"&amp;$G$1)</f>
        <v>0</v>
      </c>
      <c r="G40" s="1537"/>
      <c r="H40" s="1614"/>
      <c r="I40" s="1551"/>
      <c r="J40" s="1552"/>
      <c r="K40" s="2900"/>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7"/>
      <c r="L41" s="1324"/>
      <c r="M41" s="1324"/>
    </row>
    <row r="42" spans="1:18" ht="18" customHeight="1">
      <c r="A42" s="313"/>
      <c r="B42" s="314"/>
      <c r="C42" s="315"/>
      <c r="D42" s="332"/>
      <c r="E42" s="307" t="s">
        <v>1382</v>
      </c>
      <c r="F42" s="317">
        <f ca="1">INDIRECT("'数据-取费表'!v"&amp;$G$1)</f>
        <v>0</v>
      </c>
      <c r="G42" s="1537"/>
      <c r="H42" s="1324"/>
      <c r="I42" s="1551"/>
      <c r="J42" s="1552"/>
      <c r="K42" s="2737"/>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2798</v>
      </c>
      <c r="E53" s="318" t="s">
        <v>1315</v>
      </c>
      <c r="F53" s="1247"/>
      <c r="I53" s="1592" t="s">
        <v>1452</v>
      </c>
      <c r="J53" s="2355">
        <f ca="1">IF(M47="住宅",IF(D1="——",MAX(J51,L48),MAX(J51,L48-'数据-取费表'!B24)),IF(D1="——",MIN(J51,L48),MIN(J51,L48-'数据-取费表'!B24)))</f>
        <v>0</v>
      </c>
      <c r="K53" s="3459" t="s">
        <v>1453</v>
      </c>
      <c r="L53" s="3460"/>
      <c r="O53" s="1571" t="s">
        <v>1014</v>
      </c>
      <c r="P53" s="1572" t="s">
        <v>1454</v>
      </c>
      <c r="Q53" s="1573" t="e">
        <f ca="1">Q47+Q48</f>
        <v>#DIV/0!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0" t="s">
        <v>1383</v>
      </c>
      <c r="C57" s="243">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3">
        <f ca="1">IF(项目基本情况!B11="自然人","——",ROUND(C48*F60/(1+'数据-取费表'!C42),0))</f>
        <v>0</v>
      </c>
      <c r="D60" s="1094" t="s">
        <v>1339</v>
      </c>
      <c r="E60" s="1080" t="s">
        <v>1327</v>
      </c>
      <c r="F60" s="336">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3">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4">
        <f ca="1">IF(项目基本情况!B11="自然人","——",ROUND(F62*F63,0))</f>
        <v>0</v>
      </c>
      <c r="D62" s="1095" t="s">
        <v>1402</v>
      </c>
      <c r="E62" s="1080" t="s">
        <v>1403</v>
      </c>
      <c r="F62" s="330">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8"/>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3">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3">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2" t="s">
        <v>1409</v>
      </c>
      <c r="B66" s="1080" t="s">
        <v>1344</v>
      </c>
      <c r="C66" s="23">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t="e">
        <f ca="1">ROUND(C67*(1-((1+F70)/(1+F68))^F69)/(F68-F70),0)</f>
        <v>#DIV/0!</v>
      </c>
      <c r="D68" s="1095" t="s">
        <v>1374</v>
      </c>
      <c r="E68" s="1080" t="s">
        <v>1375</v>
      </c>
      <c r="F68" s="317">
        <f ca="1">F40</f>
        <v>0</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0</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0</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3111</v>
      </c>
      <c r="B1" s="3030"/>
      <c r="C1" s="3042"/>
      <c r="D1" s="3042"/>
      <c r="E1" s="3031"/>
      <c r="F1" s="3032"/>
      <c r="G1" s="3033"/>
      <c r="J1" s="3036" t="s">
        <v>2990</v>
      </c>
      <c r="K1" s="3037"/>
      <c r="L1" s="3037"/>
      <c r="M1" s="3037"/>
      <c r="N1" s="3037"/>
      <c r="O1" s="3037"/>
      <c r="P1" s="3037"/>
      <c r="Q1" s="3037"/>
      <c r="R1" s="3038"/>
      <c r="S1" s="3039"/>
      <c r="T1" s="3039"/>
      <c r="U1" s="3039"/>
    </row>
    <row r="2" spans="1:22" s="3051" customFormat="1" ht="13.15" customHeight="1">
      <c r="A2" s="1538" t="s">
        <v>2991</v>
      </c>
      <c r="B2" s="3041" t="e">
        <f>C40</f>
        <v>#DIV/0!</v>
      </c>
      <c r="C2" s="3042" t="s">
        <v>2992</v>
      </c>
      <c r="D2" s="3042"/>
      <c r="E2" s="3043"/>
      <c r="F2" s="3044"/>
      <c r="G2" s="3045"/>
      <c r="H2" s="3046"/>
      <c r="I2" s="3047"/>
      <c r="J2" s="3464" t="s">
        <v>2993</v>
      </c>
      <c r="K2" s="3465"/>
      <c r="L2" s="3048" t="s">
        <v>2994</v>
      </c>
      <c r="M2" s="3048" t="s">
        <v>2995</v>
      </c>
      <c r="N2" s="3048" t="s">
        <v>2996</v>
      </c>
      <c r="O2" s="3048" t="s">
        <v>2997</v>
      </c>
      <c r="P2" s="3048" t="s">
        <v>2998</v>
      </c>
      <c r="Q2" s="3049" t="s">
        <v>2999</v>
      </c>
      <c r="R2" s="3050" t="s">
        <v>3000</v>
      </c>
      <c r="S2" s="3039"/>
      <c r="T2" s="3039"/>
      <c r="U2" s="3039"/>
      <c r="V2" s="3047"/>
    </row>
    <row r="3" spans="1:22" s="3051" customFormat="1" ht="13.15" customHeight="1">
      <c r="A3" s="3052" t="s">
        <v>3001</v>
      </c>
      <c r="B3" s="3053" t="e">
        <f>ROUND(B2*10000/B4,0)</f>
        <v>#DIV/0!</v>
      </c>
      <c r="C3" s="3042" t="s">
        <v>3002</v>
      </c>
      <c r="D3" s="3042"/>
      <c r="E3" s="3043"/>
      <c r="F3" s="3044"/>
      <c r="G3" s="3045"/>
      <c r="H3" s="3046"/>
      <c r="I3" s="3047"/>
      <c r="J3" s="3466" t="s">
        <v>3003</v>
      </c>
      <c r="K3" s="3467"/>
      <c r="L3" s="3054"/>
      <c r="M3" s="3054"/>
      <c r="N3" s="3054"/>
      <c r="O3" s="3054"/>
      <c r="P3" s="3054"/>
      <c r="Q3" s="3055"/>
      <c r="R3" s="3056">
        <f>SUM(L3:Q3)</f>
        <v>0</v>
      </c>
      <c r="S3" s="3039"/>
      <c r="T3" s="3039"/>
      <c r="U3" s="3039"/>
      <c r="V3" s="3047"/>
    </row>
    <row r="4" spans="1:22" s="3051" customFormat="1" ht="13.15" customHeight="1">
      <c r="A4" s="3057" t="s">
        <v>3004</v>
      </c>
      <c r="B4" s="3058"/>
      <c r="C4" s="3042"/>
      <c r="D4" s="3042"/>
      <c r="E4" s="3043"/>
      <c r="F4" s="3044"/>
      <c r="G4" s="3045"/>
      <c r="H4" s="3046"/>
      <c r="I4" s="3047"/>
      <c r="J4" s="3466" t="s">
        <v>3005</v>
      </c>
      <c r="K4" s="3467"/>
      <c r="L4" s="3059"/>
      <c r="M4" s="3059"/>
      <c r="N4" s="3059"/>
      <c r="O4" s="3059"/>
      <c r="P4" s="3059"/>
      <c r="Q4" s="3060"/>
      <c r="R4" s="3061">
        <f>SUM(L4:Q4)</f>
        <v>0</v>
      </c>
      <c r="S4" s="3039"/>
      <c r="T4" s="3039"/>
      <c r="U4" s="3039"/>
      <c r="V4" s="3047"/>
    </row>
    <row r="5" spans="1:22" s="3051" customFormat="1" ht="13.15" customHeight="1" thickBot="1">
      <c r="A5" s="3062" t="s">
        <v>3006</v>
      </c>
      <c r="B5" s="3063"/>
      <c r="C5" s="3042"/>
      <c r="D5" s="3064"/>
      <c r="E5" s="3044"/>
      <c r="F5" s="3044"/>
      <c r="G5" s="3045"/>
      <c r="H5" s="3046"/>
      <c r="I5" s="3047"/>
      <c r="J5" s="3065" t="s">
        <v>3007</v>
      </c>
      <c r="K5" s="3066"/>
      <c r="L5" s="3066"/>
      <c r="M5" s="3067"/>
      <c r="N5" s="3067"/>
      <c r="O5" s="3067"/>
      <c r="P5" s="3067"/>
      <c r="Q5" s="3067"/>
      <c r="R5" s="3050">
        <f>SUM(R14,R19,R24,R25,R27,R28)</f>
        <v>0</v>
      </c>
      <c r="S5" s="3039"/>
      <c r="T5" s="3039" t="s">
        <v>3008</v>
      </c>
      <c r="U5" s="3039" t="e">
        <f>ROUND(R5*10000/365/R3,1)</f>
        <v>#DIV/0!</v>
      </c>
      <c r="V5" s="3047"/>
    </row>
    <row r="6" spans="1:22" s="3051" customFormat="1" ht="13.15" customHeight="1" thickBot="1">
      <c r="A6" s="3468" t="s">
        <v>3009</v>
      </c>
      <c r="B6" s="3469"/>
      <c r="C6" s="3470"/>
      <c r="D6" s="3068"/>
      <c r="E6" s="3069"/>
      <c r="F6" s="3070"/>
      <c r="G6" s="3071"/>
      <c r="H6" s="3046"/>
      <c r="I6" s="3047"/>
      <c r="J6" s="3471">
        <v>1</v>
      </c>
      <c r="K6" s="3472" t="s">
        <v>3010</v>
      </c>
      <c r="L6" s="3072" t="s">
        <v>3011</v>
      </c>
      <c r="M6" s="3073" t="s">
        <v>3012</v>
      </c>
      <c r="N6" s="3073" t="s">
        <v>3013</v>
      </c>
      <c r="O6" s="3073" t="s">
        <v>3014</v>
      </c>
      <c r="P6" s="3073" t="s">
        <v>3015</v>
      </c>
      <c r="Q6" s="3073" t="s">
        <v>3016</v>
      </c>
      <c r="R6" s="3056" t="s">
        <v>3017</v>
      </c>
      <c r="S6" s="3039"/>
      <c r="T6" s="3039" t="s">
        <v>3018</v>
      </c>
      <c r="U6" s="3039"/>
      <c r="V6" s="3047"/>
    </row>
    <row r="7" spans="1:22" s="3051" customFormat="1" ht="13.15" customHeight="1">
      <c r="A7" s="3074" t="s">
        <v>3019</v>
      </c>
      <c r="B7" s="3075"/>
      <c r="C7" s="3076"/>
      <c r="D7" s="3077">
        <f>SUM(D9,D10,D11,D17,0)</f>
        <v>0</v>
      </c>
      <c r="E7" s="3078" t="e">
        <f>E9+E10+E11+E17</f>
        <v>#DIV/0!</v>
      </c>
      <c r="F7" s="3079"/>
      <c r="G7" s="3080"/>
      <c r="H7" s="3046"/>
      <c r="I7" s="3047"/>
      <c r="J7" s="3471"/>
      <c r="K7" s="3473"/>
      <c r="L7" s="3081" t="s">
        <v>3020</v>
      </c>
      <c r="M7" s="3082"/>
      <c r="N7" s="3058"/>
      <c r="O7" s="3083"/>
      <c r="P7" s="3083"/>
      <c r="Q7" s="3084">
        <v>365</v>
      </c>
      <c r="R7" s="3085">
        <f>ROUND(M7*N7*O7*P7*Q7/10000,0)</f>
        <v>0</v>
      </c>
      <c r="S7" s="3039"/>
      <c r="T7" s="3039" t="s">
        <v>3021</v>
      </c>
      <c r="U7" s="3039"/>
      <c r="V7" s="3047"/>
    </row>
    <row r="8" spans="1:22" s="3051" customFormat="1" ht="13.15" customHeight="1">
      <c r="A8" s="3086" t="s">
        <v>3022</v>
      </c>
      <c r="B8" s="3475" t="s">
        <v>3023</v>
      </c>
      <c r="C8" s="3476"/>
      <c r="D8" s="3087" t="s">
        <v>3024</v>
      </c>
      <c r="E8" s="3088" t="s">
        <v>3025</v>
      </c>
      <c r="F8" s="3089" t="s">
        <v>3026</v>
      </c>
      <c r="G8" s="3090"/>
      <c r="H8" s="3046"/>
      <c r="I8" s="3047"/>
      <c r="J8" s="3471"/>
      <c r="K8" s="3473"/>
      <c r="L8" s="3081" t="s">
        <v>3027</v>
      </c>
      <c r="M8" s="3082"/>
      <c r="N8" s="3058"/>
      <c r="O8" s="3083"/>
      <c r="P8" s="3083"/>
      <c r="Q8" s="3084">
        <v>365</v>
      </c>
      <c r="R8" s="3085">
        <f t="shared" ref="R8:R13" si="0">ROUND(M8*N8*O8*P8*Q8/10000,0)</f>
        <v>0</v>
      </c>
      <c r="S8" s="3039"/>
      <c r="T8" s="3039" t="s">
        <v>3028</v>
      </c>
      <c r="U8" s="3039"/>
      <c r="V8" s="3047"/>
    </row>
    <row r="9" spans="1:22" s="3051" customFormat="1" ht="13.15" customHeight="1">
      <c r="A9" s="3086">
        <v>1</v>
      </c>
      <c r="B9" s="3475" t="s">
        <v>3029</v>
      </c>
      <c r="C9" s="3476"/>
      <c r="D9" s="3087">
        <f>ROUND(D6*E9,0)</f>
        <v>0</v>
      </c>
      <c r="E9" s="3091"/>
      <c r="F9" s="3092" t="s">
        <v>3030</v>
      </c>
      <c r="G9" s="3071"/>
      <c r="H9" s="3046"/>
      <c r="I9" s="3047"/>
      <c r="J9" s="3471"/>
      <c r="K9" s="3473"/>
      <c r="L9" s="3081" t="s">
        <v>3031</v>
      </c>
      <c r="M9" s="3082"/>
      <c r="N9" s="3058"/>
      <c r="O9" s="3083"/>
      <c r="P9" s="3083"/>
      <c r="Q9" s="3084">
        <v>365</v>
      </c>
      <c r="R9" s="3085">
        <f t="shared" si="0"/>
        <v>0</v>
      </c>
      <c r="S9" s="3039"/>
      <c r="T9" s="3039"/>
      <c r="U9" s="3039"/>
      <c r="V9" s="3047"/>
    </row>
    <row r="10" spans="1:22" s="3051" customFormat="1" ht="13.15" customHeight="1">
      <c r="A10" s="3086">
        <v>2</v>
      </c>
      <c r="B10" s="3475" t="s">
        <v>3032</v>
      </c>
      <c r="C10" s="3476"/>
      <c r="D10" s="3087">
        <f>ROUND(D6*E10,0)</f>
        <v>0</v>
      </c>
      <c r="E10" s="3091"/>
      <c r="F10" s="3092" t="s">
        <v>3033</v>
      </c>
      <c r="G10" s="3071"/>
      <c r="H10" s="3046"/>
      <c r="I10" s="3047"/>
      <c r="J10" s="3471"/>
      <c r="K10" s="3473"/>
      <c r="L10" s="3081" t="s">
        <v>3034</v>
      </c>
      <c r="M10" s="3082"/>
      <c r="N10" s="3058"/>
      <c r="O10" s="3083"/>
      <c r="P10" s="3083"/>
      <c r="Q10" s="3084">
        <v>365</v>
      </c>
      <c r="R10" s="3085">
        <f t="shared" si="0"/>
        <v>0</v>
      </c>
      <c r="S10" s="3039"/>
      <c r="T10" s="3039"/>
      <c r="U10" s="3039"/>
      <c r="V10" s="3047"/>
    </row>
    <row r="11" spans="1:22" s="3051" customFormat="1" ht="13.15" customHeight="1">
      <c r="A11" s="3086">
        <v>3</v>
      </c>
      <c r="B11" s="3475" t="s">
        <v>3035</v>
      </c>
      <c r="C11" s="3476"/>
      <c r="D11" s="3087">
        <f>D12+D14+D15+D16</f>
        <v>0</v>
      </c>
      <c r="E11" s="3093" t="e">
        <f>D11/D6</f>
        <v>#DIV/0!</v>
      </c>
      <c r="F11" s="3089"/>
      <c r="G11" s="3090"/>
      <c r="H11" s="3046"/>
      <c r="I11" s="3047"/>
      <c r="J11" s="3471"/>
      <c r="K11" s="3473"/>
      <c r="L11" s="3081" t="s">
        <v>3036</v>
      </c>
      <c r="M11" s="3082"/>
      <c r="N11" s="3058"/>
      <c r="O11" s="3083"/>
      <c r="P11" s="3083"/>
      <c r="Q11" s="3084">
        <v>365</v>
      </c>
      <c r="R11" s="3085">
        <f t="shared" si="0"/>
        <v>0</v>
      </c>
      <c r="S11" s="3039"/>
      <c r="T11" s="3039"/>
      <c r="U11" s="3039"/>
      <c r="V11" s="3047"/>
    </row>
    <row r="12" spans="1:22" s="3051" customFormat="1" ht="13.15" customHeight="1">
      <c r="A12" s="3094" t="s">
        <v>3037</v>
      </c>
      <c r="B12" s="3477" t="s">
        <v>3038</v>
      </c>
      <c r="C12" s="3478"/>
      <c r="D12" s="3095">
        <f>ROUND(D13*1.2%*(1-30%),0)</f>
        <v>0</v>
      </c>
      <c r="E12" s="3096">
        <v>1.2E-2</v>
      </c>
      <c r="F12" s="3089" t="s">
        <v>3039</v>
      </c>
      <c r="G12" s="3090"/>
      <c r="H12" s="3046"/>
      <c r="I12" s="3047"/>
      <c r="J12" s="3471"/>
      <c r="K12" s="3473"/>
      <c r="L12" s="3081" t="s">
        <v>3040</v>
      </c>
      <c r="M12" s="3082"/>
      <c r="N12" s="3058"/>
      <c r="O12" s="3083"/>
      <c r="P12" s="3083"/>
      <c r="Q12" s="3084">
        <v>365</v>
      </c>
      <c r="R12" s="3085">
        <f t="shared" si="0"/>
        <v>0</v>
      </c>
      <c r="S12" s="3039"/>
      <c r="T12" s="3039"/>
      <c r="U12" s="3039"/>
      <c r="V12" s="3047"/>
    </row>
    <row r="13" spans="1:22" s="3051" customFormat="1" ht="13.15" customHeight="1">
      <c r="A13" s="3094"/>
      <c r="B13" s="3097"/>
      <c r="C13" s="3098" t="s">
        <v>3041</v>
      </c>
      <c r="D13" s="3099"/>
      <c r="E13" s="3100"/>
      <c r="F13" s="3089"/>
      <c r="G13" s="3090"/>
      <c r="H13" s="3046"/>
      <c r="I13" s="3047"/>
      <c r="J13" s="3471"/>
      <c r="K13" s="3473"/>
      <c r="L13" s="3081" t="s">
        <v>3042</v>
      </c>
      <c r="M13" s="3082"/>
      <c r="N13" s="3058"/>
      <c r="O13" s="3083"/>
      <c r="P13" s="3083"/>
      <c r="Q13" s="3084">
        <v>365</v>
      </c>
      <c r="R13" s="3085">
        <f t="shared" si="0"/>
        <v>0</v>
      </c>
      <c r="S13" s="3039"/>
      <c r="T13" s="3039"/>
      <c r="U13" s="3039"/>
      <c r="V13" s="3047"/>
    </row>
    <row r="14" spans="1:22" s="3051" customFormat="1" ht="13.15" customHeight="1">
      <c r="A14" s="3094" t="s">
        <v>3043</v>
      </c>
      <c r="B14" s="3477" t="s">
        <v>3044</v>
      </c>
      <c r="C14" s="3478"/>
      <c r="D14" s="3095">
        <f>ROUND(E14*B5/10000,0)</f>
        <v>0</v>
      </c>
      <c r="E14" s="3084"/>
      <c r="F14" s="3089" t="s">
        <v>3045</v>
      </c>
      <c r="G14" s="3090"/>
      <c r="H14" s="3046"/>
      <c r="I14" s="3047"/>
      <c r="J14" s="3471"/>
      <c r="K14" s="3474"/>
      <c r="L14" s="3101" t="s">
        <v>3046</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3047</v>
      </c>
      <c r="B15" s="3477" t="s">
        <v>3048</v>
      </c>
      <c r="C15" s="3478"/>
      <c r="D15" s="3095">
        <f>ROUND(D6*E15,0)</f>
        <v>0</v>
      </c>
      <c r="E15" s="3096">
        <v>5.5E-2</v>
      </c>
      <c r="F15" s="3089" t="s">
        <v>3049</v>
      </c>
      <c r="G15" s="3071"/>
      <c r="H15" s="3046"/>
      <c r="I15" s="3047"/>
      <c r="J15" s="3471">
        <v>2</v>
      </c>
      <c r="K15" s="3472" t="s">
        <v>3050</v>
      </c>
      <c r="L15" s="3081" t="s">
        <v>3051</v>
      </c>
      <c r="M15" s="3082" t="s">
        <v>3052</v>
      </c>
      <c r="N15" s="3082" t="s">
        <v>3053</v>
      </c>
      <c r="O15" s="3083" t="s">
        <v>3054</v>
      </c>
      <c r="P15" s="3083" t="s">
        <v>3016</v>
      </c>
      <c r="Q15" s="3058" t="s">
        <v>3055</v>
      </c>
      <c r="R15" s="3105" t="s">
        <v>3017</v>
      </c>
      <c r="S15" s="3039"/>
      <c r="T15" s="3039"/>
      <c r="U15" s="3039"/>
      <c r="V15" s="3047"/>
    </row>
    <row r="16" spans="1:22" s="3051" customFormat="1" ht="13.15" customHeight="1">
      <c r="A16" s="3094" t="s">
        <v>3056</v>
      </c>
      <c r="B16" s="3477" t="s">
        <v>3057</v>
      </c>
      <c r="C16" s="3478"/>
      <c r="D16" s="3106">
        <f>D6*E16</f>
        <v>0</v>
      </c>
      <c r="E16" s="3107"/>
      <c r="F16" s="3092" t="s">
        <v>3058</v>
      </c>
      <c r="G16" s="3071"/>
      <c r="H16" s="3046"/>
      <c r="I16" s="3047"/>
      <c r="J16" s="3471"/>
      <c r="K16" s="3473"/>
      <c r="L16" s="3081" t="s">
        <v>3059</v>
      </c>
      <c r="M16" s="3082"/>
      <c r="N16" s="3082"/>
      <c r="O16" s="3083"/>
      <c r="P16" s="3084">
        <v>365</v>
      </c>
      <c r="Q16" s="3058"/>
      <c r="R16" s="3105">
        <f>ROUND(M16*N16*O16*P16/10000,0)</f>
        <v>0</v>
      </c>
      <c r="S16" s="3039"/>
      <c r="T16" s="3039"/>
      <c r="U16" s="3039"/>
      <c r="V16" s="3047"/>
    </row>
    <row r="17" spans="1:22" s="3051" customFormat="1" ht="13.15" customHeight="1" thickBot="1">
      <c r="A17" s="3108">
        <v>4</v>
      </c>
      <c r="B17" s="3479" t="s">
        <v>3060</v>
      </c>
      <c r="C17" s="3480"/>
      <c r="D17" s="3109">
        <f>ROUND(D6*E17,0)</f>
        <v>0</v>
      </c>
      <c r="E17" s="3110"/>
      <c r="F17" s="3111" t="s">
        <v>3061</v>
      </c>
      <c r="G17" s="3071"/>
      <c r="H17" s="3046"/>
      <c r="I17" s="3047"/>
      <c r="J17" s="3471"/>
      <c r="K17" s="3473"/>
      <c r="L17" s="3081" t="s">
        <v>3062</v>
      </c>
      <c r="M17" s="3082"/>
      <c r="N17" s="3082"/>
      <c r="O17" s="3083"/>
      <c r="P17" s="3084">
        <v>365</v>
      </c>
      <c r="Q17" s="3058"/>
      <c r="R17" s="3105">
        <f>ROUND(M17*N17*O17*P17/10000,0)</f>
        <v>0</v>
      </c>
      <c r="S17" s="3039"/>
      <c r="T17" s="3039"/>
      <c r="U17" s="3039"/>
      <c r="V17" s="3047"/>
    </row>
    <row r="18" spans="1:22" s="3051" customFormat="1" ht="13.15" customHeight="1" thickBot="1">
      <c r="A18" s="3074" t="s">
        <v>3063</v>
      </c>
      <c r="B18" s="3075"/>
      <c r="C18" s="3075"/>
      <c r="D18" s="3112">
        <f>ROUND(D6*E18,0)</f>
        <v>0</v>
      </c>
      <c r="E18" s="3113"/>
      <c r="F18" s="3114" t="s">
        <v>3064</v>
      </c>
      <c r="G18" s="3071"/>
      <c r="H18" s="3046"/>
      <c r="I18" s="3047"/>
      <c r="J18" s="3471"/>
      <c r="K18" s="3473"/>
      <c r="L18" s="3081" t="s">
        <v>3065</v>
      </c>
      <c r="M18" s="3082"/>
      <c r="N18" s="3082"/>
      <c r="O18" s="3083"/>
      <c r="P18" s="3084">
        <v>365</v>
      </c>
      <c r="Q18" s="3058"/>
      <c r="R18" s="3105">
        <f>ROUND(M18*N18*O18*P18/10000,0)</f>
        <v>0</v>
      </c>
      <c r="S18" s="3039"/>
      <c r="T18" s="3039"/>
      <c r="U18" s="3039"/>
      <c r="V18" s="3047"/>
    </row>
    <row r="19" spans="1:22" s="3051" customFormat="1" ht="13.15" customHeight="1" thickBot="1">
      <c r="A19" s="3115" t="s">
        <v>3066</v>
      </c>
      <c r="B19" s="3069"/>
      <c r="C19" s="3069"/>
      <c r="D19" s="3069"/>
      <c r="E19" s="3069"/>
      <c r="F19" s="3070"/>
      <c r="G19" s="3090"/>
      <c r="H19" s="3046"/>
      <c r="I19" s="3047"/>
      <c r="J19" s="3471"/>
      <c r="K19" s="3474"/>
      <c r="L19" s="3101" t="s">
        <v>3046</v>
      </c>
      <c r="M19" s="3102"/>
      <c r="N19" s="3102">
        <f>SUM(N16:N18)</f>
        <v>0</v>
      </c>
      <c r="O19" s="3103"/>
      <c r="P19" s="3116" t="s">
        <v>3110</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71">
        <v>3</v>
      </c>
      <c r="K20" s="3472" t="s">
        <v>3067</v>
      </c>
      <c r="L20" s="3081" t="s">
        <v>3068</v>
      </c>
      <c r="M20" s="3082" t="s">
        <v>3069</v>
      </c>
      <c r="N20" s="3119" t="s">
        <v>3070</v>
      </c>
      <c r="O20" s="3083" t="s">
        <v>3071</v>
      </c>
      <c r="P20" s="3084" t="s">
        <v>3072</v>
      </c>
      <c r="Q20" s="3058" t="s">
        <v>3073</v>
      </c>
      <c r="R20" s="3105" t="s">
        <v>3074</v>
      </c>
      <c r="S20" s="3120"/>
      <c r="T20" s="3120"/>
      <c r="U20" s="3120"/>
      <c r="V20" s="3047"/>
    </row>
    <row r="21" spans="1:22" s="3051" customFormat="1" ht="13.15" customHeight="1">
      <c r="A21" s="3074"/>
      <c r="B21" s="3075"/>
      <c r="C21" s="3121" t="s">
        <v>3075</v>
      </c>
      <c r="D21" s="3122" t="s">
        <v>3076</v>
      </c>
      <c r="E21" s="3123" t="s">
        <v>3077</v>
      </c>
      <c r="F21" s="3118"/>
      <c r="G21" s="3090"/>
      <c r="H21" s="3046"/>
      <c r="I21" s="3047"/>
      <c r="J21" s="3471"/>
      <c r="K21" s="3473"/>
      <c r="L21" s="3081" t="s">
        <v>3078</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3079</v>
      </c>
      <c r="D22" s="3126" t="s">
        <v>3080</v>
      </c>
      <c r="E22" s="3127" t="s">
        <v>3081</v>
      </c>
      <c r="F22" s="3118"/>
      <c r="G22" s="3128"/>
      <c r="H22" s="3046"/>
      <c r="I22" s="3047"/>
      <c r="J22" s="3471"/>
      <c r="K22" s="3473"/>
      <c r="L22" s="3081" t="s">
        <v>3082</v>
      </c>
      <c r="M22" s="3082"/>
      <c r="N22" s="3082"/>
      <c r="O22" s="3083"/>
      <c r="P22" s="3084">
        <v>365</v>
      </c>
      <c r="Q22" s="3058"/>
      <c r="R22" s="3124">
        <f>ROUND(M22*N22*O22*P22/10000,0)</f>
        <v>0</v>
      </c>
      <c r="S22" s="3120"/>
      <c r="T22" s="3120"/>
      <c r="U22" s="3120"/>
      <c r="V22" s="3047"/>
    </row>
    <row r="23" spans="1:22" s="3051" customFormat="1" ht="13.15" customHeight="1">
      <c r="A23" s="3129">
        <v>1</v>
      </c>
      <c r="B23" s="3130" t="s">
        <v>3083</v>
      </c>
      <c r="C23" s="3131">
        <f>D6</f>
        <v>0</v>
      </c>
      <c r="D23" s="3132">
        <f>C23*(1+D24)</f>
        <v>0</v>
      </c>
      <c r="E23" s="3133">
        <f>D23*(1+E24)</f>
        <v>0</v>
      </c>
      <c r="F23" s="3134"/>
      <c r="G23" s="3135"/>
      <c r="H23" s="3046"/>
      <c r="I23" s="3047"/>
      <c r="J23" s="3471"/>
      <c r="K23" s="3473"/>
      <c r="L23" s="3081" t="s">
        <v>3084</v>
      </c>
      <c r="M23" s="3082"/>
      <c r="N23" s="3082"/>
      <c r="O23" s="3083"/>
      <c r="P23" s="3084">
        <v>365</v>
      </c>
      <c r="Q23" s="3058"/>
      <c r="R23" s="3124">
        <f>ROUND(M23*N23*O23*P23/10000,0)</f>
        <v>0</v>
      </c>
      <c r="S23" s="3039"/>
      <c r="T23" s="3039"/>
      <c r="U23" s="3039"/>
      <c r="V23" s="3047"/>
    </row>
    <row r="24" spans="1:22" s="3051" customFormat="1" ht="13.15" customHeight="1">
      <c r="A24" s="3136"/>
      <c r="B24" s="3137" t="s">
        <v>3085</v>
      </c>
      <c r="C24" s="3138"/>
      <c r="D24" s="3139"/>
      <c r="E24" s="3140"/>
      <c r="F24" s="3141"/>
      <c r="G24" s="3135"/>
      <c r="H24" s="3046"/>
      <c r="I24" s="3047"/>
      <c r="J24" s="3471"/>
      <c r="K24" s="3474"/>
      <c r="L24" s="3101" t="s">
        <v>3046</v>
      </c>
      <c r="M24" s="3102">
        <f>SUM(M21:M23)</f>
        <v>0</v>
      </c>
      <c r="N24" s="3102"/>
      <c r="O24" s="3103"/>
      <c r="P24" s="3116" t="s">
        <v>3110</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3086</v>
      </c>
      <c r="L25" s="3144"/>
      <c r="M25" s="3144"/>
      <c r="N25" s="3144"/>
      <c r="O25" s="3144"/>
      <c r="P25" s="3145"/>
      <c r="Q25" s="3146">
        <v>0</v>
      </c>
      <c r="R25" s="3117">
        <f>ROUND(R14*Q25,0)</f>
        <v>0</v>
      </c>
      <c r="S25" s="3039"/>
      <c r="T25" s="3039"/>
      <c r="U25" s="3039"/>
      <c r="V25" s="3147"/>
    </row>
    <row r="26" spans="1:22" s="3148" customFormat="1" ht="13.15" customHeight="1">
      <c r="A26" s="3129">
        <v>2</v>
      </c>
      <c r="B26" s="3130" t="s">
        <v>3087</v>
      </c>
      <c r="C26" s="3131">
        <f>D7</f>
        <v>0</v>
      </c>
      <c r="D26" s="3132">
        <f>D23*D27</f>
        <v>0</v>
      </c>
      <c r="E26" s="3133">
        <f>E23*E27</f>
        <v>0</v>
      </c>
      <c r="F26" s="3134"/>
      <c r="G26" s="3135"/>
      <c r="H26" s="3046"/>
      <c r="I26" s="3047"/>
      <c r="J26" s="3481">
        <v>5</v>
      </c>
      <c r="K26" s="3149" t="s">
        <v>3088</v>
      </c>
      <c r="L26" s="3150"/>
      <c r="M26" s="3151"/>
      <c r="N26" s="3152" t="s">
        <v>3089</v>
      </c>
      <c r="O26" s="3152" t="s">
        <v>3090</v>
      </c>
      <c r="P26" s="3153" t="s">
        <v>3091</v>
      </c>
      <c r="Q26" s="3153" t="s">
        <v>3092</v>
      </c>
      <c r="R26" s="3056" t="s">
        <v>3017</v>
      </c>
      <c r="S26" s="3154"/>
      <c r="T26" s="3154"/>
      <c r="U26" s="3154"/>
      <c r="V26" s="3147"/>
    </row>
    <row r="27" spans="1:22" s="3051" customFormat="1" ht="13.15" customHeight="1">
      <c r="A27" s="3136"/>
      <c r="B27" s="3137" t="s">
        <v>3093</v>
      </c>
      <c r="C27" s="3155" t="e">
        <f>E7</f>
        <v>#DIV/0!</v>
      </c>
      <c r="D27" s="3139"/>
      <c r="E27" s="3140"/>
      <c r="F27" s="3141"/>
      <c r="G27" s="3135"/>
      <c r="H27" s="3156"/>
      <c r="I27" s="3147"/>
      <c r="J27" s="3482"/>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3094</v>
      </c>
      <c r="F28" s="3141"/>
      <c r="G28" s="3128"/>
      <c r="H28" s="3156"/>
      <c r="I28" s="3147"/>
      <c r="J28" s="3162">
        <v>6</v>
      </c>
      <c r="K28" s="3163" t="s">
        <v>3095</v>
      </c>
      <c r="L28" s="3164" t="s">
        <v>3096</v>
      </c>
      <c r="M28" s="3165"/>
      <c r="N28" s="3164" t="s">
        <v>3097</v>
      </c>
      <c r="O28" s="3166"/>
      <c r="P28" s="3164" t="s">
        <v>3098</v>
      </c>
      <c r="Q28" s="3167">
        <v>1.4999999999999999E-2</v>
      </c>
      <c r="R28" s="3168"/>
      <c r="S28" s="3120"/>
      <c r="T28" s="3120"/>
      <c r="U28" s="3120"/>
      <c r="V28" s="3147"/>
    </row>
    <row r="29" spans="1:22" s="3148" customFormat="1" ht="13.15" customHeight="1">
      <c r="A29" s="3129">
        <v>3</v>
      </c>
      <c r="B29" s="3130" t="s">
        <v>3099</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3093</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3100</v>
      </c>
      <c r="K31" s="3037"/>
      <c r="L31" s="3037"/>
      <c r="M31" s="3037"/>
      <c r="N31" s="3037"/>
      <c r="O31" s="3037"/>
      <c r="P31" s="3037"/>
      <c r="Q31" s="3037"/>
      <c r="R31" s="3038"/>
      <c r="S31" s="3120"/>
      <c r="T31" s="3039"/>
      <c r="U31" s="3039"/>
      <c r="V31" s="3147"/>
    </row>
    <row r="32" spans="1:22" s="3148" customFormat="1" ht="13.15" customHeight="1">
      <c r="A32" s="3129">
        <v>4</v>
      </c>
      <c r="B32" s="3130" t="s">
        <v>3101</v>
      </c>
      <c r="C32" s="3131">
        <f>C23-C26-C29</f>
        <v>0</v>
      </c>
      <c r="D32" s="3132">
        <f>D23-D26-D29</f>
        <v>0</v>
      </c>
      <c r="E32" s="3133">
        <f>E23-E26-E29</f>
        <v>0</v>
      </c>
      <c r="F32" s="3134"/>
      <c r="G32" s="3128"/>
      <c r="H32" s="3046"/>
      <c r="I32" s="3047"/>
      <c r="J32" s="3464" t="s">
        <v>2993</v>
      </c>
      <c r="K32" s="3465"/>
      <c r="L32" s="3048" t="s">
        <v>2994</v>
      </c>
      <c r="M32" s="3048" t="s">
        <v>2995</v>
      </c>
      <c r="N32" s="3048" t="s">
        <v>2996</v>
      </c>
      <c r="O32" s="3048" t="s">
        <v>2997</v>
      </c>
      <c r="P32" s="3048" t="s">
        <v>2998</v>
      </c>
      <c r="Q32" s="3049" t="s">
        <v>2999</v>
      </c>
      <c r="R32" s="3171" t="s">
        <v>3000</v>
      </c>
      <c r="S32" s="3120"/>
      <c r="T32" s="3039"/>
      <c r="U32" s="3039"/>
      <c r="V32" s="3147"/>
    </row>
    <row r="33" spans="1:23" s="3051" customFormat="1" ht="13.15" customHeight="1">
      <c r="A33" s="3129"/>
      <c r="B33" s="3130"/>
      <c r="C33" s="3131"/>
      <c r="D33" s="3172"/>
      <c r="E33" s="3173"/>
      <c r="F33" s="3134"/>
      <c r="G33" s="3128"/>
      <c r="H33" s="3156"/>
      <c r="I33" s="3147"/>
      <c r="J33" s="3466" t="s">
        <v>3003</v>
      </c>
      <c r="K33" s="3467"/>
      <c r="L33" s="3054"/>
      <c r="M33" s="3054"/>
      <c r="N33" s="3054"/>
      <c r="O33" s="3054"/>
      <c r="P33" s="3054"/>
      <c r="Q33" s="3055"/>
      <c r="R33" s="3174">
        <f>SUM(L33:Q33)</f>
        <v>0</v>
      </c>
      <c r="S33" s="3120"/>
      <c r="T33" s="3039"/>
      <c r="U33" s="3039"/>
      <c r="V33" s="3047"/>
    </row>
    <row r="34" spans="1:23" s="3051" customFormat="1" ht="13.15" customHeight="1">
      <c r="A34" s="3129">
        <v>5</v>
      </c>
      <c r="B34" s="3130" t="s">
        <v>3102</v>
      </c>
      <c r="C34" s="3175"/>
      <c r="D34" s="3176"/>
      <c r="E34" s="3177"/>
      <c r="F34" s="3134"/>
      <c r="G34" s="3128"/>
      <c r="H34" s="3156"/>
      <c r="I34" s="3147"/>
      <c r="J34" s="3466" t="s">
        <v>3005</v>
      </c>
      <c r="K34" s="3467"/>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3103</v>
      </c>
      <c r="C35" s="3179"/>
      <c r="D35" s="3180"/>
      <c r="E35" s="3181"/>
      <c r="F35" s="3134"/>
      <c r="G35" s="3182"/>
      <c r="H35" s="3046"/>
      <c r="I35" s="3147"/>
      <c r="J35" s="3065" t="s">
        <v>3007</v>
      </c>
      <c r="K35" s="3066"/>
      <c r="L35" s="3066"/>
      <c r="M35" s="3067"/>
      <c r="N35" s="3067"/>
      <c r="O35" s="3067"/>
      <c r="P35" s="3067"/>
      <c r="Q35" s="3067"/>
      <c r="R35" s="3183">
        <f>R40+R41+R43</f>
        <v>0</v>
      </c>
      <c r="S35" s="3120"/>
      <c r="T35" s="3039" t="s">
        <v>3008</v>
      </c>
      <c r="U35" s="3039"/>
      <c r="V35" s="3047"/>
    </row>
    <row r="36" spans="1:23" s="3051" customFormat="1" ht="13.15" customHeight="1" thickBot="1">
      <c r="A36" s="3129">
        <v>7</v>
      </c>
      <c r="B36" s="3184" t="s">
        <v>3104</v>
      </c>
      <c r="C36" s="3185"/>
      <c r="D36" s="3186"/>
      <c r="E36" s="3187"/>
      <c r="F36" s="3188">
        <f>C36+D36+E36</f>
        <v>0</v>
      </c>
      <c r="G36" s="3128"/>
      <c r="H36" s="3046"/>
      <c r="I36" s="3047"/>
      <c r="J36" s="3471">
        <v>1</v>
      </c>
      <c r="K36" s="3472" t="s">
        <v>3105</v>
      </c>
      <c r="L36" s="3072"/>
      <c r="M36" s="3073"/>
      <c r="N36" s="3073"/>
      <c r="O36" s="3073"/>
      <c r="P36" s="3073"/>
      <c r="Q36" s="3073"/>
      <c r="R36" s="3056" t="s">
        <v>3017</v>
      </c>
      <c r="S36" s="3120"/>
      <c r="T36" s="3039" t="s">
        <v>3018</v>
      </c>
      <c r="U36" s="3039"/>
      <c r="V36" s="3047"/>
    </row>
    <row r="37" spans="1:23" s="3051" customFormat="1" ht="13.15" customHeight="1">
      <c r="A37" s="3129"/>
      <c r="B37" s="3130"/>
      <c r="C37" s="3130"/>
      <c r="D37" s="3130"/>
      <c r="E37" s="3130"/>
      <c r="F37" s="3134"/>
      <c r="G37" s="3128"/>
      <c r="H37" s="3046"/>
      <c r="I37" s="3047"/>
      <c r="J37" s="3471"/>
      <c r="K37" s="3473"/>
      <c r="L37" s="3081"/>
      <c r="M37" s="3082"/>
      <c r="N37" s="3058"/>
      <c r="O37" s="3083"/>
      <c r="P37" s="3083"/>
      <c r="Q37" s="3084"/>
      <c r="R37" s="3085"/>
      <c r="S37" s="3120"/>
      <c r="T37" s="3039" t="s">
        <v>3021</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71"/>
      <c r="K38" s="3473"/>
      <c r="L38" s="3081"/>
      <c r="M38" s="3082"/>
      <c r="N38" s="3058"/>
      <c r="O38" s="3083"/>
      <c r="P38" s="3083"/>
      <c r="Q38" s="3084"/>
      <c r="R38" s="3085"/>
      <c r="S38" s="3120"/>
      <c r="T38" s="3039" t="s">
        <v>3028</v>
      </c>
      <c r="U38" s="3039"/>
      <c r="V38" s="3047"/>
    </row>
    <row r="39" spans="1:23" s="3051" customFormat="1" ht="13.15" customHeight="1">
      <c r="A39" s="3129">
        <v>9</v>
      </c>
      <c r="B39" s="3130" t="s">
        <v>3106</v>
      </c>
      <c r="C39" s="3095" t="e">
        <f>C38</f>
        <v>#DIV/0!</v>
      </c>
      <c r="D39" s="3130">
        <f>D38/(1+D34)^C36</f>
        <v>0</v>
      </c>
      <c r="E39" s="3130">
        <f>E38/(1+E34)^(C36+D36)</f>
        <v>0</v>
      </c>
      <c r="F39" s="3134"/>
      <c r="G39" s="3189"/>
      <c r="H39" s="3046"/>
      <c r="I39" s="3047"/>
      <c r="J39" s="3471"/>
      <c r="K39" s="3473"/>
      <c r="L39" s="3081"/>
      <c r="M39" s="3082"/>
      <c r="N39" s="3058"/>
      <c r="O39" s="3083"/>
      <c r="P39" s="3083"/>
      <c r="Q39" s="3084"/>
      <c r="R39" s="3085"/>
      <c r="S39" s="3120"/>
      <c r="T39" s="3039"/>
      <c r="U39" s="3039"/>
      <c r="V39" s="3047"/>
    </row>
    <row r="40" spans="1:23" s="3051" customFormat="1" ht="13.15" customHeight="1">
      <c r="A40" s="3190">
        <v>10</v>
      </c>
      <c r="B40" s="3130" t="s">
        <v>3107</v>
      </c>
      <c r="C40" s="3191" t="e">
        <f>C39+D39+E39</f>
        <v>#DIV/0!</v>
      </c>
      <c r="D40" s="3192"/>
      <c r="E40" s="3192"/>
      <c r="F40" s="3193"/>
      <c r="G40" s="3128"/>
      <c r="H40" s="3046"/>
      <c r="I40" s="3047"/>
      <c r="J40" s="3471"/>
      <c r="K40" s="3474"/>
      <c r="L40" s="3101" t="s">
        <v>3046</v>
      </c>
      <c r="M40" s="3102"/>
      <c r="N40" s="3102"/>
      <c r="O40" s="3103"/>
      <c r="P40" s="3103"/>
      <c r="Q40" s="3104"/>
      <c r="R40" s="3050">
        <f>SUM(R37:R39)</f>
        <v>0</v>
      </c>
      <c r="S40" s="3120"/>
      <c r="T40" s="3039"/>
      <c r="U40" s="3039"/>
      <c r="V40" s="3047"/>
    </row>
    <row r="41" spans="1:23" s="3051" customFormat="1" ht="13.15" customHeight="1" thickBot="1">
      <c r="A41" s="3194">
        <v>11</v>
      </c>
      <c r="B41" s="3195" t="s">
        <v>3108</v>
      </c>
      <c r="C41" s="3195" t="e">
        <f>ROUND(C40*10000/B4,0)</f>
        <v>#DIV/0!</v>
      </c>
      <c r="D41" s="3196"/>
      <c r="E41" s="3196"/>
      <c r="F41" s="3197"/>
      <c r="G41" s="3198"/>
      <c r="H41" s="3046"/>
      <c r="I41" s="3047"/>
      <c r="J41" s="3142">
        <v>2</v>
      </c>
      <c r="K41" s="3143" t="s">
        <v>3086</v>
      </c>
      <c r="L41" s="3144"/>
      <c r="M41" s="3144"/>
      <c r="N41" s="3144"/>
      <c r="O41" s="3144"/>
      <c r="P41" s="3145"/>
      <c r="Q41" s="3146"/>
      <c r="R41" s="3117">
        <f>ROUND(R40*Q41,0)</f>
        <v>0</v>
      </c>
      <c r="S41" s="3120"/>
      <c r="T41" s="3039"/>
      <c r="U41" s="3154"/>
      <c r="V41" s="3047"/>
    </row>
    <row r="42" spans="1:23" s="3051" customFormat="1" ht="13.15" customHeight="1">
      <c r="G42" s="3198"/>
      <c r="H42" s="3046"/>
      <c r="I42" s="3047"/>
      <c r="J42" s="3481">
        <v>3</v>
      </c>
      <c r="K42" s="3149" t="s">
        <v>3088</v>
      </c>
      <c r="L42" s="3150"/>
      <c r="M42" s="3151"/>
      <c r="N42" s="3152" t="s">
        <v>3089</v>
      </c>
      <c r="O42" s="3152" t="s">
        <v>3090</v>
      </c>
      <c r="P42" s="3153" t="s">
        <v>3091</v>
      </c>
      <c r="Q42" s="3153" t="s">
        <v>3092</v>
      </c>
      <c r="R42" s="3056" t="s">
        <v>3017</v>
      </c>
      <c r="S42" s="3154"/>
      <c r="T42" s="3154"/>
      <c r="U42" s="3039"/>
      <c r="V42" s="3047"/>
    </row>
    <row r="43" spans="1:23" ht="13.15" customHeight="1">
      <c r="A43" s="3051"/>
      <c r="B43" s="3051"/>
      <c r="C43" s="3051"/>
      <c r="D43" s="3051"/>
      <c r="E43" s="3051"/>
      <c r="F43" s="3051"/>
      <c r="I43" s="3034"/>
      <c r="J43" s="3482"/>
      <c r="K43" s="3157"/>
      <c r="L43" s="3158"/>
      <c r="M43" s="3159"/>
      <c r="N43" s="3082"/>
      <c r="O43" s="3082"/>
      <c r="P43" s="3082"/>
      <c r="Q43" s="3146"/>
      <c r="R43" s="3117">
        <f>ROUND(O43*N43*P43*(1-Q43)/10000,0)</f>
        <v>0</v>
      </c>
      <c r="S43" s="3120"/>
      <c r="T43" s="3039"/>
      <c r="V43" s="3200"/>
      <c r="W43" s="3201"/>
    </row>
    <row r="44" spans="1:23" ht="13.15" customHeight="1" thickBot="1">
      <c r="J44" s="3162">
        <v>6</v>
      </c>
      <c r="K44" s="3163" t="s">
        <v>3095</v>
      </c>
      <c r="L44" s="3202" t="s">
        <v>3096</v>
      </c>
      <c r="M44" s="3165"/>
      <c r="N44" s="3202" t="s">
        <v>3097</v>
      </c>
      <c r="O44" s="3165"/>
      <c r="P44" s="3202" t="s">
        <v>3098</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3"/>
      <c r="G1" s="1643"/>
      <c r="H1" s="1643"/>
      <c r="I1" s="1643"/>
      <c r="J1" s="1643"/>
      <c r="K1" s="1643"/>
      <c r="L1" s="1643"/>
      <c r="M1" s="1643"/>
      <c r="N1" s="1643"/>
      <c r="O1" s="1643"/>
      <c r="P1" s="1643"/>
      <c r="Q1" s="1643"/>
      <c r="R1" s="1643"/>
      <c r="S1" s="1643"/>
    </row>
    <row r="2" spans="1:22" ht="15.75">
      <c r="A2" s="2025" t="s">
        <v>2088</v>
      </c>
      <c r="B2" s="2026">
        <f ca="1">SUMIF(B6:B13,"&lt;&gt;#ref!",B6:B13)</f>
        <v>13397</v>
      </c>
      <c r="C2" s="2027" t="s">
        <v>2280</v>
      </c>
      <c r="D2" s="2028" t="s">
        <v>2281</v>
      </c>
      <c r="E2" s="2800">
        <f>SUM(E6:E13)</f>
        <v>17109.73</v>
      </c>
      <c r="F2" s="2903"/>
      <c r="G2" s="1643"/>
      <c r="H2" s="1643"/>
      <c r="I2" s="1643"/>
      <c r="J2" s="1643"/>
      <c r="K2" s="1643"/>
      <c r="L2" s="1643"/>
      <c r="M2" s="1643"/>
      <c r="N2" s="1643"/>
      <c r="O2" s="1643"/>
      <c r="P2" s="1643"/>
      <c r="Q2" s="1643"/>
      <c r="R2" s="1643"/>
      <c r="S2" s="1643"/>
    </row>
    <row r="3" spans="1:22" ht="15.75">
      <c r="A3" s="2025" t="s">
        <v>1300</v>
      </c>
      <c r="B3" s="2794">
        <f ca="1">ROUND(B2*10000/E2,0)</f>
        <v>7830</v>
      </c>
      <c r="C3" s="2027" t="s">
        <v>2288</v>
      </c>
      <c r="D3" s="2905"/>
      <c r="E3" s="2907"/>
      <c r="F3" s="2903"/>
      <c r="G3" s="1643"/>
      <c r="H3" s="1643"/>
      <c r="I3" s="1643"/>
      <c r="J3" s="1643"/>
      <c r="K3" s="1643"/>
      <c r="L3" s="1643"/>
      <c r="M3" s="1643"/>
      <c r="N3" s="1643"/>
      <c r="O3" s="1643"/>
      <c r="P3" s="1643"/>
      <c r="Q3" s="1643"/>
      <c r="R3" s="1643"/>
      <c r="S3" s="1643"/>
    </row>
    <row r="4" spans="1:22" ht="15.75">
      <c r="A4" s="2908"/>
      <c r="B4" s="2905"/>
      <c r="C4" s="2905"/>
      <c r="D4" s="2905"/>
      <c r="E4" s="2907"/>
      <c r="F4" s="2903"/>
      <c r="G4" s="1643"/>
      <c r="H4" s="1643"/>
      <c r="I4" s="1643"/>
      <c r="J4" s="1643"/>
      <c r="K4" s="1643"/>
      <c r="L4" s="1643"/>
      <c r="M4" s="1643"/>
      <c r="N4" s="1643"/>
      <c r="O4" s="1643"/>
      <c r="P4" s="1643"/>
      <c r="Q4" s="1643"/>
      <c r="R4" s="1643"/>
      <c r="S4" s="1643"/>
    </row>
    <row r="5" spans="1:22" ht="15">
      <c r="A5" s="2796" t="s">
        <v>2282</v>
      </c>
      <c r="B5" s="3483" t="s">
        <v>2283</v>
      </c>
      <c r="C5" s="3484"/>
      <c r="D5" s="2904"/>
      <c r="E5" s="2029" t="s">
        <v>2284</v>
      </c>
      <c r="F5" s="2030" t="s">
        <v>2285</v>
      </c>
      <c r="G5" s="1643"/>
      <c r="H5" s="1643"/>
      <c r="I5" s="1643"/>
      <c r="J5" s="1643"/>
      <c r="K5" s="1643"/>
      <c r="L5" s="1643"/>
      <c r="M5" s="1643"/>
      <c r="N5" s="1643"/>
      <c r="O5" s="1643"/>
      <c r="P5" s="1643"/>
      <c r="Q5" s="1643"/>
      <c r="R5" s="1643"/>
      <c r="S5" s="1643"/>
    </row>
    <row r="6" spans="1:22">
      <c r="A6" s="2797" t="str">
        <f>'数据-取费表'!AN6</f>
        <v>收益法</v>
      </c>
      <c r="B6" s="2795">
        <f ca="1">IF(F6="是",'数据-取费表'!AO6,0)</f>
        <v>13397</v>
      </c>
      <c r="C6" s="2027" t="s">
        <v>2280</v>
      </c>
      <c r="D6" s="2905"/>
      <c r="E6" s="2799">
        <f>IF(OR(A6=0,F6="否"),0,'数据-取费表'!K6+'数据-取费表'!S6)</f>
        <v>17109.73</v>
      </c>
      <c r="F6" s="2031" t="s">
        <v>2286</v>
      </c>
      <c r="G6" s="1643"/>
      <c r="H6" s="1643"/>
      <c r="I6" s="1643"/>
      <c r="J6" s="1643"/>
      <c r="K6" s="1643"/>
      <c r="L6" s="1643"/>
      <c r="M6" s="1643"/>
      <c r="N6" s="1643"/>
      <c r="O6" s="1643"/>
      <c r="P6" s="1643"/>
      <c r="Q6" s="1643"/>
      <c r="R6" s="1643"/>
      <c r="S6" s="1643"/>
    </row>
    <row r="7" spans="1:22">
      <c r="A7" s="2797">
        <f>'数据-取费表'!AN7</f>
        <v>0</v>
      </c>
      <c r="B7" s="2795" t="e">
        <f ca="1">IF(F7="是",'数据-取费表'!AO7,0)</f>
        <v>#REF!</v>
      </c>
      <c r="C7" s="2027" t="s">
        <v>2280</v>
      </c>
      <c r="D7" s="2905"/>
      <c r="E7" s="2799">
        <f>IF(OR(A7=0,F7="否"),0,'数据-取费表'!K7+'数据-取费表'!S7)</f>
        <v>0</v>
      </c>
      <c r="F7" s="2031" t="s">
        <v>2286</v>
      </c>
      <c r="G7" s="1643"/>
      <c r="H7" s="1643"/>
      <c r="I7" s="1643"/>
      <c r="J7" s="1643"/>
      <c r="K7" s="1643"/>
      <c r="L7" s="1643"/>
      <c r="M7" s="1643"/>
      <c r="N7" s="1643"/>
      <c r="O7" s="1643"/>
      <c r="P7" s="1643"/>
      <c r="Q7" s="1643"/>
      <c r="R7" s="1643"/>
      <c r="S7" s="1643"/>
    </row>
    <row r="8" spans="1:22">
      <c r="A8" s="2797">
        <f>'数据-取费表'!AN8</f>
        <v>0</v>
      </c>
      <c r="B8" s="2795" t="e">
        <f ca="1">IF(F8="是",'数据-取费表'!AO8,0)</f>
        <v>#REF!</v>
      </c>
      <c r="C8" s="2027" t="s">
        <v>2280</v>
      </c>
      <c r="D8" s="2905"/>
      <c r="E8" s="2799">
        <f>IF(OR(A8=0,F8="否"),0,'数据-取费表'!K8+'数据-取费表'!S8)</f>
        <v>0</v>
      </c>
      <c r="F8" s="2031" t="s">
        <v>2286</v>
      </c>
      <c r="G8" s="1643"/>
      <c r="H8" s="1643"/>
      <c r="I8" s="1643"/>
      <c r="J8" s="1643"/>
      <c r="K8" s="1643"/>
      <c r="L8" s="1643"/>
      <c r="M8" s="1643"/>
      <c r="N8" s="1643"/>
      <c r="O8" s="1643"/>
      <c r="P8" s="1643"/>
      <c r="Q8" s="1643"/>
      <c r="R8" s="1643"/>
      <c r="S8" s="1643"/>
    </row>
    <row r="9" spans="1:22">
      <c r="A9" s="2797">
        <f>'数据-取费表'!AN9</f>
        <v>0</v>
      </c>
      <c r="B9" s="2795" t="e">
        <f ca="1">IF(F9="是",'数据-取费表'!AO9,0)</f>
        <v>#REF!</v>
      </c>
      <c r="C9" s="2027" t="s">
        <v>2280</v>
      </c>
      <c r="D9" s="2905"/>
      <c r="E9" s="2799">
        <f>IF(OR(A9=0,F9="否"),0,'数据-取费表'!K9+'数据-取费表'!S9)</f>
        <v>0</v>
      </c>
      <c r="F9" s="2031" t="s">
        <v>2286</v>
      </c>
      <c r="G9" s="1643"/>
      <c r="H9" s="1643"/>
      <c r="I9" s="1643"/>
      <c r="J9" s="1643"/>
      <c r="K9" s="1643"/>
      <c r="L9" s="1643"/>
      <c r="M9" s="1643"/>
      <c r="N9" s="1643"/>
      <c r="O9" s="1643"/>
      <c r="P9" s="1643"/>
      <c r="Q9" s="1643"/>
      <c r="R9" s="1643"/>
      <c r="S9" s="1643"/>
    </row>
    <row r="10" spans="1:22">
      <c r="A10" s="2797">
        <f>'数据-取费表'!AN10</f>
        <v>0</v>
      </c>
      <c r="B10" s="2795" t="e">
        <f ca="1">IF(F10="是",'数据-取费表'!AO10,0)</f>
        <v>#REF!</v>
      </c>
      <c r="C10" s="2027" t="s">
        <v>2280</v>
      </c>
      <c r="D10" s="2905"/>
      <c r="E10" s="2799">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7">
        <f>'数据-取费表'!AN11</f>
        <v>0</v>
      </c>
      <c r="B11" s="2795" t="e">
        <f ca="1">IF(F11="是",'数据-取费表'!AO11,0)</f>
        <v>#REF!</v>
      </c>
      <c r="C11" s="2027" t="s">
        <v>2280</v>
      </c>
      <c r="D11" s="2905"/>
      <c r="E11" s="2799">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7">
        <f>'数据-取费表'!AN12</f>
        <v>0</v>
      </c>
      <c r="B12" s="2795" t="e">
        <f ca="1">IF(F12="是",'数据-取费表'!AO12,0)</f>
        <v>#REF!</v>
      </c>
      <c r="C12" s="2027" t="s">
        <v>2280</v>
      </c>
      <c r="D12" s="2905"/>
      <c r="E12" s="2799">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8">
        <f>'数据-取费表'!AN13</f>
        <v>0</v>
      </c>
      <c r="B13" s="2795" t="e">
        <f ca="1">IF(F13="是",'数据-取费表'!AO13,0)</f>
        <v>#REF!</v>
      </c>
      <c r="C13" s="2032" t="s">
        <v>2280</v>
      </c>
      <c r="D13" s="2906"/>
      <c r="E13" s="2799">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09"/>
      <c r="M2" s="2910"/>
      <c r="N2" s="2910"/>
      <c r="O2" s="2910"/>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17109.73</v>
      </c>
      <c r="E3" s="1037"/>
      <c r="F3" s="2043"/>
      <c r="G3" s="1037"/>
      <c r="H3" s="1037"/>
      <c r="I3" s="1037"/>
      <c r="J3" s="1037"/>
      <c r="K3" s="2039"/>
      <c r="L3" s="2909"/>
      <c r="M3" s="2910"/>
      <c r="N3" s="2910"/>
      <c r="O3" s="2910"/>
      <c r="P3" s="2040"/>
      <c r="Q3" s="2041"/>
      <c r="R3" s="2041"/>
      <c r="S3" s="2041"/>
      <c r="T3" s="2041"/>
      <c r="U3" s="2041"/>
      <c r="V3" s="2041"/>
      <c r="W3" s="2041"/>
      <c r="X3" s="2041"/>
      <c r="Y3" s="2041"/>
      <c r="Z3" s="2041"/>
      <c r="AA3" s="2041"/>
      <c r="AB3" s="2041"/>
      <c r="AC3" s="1191"/>
    </row>
    <row r="4" spans="1:29" ht="15">
      <c r="A4" s="360" t="s">
        <v>2296</v>
      </c>
      <c r="B4" s="361"/>
      <c r="C4" s="3429" t="s">
        <v>2297</v>
      </c>
      <c r="D4" s="3430"/>
      <c r="E4" s="3431" t="s">
        <v>2298</v>
      </c>
      <c r="F4" s="3432"/>
      <c r="G4" s="3429" t="s">
        <v>2299</v>
      </c>
      <c r="H4" s="3430"/>
      <c r="I4" s="3429" t="s">
        <v>2300</v>
      </c>
      <c r="J4" s="3430"/>
      <c r="K4" s="2044" t="s">
        <v>2301</v>
      </c>
      <c r="L4" s="2911"/>
      <c r="M4" s="2912"/>
      <c r="N4" s="2912"/>
      <c r="O4" s="2912"/>
      <c r="P4" s="3433" t="s">
        <v>2302</v>
      </c>
      <c r="Q4" s="3434"/>
      <c r="R4" s="3446" t="s">
        <v>2298</v>
      </c>
      <c r="S4" s="3447"/>
      <c r="T4" s="3446" t="s">
        <v>2299</v>
      </c>
      <c r="U4" s="3447"/>
      <c r="V4" s="3421" t="s">
        <v>2300</v>
      </c>
      <c r="W4" s="3421"/>
      <c r="X4" s="1508"/>
      <c r="Y4" s="3446" t="s">
        <v>2302</v>
      </c>
      <c r="Z4" s="3447"/>
      <c r="AA4" s="3426" t="s">
        <v>2298</v>
      </c>
      <c r="AB4" s="3426" t="s">
        <v>2299</v>
      </c>
      <c r="AC4" s="3426" t="s">
        <v>2300</v>
      </c>
    </row>
    <row r="5" spans="1:29" ht="15">
      <c r="A5" s="363"/>
      <c r="B5" s="364"/>
      <c r="C5" s="3450" t="s">
        <v>2303</v>
      </c>
      <c r="D5" s="3451"/>
      <c r="E5" s="3439" t="s">
        <v>2304</v>
      </c>
      <c r="F5" s="3440"/>
      <c r="G5" s="3450" t="s">
        <v>2305</v>
      </c>
      <c r="H5" s="3451"/>
      <c r="I5" s="3450" t="s">
        <v>2306</v>
      </c>
      <c r="J5" s="3451"/>
      <c r="K5" s="2045"/>
      <c r="L5" s="2911"/>
      <c r="M5" s="2912"/>
      <c r="N5" s="2912"/>
      <c r="O5" s="2912"/>
      <c r="P5" s="3435"/>
      <c r="Q5" s="3436"/>
      <c r="R5" s="3448"/>
      <c r="S5" s="3449"/>
      <c r="T5" s="3448"/>
      <c r="U5" s="3449"/>
      <c r="V5" s="3421"/>
      <c r="W5" s="3421"/>
      <c r="X5" s="1508"/>
      <c r="Y5" s="3448"/>
      <c r="Z5" s="3449"/>
      <c r="AA5" s="3427"/>
      <c r="AB5" s="3427"/>
      <c r="AC5" s="3427"/>
    </row>
    <row r="6" spans="1:29" ht="15.75" thickBot="1">
      <c r="A6" s="365"/>
      <c r="B6" s="366"/>
      <c r="C6" s="3485" t="s">
        <v>2307</v>
      </c>
      <c r="D6" s="3486"/>
      <c r="E6" s="3487" t="s">
        <v>2307</v>
      </c>
      <c r="F6" s="3488"/>
      <c r="G6" s="3485" t="s">
        <v>2307</v>
      </c>
      <c r="H6" s="3486"/>
      <c r="I6" s="3485" t="s">
        <v>2307</v>
      </c>
      <c r="J6" s="3486"/>
      <c r="K6" s="2045" t="s">
        <v>2308</v>
      </c>
      <c r="L6" s="2911"/>
      <c r="M6" s="2912"/>
      <c r="N6" s="2912"/>
      <c r="O6" s="2912"/>
      <c r="P6" s="3437"/>
      <c r="Q6" s="3438"/>
      <c r="R6" s="3448"/>
      <c r="S6" s="3449"/>
      <c r="T6" s="3457"/>
      <c r="U6" s="3458"/>
      <c r="V6" s="3421"/>
      <c r="W6" s="3421"/>
      <c r="X6" s="1508"/>
      <c r="Y6" s="3457"/>
      <c r="Z6" s="3458"/>
      <c r="AA6" s="3428"/>
      <c r="AB6" s="3428"/>
      <c r="AC6" s="3428"/>
    </row>
    <row r="7" spans="1:29" s="112" customFormat="1" ht="15.75" thickBot="1">
      <c r="A7" s="367" t="s">
        <v>2309</v>
      </c>
      <c r="B7" s="368"/>
      <c r="C7" s="369">
        <f>'数据-取费表'!B2</f>
        <v>44582</v>
      </c>
      <c r="D7" s="370">
        <v>100</v>
      </c>
      <c r="E7" s="371"/>
      <c r="F7" s="372">
        <f>SUMIF(58:58,YEAR(E7)&amp;"-"&amp;MONTH(E7),59:59)</f>
        <v>0</v>
      </c>
      <c r="G7" s="371"/>
      <c r="H7" s="370">
        <f>SUMIF(58:58,YEAR(G7)&amp;"-"&amp;MONTH(G7),59:59)</f>
        <v>0</v>
      </c>
      <c r="I7" s="371"/>
      <c r="J7" s="370">
        <f>SUMIF(58:58,YEAR(I7)&amp;"-"&amp;MONTH(I7),59:59)</f>
        <v>0</v>
      </c>
      <c r="K7" s="2046"/>
      <c r="L7" s="2913"/>
      <c r="M7" s="2914"/>
      <c r="N7" s="2914"/>
      <c r="O7" s="2914"/>
      <c r="P7" s="3441" t="s">
        <v>2310</v>
      </c>
      <c r="Q7" s="3454"/>
      <c r="R7" s="709" t="s">
        <v>23</v>
      </c>
      <c r="S7" s="710">
        <f t="shared" ref="S7:S15" si="0">F7</f>
        <v>0</v>
      </c>
      <c r="T7" s="709" t="s">
        <v>23</v>
      </c>
      <c r="U7" s="710">
        <f t="shared" ref="U7:U15" si="1">H7</f>
        <v>0</v>
      </c>
      <c r="V7" s="709" t="s">
        <v>23</v>
      </c>
      <c r="W7" s="710">
        <f t="shared" ref="W7:W15" si="2">J7</f>
        <v>0</v>
      </c>
      <c r="X7" s="711"/>
      <c r="Y7" s="3441" t="s">
        <v>2310</v>
      </c>
      <c r="Z7" s="3442"/>
      <c r="AA7" s="712" t="e">
        <f>D7/F7</f>
        <v>#DIV/0!</v>
      </c>
      <c r="AB7" s="712" t="e">
        <f>D7/H7</f>
        <v>#DIV/0!</v>
      </c>
      <c r="AC7" s="712" t="e">
        <f>D7/J7</f>
        <v>#DIV/0!</v>
      </c>
    </row>
    <row r="8" spans="1:29" s="112" customFormat="1" ht="15.7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3"/>
      <c r="M8" s="2914"/>
      <c r="N8" s="2914"/>
      <c r="O8" s="2914"/>
      <c r="P8" s="3441" t="s">
        <v>2313</v>
      </c>
      <c r="Q8" s="3442"/>
      <c r="R8" s="709" t="s">
        <v>23</v>
      </c>
      <c r="S8" s="710">
        <f t="shared" si="0"/>
        <v>0</v>
      </c>
      <c r="T8" s="709" t="s">
        <v>23</v>
      </c>
      <c r="U8" s="710">
        <f t="shared" si="1"/>
        <v>0</v>
      </c>
      <c r="V8" s="709" t="s">
        <v>23</v>
      </c>
      <c r="W8" s="710">
        <f t="shared" si="2"/>
        <v>0</v>
      </c>
      <c r="X8" s="711"/>
      <c r="Y8" s="3441" t="s">
        <v>2313</v>
      </c>
      <c r="Z8" s="3442"/>
      <c r="AA8" s="712" t="e">
        <f t="shared" ref="AA8:AA19" si="3">D8/F8</f>
        <v>#DIV/0!</v>
      </c>
      <c r="AB8" s="712" t="e">
        <f t="shared" ref="AB8:AB19" si="4">D8/H8</f>
        <v>#DIV/0!</v>
      </c>
      <c r="AC8" s="712" t="e">
        <f t="shared" ref="AC8:AC19" si="5">D8/J8</f>
        <v>#DIV/0!</v>
      </c>
    </row>
    <row r="9" spans="1:29" s="112" customFormat="1">
      <c r="A9" s="374" t="s">
        <v>2314</v>
      </c>
      <c r="B9" s="66" t="s">
        <v>2315</v>
      </c>
      <c r="C9" s="375"/>
      <c r="D9" s="130">
        <v>100</v>
      </c>
      <c r="E9" s="376"/>
      <c r="F9" s="377">
        <f>SUMIF(63:63,E9,64:64)-SUMIF(63:63,C9,64:64)+100</f>
        <v>100</v>
      </c>
      <c r="G9" s="378"/>
      <c r="H9" s="130">
        <f>SUMIF(63:63,G9,64:64)-SUMIF(63:63,C9,64:64)+100</f>
        <v>100</v>
      </c>
      <c r="I9" s="378"/>
      <c r="J9" s="130">
        <f>SUMIF(63:63,I9,64:64)-SUMIF(63:63,C9,64:64)+100</f>
        <v>100</v>
      </c>
      <c r="K9" s="2046"/>
      <c r="L9" s="2913"/>
      <c r="M9" s="2914"/>
      <c r="N9" s="2914"/>
      <c r="O9" s="2914"/>
      <c r="P9" s="3444" t="s">
        <v>2316</v>
      </c>
      <c r="Q9" s="1496" t="str">
        <f t="shared" ref="Q9:Q15" si="6">B9</f>
        <v>用途</v>
      </c>
      <c r="R9" s="709" t="s">
        <v>17</v>
      </c>
      <c r="S9" s="710">
        <f t="shared" si="0"/>
        <v>100</v>
      </c>
      <c r="T9" s="709" t="s">
        <v>17</v>
      </c>
      <c r="U9" s="710">
        <f t="shared" si="1"/>
        <v>100</v>
      </c>
      <c r="V9" s="709" t="s">
        <v>17</v>
      </c>
      <c r="W9" s="710">
        <f t="shared" si="2"/>
        <v>100</v>
      </c>
      <c r="X9" s="711"/>
      <c r="Y9" s="3389"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5"/>
      <c r="M10" s="2916"/>
      <c r="N10" s="2916"/>
      <c r="O10" s="2916"/>
      <c r="P10" s="3444"/>
      <c r="Q10" s="1496" t="str">
        <f t="shared" si="6"/>
        <v>土地使用年限（年）</v>
      </c>
      <c r="R10" s="709" t="s">
        <v>17</v>
      </c>
      <c r="S10" s="710">
        <f t="shared" si="0"/>
        <v>100</v>
      </c>
      <c r="T10" s="709" t="s">
        <v>17</v>
      </c>
      <c r="U10" s="710">
        <f t="shared" si="1"/>
        <v>100</v>
      </c>
      <c r="V10" s="709" t="s">
        <v>17</v>
      </c>
      <c r="W10" s="710">
        <f t="shared" si="2"/>
        <v>100</v>
      </c>
      <c r="X10" s="711"/>
      <c r="Y10" s="3389"/>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7"/>
      <c r="M11" s="2912"/>
      <c r="N11" s="2912"/>
      <c r="O11" s="2912"/>
      <c r="P11" s="3444"/>
      <c r="Q11" s="1496" t="str">
        <f t="shared" si="6"/>
        <v>容积率</v>
      </c>
      <c r="R11" s="709" t="s">
        <v>21</v>
      </c>
      <c r="S11" s="710" t="e">
        <f t="shared" si="0"/>
        <v>#N/A</v>
      </c>
      <c r="T11" s="709" t="s">
        <v>21</v>
      </c>
      <c r="U11" s="710" t="e">
        <f t="shared" si="1"/>
        <v>#N/A</v>
      </c>
      <c r="V11" s="709" t="s">
        <v>21</v>
      </c>
      <c r="W11" s="710" t="e">
        <f t="shared" si="2"/>
        <v>#N/A</v>
      </c>
      <c r="X11" s="711"/>
      <c r="Y11" s="3389"/>
      <c r="Z11" s="54" t="str">
        <f t="shared" si="7"/>
        <v>容积率</v>
      </c>
      <c r="AA11" s="712" t="e">
        <f t="shared" si="3"/>
        <v>#N/A</v>
      </c>
      <c r="AB11" s="712" t="e">
        <f t="shared" si="4"/>
        <v>#N/A</v>
      </c>
      <c r="AC11" s="712" t="e">
        <f t="shared" si="5"/>
        <v>#N/A</v>
      </c>
    </row>
    <row r="12" spans="1:29" s="112" customFormat="1" ht="15">
      <c r="A12" s="389"/>
      <c r="B12" s="2048">
        <v>111</v>
      </c>
      <c r="C12" s="390"/>
      <c r="D12" s="391">
        <v>100</v>
      </c>
      <c r="E12" s="390"/>
      <c r="F12" s="383">
        <f>SUMIF(70:70,E12,71:71)-SUMIF(70:70,C12,71:71)+100</f>
        <v>100</v>
      </c>
      <c r="G12" s="390"/>
      <c r="H12" s="131">
        <f>SUMIF(70:70,G12,71:71)-SUMIF(70:70,C12,71:71)+100</f>
        <v>100</v>
      </c>
      <c r="I12" s="390"/>
      <c r="J12" s="131">
        <f>SUMIF(70:70,I12,71:71)-SUMIF(70:70,C12,71:71)+100</f>
        <v>100</v>
      </c>
      <c r="K12" s="2049"/>
      <c r="L12" s="2913"/>
      <c r="M12" s="2914"/>
      <c r="N12" s="2914"/>
      <c r="O12" s="2914"/>
      <c r="P12" s="3444"/>
      <c r="Q12" s="1496">
        <f t="shared" si="6"/>
        <v>111</v>
      </c>
      <c r="R12" s="709" t="s">
        <v>21</v>
      </c>
      <c r="S12" s="710">
        <f t="shared" si="0"/>
        <v>100</v>
      </c>
      <c r="T12" s="709" t="s">
        <v>21</v>
      </c>
      <c r="U12" s="710">
        <f t="shared" si="1"/>
        <v>100</v>
      </c>
      <c r="V12" s="709" t="s">
        <v>21</v>
      </c>
      <c r="W12" s="710">
        <f t="shared" si="2"/>
        <v>100</v>
      </c>
      <c r="X12" s="711"/>
      <c r="Y12" s="3389"/>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18"/>
      <c r="M13" s="2912"/>
      <c r="N13" s="2912"/>
      <c r="O13" s="2912"/>
      <c r="P13" s="3444"/>
      <c r="Q13" s="1496">
        <f t="shared" si="6"/>
        <v>111</v>
      </c>
      <c r="R13" s="709" t="s">
        <v>21</v>
      </c>
      <c r="S13" s="710">
        <f t="shared" si="0"/>
        <v>100</v>
      </c>
      <c r="T13" s="709" t="s">
        <v>21</v>
      </c>
      <c r="U13" s="710">
        <f t="shared" si="1"/>
        <v>100</v>
      </c>
      <c r="V13" s="709" t="s">
        <v>21</v>
      </c>
      <c r="W13" s="710">
        <f t="shared" si="2"/>
        <v>100</v>
      </c>
      <c r="X13" s="711"/>
      <c r="Y13" s="3389"/>
      <c r="Z13" s="54">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18"/>
      <c r="M14" s="2912"/>
      <c r="N14" s="2912"/>
      <c r="O14" s="2912"/>
      <c r="P14" s="3444"/>
      <c r="Q14" s="1496">
        <f t="shared" si="6"/>
        <v>111</v>
      </c>
      <c r="R14" s="709" t="s">
        <v>21</v>
      </c>
      <c r="S14" s="710">
        <f t="shared" si="0"/>
        <v>100</v>
      </c>
      <c r="T14" s="709" t="s">
        <v>21</v>
      </c>
      <c r="U14" s="710">
        <f t="shared" si="1"/>
        <v>100</v>
      </c>
      <c r="V14" s="709" t="s">
        <v>21</v>
      </c>
      <c r="W14" s="710">
        <f t="shared" si="2"/>
        <v>100</v>
      </c>
      <c r="X14" s="711"/>
      <c r="Y14" s="3389"/>
      <c r="Z14" s="54">
        <f t="shared" si="7"/>
        <v>111</v>
      </c>
      <c r="AA14" s="712">
        <f t="shared" si="3"/>
        <v>1</v>
      </c>
      <c r="AB14" s="712">
        <f t="shared" si="4"/>
        <v>1</v>
      </c>
      <c r="AC14" s="712">
        <f t="shared" si="5"/>
        <v>1</v>
      </c>
    </row>
    <row r="15" spans="1:29" ht="15">
      <c r="A15" s="398" t="s">
        <v>2320</v>
      </c>
      <c r="B15" s="64" t="s">
        <v>1883</v>
      </c>
      <c r="C15" s="205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18"/>
      <c r="M15" s="2912"/>
      <c r="N15" s="2912"/>
      <c r="O15" s="2912"/>
      <c r="P15" s="3495" t="s">
        <v>2321</v>
      </c>
      <c r="Q15" s="1505" t="str">
        <f t="shared" si="6"/>
        <v>居住社区成熟度</v>
      </c>
      <c r="R15" s="713" t="s">
        <v>21</v>
      </c>
      <c r="S15" s="714">
        <f t="shared" si="0"/>
        <v>100</v>
      </c>
      <c r="T15" s="713" t="s">
        <v>21</v>
      </c>
      <c r="U15" s="714">
        <f t="shared" si="1"/>
        <v>100</v>
      </c>
      <c r="V15" s="713" t="s">
        <v>21</v>
      </c>
      <c r="W15" s="714">
        <f t="shared" si="2"/>
        <v>100</v>
      </c>
      <c r="X15" s="1508"/>
      <c r="Y15" s="3422"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18"/>
      <c r="M16" s="2912"/>
      <c r="N16" s="2912"/>
      <c r="O16" s="2912"/>
      <c r="P16" s="3496"/>
      <c r="Q16" s="1505"/>
      <c r="R16" s="713"/>
      <c r="S16" s="714"/>
      <c r="T16" s="713"/>
      <c r="U16" s="714"/>
      <c r="V16" s="713"/>
      <c r="W16" s="714"/>
      <c r="X16" s="1508"/>
      <c r="Y16" s="3423"/>
      <c r="Z16" s="1509"/>
      <c r="AA16" s="1506">
        <v>1</v>
      </c>
      <c r="AB16" s="1506">
        <v>1</v>
      </c>
      <c r="AC16" s="1506">
        <v>1</v>
      </c>
    </row>
    <row r="17" spans="1:29" ht="15">
      <c r="A17" s="386"/>
      <c r="B17" s="409" t="s">
        <v>1885</v>
      </c>
      <c r="C17" s="2055">
        <f>估价对象房地状况!C6</f>
        <v>0</v>
      </c>
      <c r="D17" s="408">
        <v>100</v>
      </c>
      <c r="E17" s="412"/>
      <c r="F17" s="408">
        <f>SUMIF(78:78,E18,79:79)-SUMIF(78:78,C18,79:79)+100</f>
        <v>100</v>
      </c>
      <c r="G17" s="410"/>
      <c r="H17" s="413">
        <f>SUMIF(78:78,G18,79:79)-SUMIF(78:78,C18,79:79)+100</f>
        <v>100</v>
      </c>
      <c r="I17" s="410"/>
      <c r="J17" s="413">
        <f>SUMIF(78:78,I18,79:79)-SUMIF(78:78,C18,79:79)+100</f>
        <v>100</v>
      </c>
      <c r="K17" s="403"/>
      <c r="L17" s="2918"/>
      <c r="M17" s="2912"/>
      <c r="N17" s="2912"/>
      <c r="O17" s="2912"/>
      <c r="P17" s="3496"/>
      <c r="Q17" s="1505" t="str">
        <f>B17</f>
        <v>交通便捷度</v>
      </c>
      <c r="R17" s="713" t="s">
        <v>21</v>
      </c>
      <c r="S17" s="714">
        <f>F17</f>
        <v>100</v>
      </c>
      <c r="T17" s="713" t="s">
        <v>21</v>
      </c>
      <c r="U17" s="714">
        <f>H17</f>
        <v>100</v>
      </c>
      <c r="V17" s="713" t="s">
        <v>21</v>
      </c>
      <c r="W17" s="714">
        <f>J17</f>
        <v>100</v>
      </c>
      <c r="X17" s="1508"/>
      <c r="Y17" s="3423"/>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18"/>
      <c r="M18" s="2912"/>
      <c r="N18" s="2912"/>
      <c r="O18" s="2912"/>
      <c r="P18" s="3496"/>
      <c r="Q18" s="1505"/>
      <c r="R18" s="713"/>
      <c r="S18" s="714"/>
      <c r="T18" s="713"/>
      <c r="U18" s="714"/>
      <c r="V18" s="713"/>
      <c r="W18" s="714"/>
      <c r="X18" s="1508"/>
      <c r="Y18" s="3423"/>
      <c r="Z18" s="1509"/>
      <c r="AA18" s="1506">
        <v>1</v>
      </c>
      <c r="AB18" s="1506">
        <v>1</v>
      </c>
      <c r="AC18" s="1506">
        <v>1</v>
      </c>
    </row>
    <row r="19" spans="1:29" ht="15">
      <c r="A19" s="386"/>
      <c r="B19" s="409" t="s">
        <v>1884</v>
      </c>
      <c r="C19" s="2055">
        <f>估价对象房地状况!C7</f>
        <v>0</v>
      </c>
      <c r="D19" s="413">
        <v>100</v>
      </c>
      <c r="E19" s="417"/>
      <c r="F19" s="413">
        <f>SUMIF(80:80,E20,81:81)-SUMIF(80:80,C20,81:81)+100</f>
        <v>100</v>
      </c>
      <c r="G19" s="415"/>
      <c r="H19" s="408">
        <f>SUMIF(80:80,G20,81:81)-SUMIF(80:80,C20,81:81)+100</f>
        <v>100</v>
      </c>
      <c r="I19" s="415"/>
      <c r="J19" s="408">
        <f>SUMIF(80:80,I20,81:81)-SUMIF(80:80,C20,81:81)+100</f>
        <v>100</v>
      </c>
      <c r="K19" s="403"/>
      <c r="L19" s="2918"/>
      <c r="M19" s="2912"/>
      <c r="N19" s="2912"/>
      <c r="O19" s="2912"/>
      <c r="P19" s="3496"/>
      <c r="Q19" s="1505" t="str">
        <f>B19</f>
        <v>公共配套设施</v>
      </c>
      <c r="R19" s="713" t="s">
        <v>21</v>
      </c>
      <c r="S19" s="714">
        <f>F19</f>
        <v>100</v>
      </c>
      <c r="T19" s="713" t="s">
        <v>21</v>
      </c>
      <c r="U19" s="714">
        <f>H19</f>
        <v>100</v>
      </c>
      <c r="V19" s="713" t="s">
        <v>21</v>
      </c>
      <c r="W19" s="714">
        <f>J19</f>
        <v>100</v>
      </c>
      <c r="X19" s="1508"/>
      <c r="Y19" s="3423"/>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18"/>
      <c r="M20" s="2912"/>
      <c r="N20" s="2912"/>
      <c r="O20" s="2912"/>
      <c r="P20" s="3496"/>
      <c r="Q20" s="1505"/>
      <c r="R20" s="713"/>
      <c r="S20" s="714"/>
      <c r="T20" s="713"/>
      <c r="U20" s="714"/>
      <c r="V20" s="713"/>
      <c r="W20" s="714"/>
      <c r="X20" s="1508"/>
      <c r="Y20" s="3423"/>
      <c r="Z20" s="1509"/>
      <c r="AA20" s="1506">
        <v>1</v>
      </c>
      <c r="AB20" s="1506">
        <v>1</v>
      </c>
      <c r="AC20" s="1506">
        <v>1</v>
      </c>
    </row>
    <row r="21" spans="1:29" ht="15">
      <c r="A21" s="386"/>
      <c r="B21" s="1264" t="s">
        <v>1886</v>
      </c>
      <c r="C21" s="2055">
        <f>估价对象房地状况!C8</f>
        <v>0</v>
      </c>
      <c r="D21" s="408">
        <v>100</v>
      </c>
      <c r="E21" s="417"/>
      <c r="F21" s="413">
        <f>SUMIF(82:82,E22,83:83)-SUMIF(82:82,C22,83:83)+100</f>
        <v>100</v>
      </c>
      <c r="G21" s="415"/>
      <c r="H21" s="408">
        <f>SUMIF(82:82,G22,83:83)-SUMIF(82:82,C22,83:83)+100</f>
        <v>100</v>
      </c>
      <c r="I21" s="415"/>
      <c r="J21" s="408">
        <f>SUMIF(82:82,I22,83:83)-SUMIF(82:82,C22,83:83)+100</f>
        <v>100</v>
      </c>
      <c r="K21" s="403"/>
      <c r="L21" s="2918"/>
      <c r="M21" s="2912"/>
      <c r="N21" s="2912"/>
      <c r="O21" s="2912"/>
      <c r="P21" s="3496"/>
      <c r="Q21" s="1505" t="str">
        <f>B21</f>
        <v>基础设施水平</v>
      </c>
      <c r="R21" s="713" t="s">
        <v>17</v>
      </c>
      <c r="S21" s="714">
        <f>F21</f>
        <v>100</v>
      </c>
      <c r="T21" s="713" t="s">
        <v>17</v>
      </c>
      <c r="U21" s="714">
        <f>H21</f>
        <v>100</v>
      </c>
      <c r="V21" s="713" t="s">
        <v>17</v>
      </c>
      <c r="W21" s="714">
        <f>J21</f>
        <v>100</v>
      </c>
      <c r="X21" s="1508"/>
      <c r="Y21" s="3423"/>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18"/>
      <c r="M22" s="2912"/>
      <c r="N22" s="2912"/>
      <c r="O22" s="2912"/>
      <c r="P22" s="3496"/>
      <c r="Q22" s="1505"/>
      <c r="R22" s="713"/>
      <c r="S22" s="714"/>
      <c r="T22" s="713"/>
      <c r="U22" s="714"/>
      <c r="V22" s="713"/>
      <c r="W22" s="714"/>
      <c r="X22" s="1508"/>
      <c r="Y22" s="3423"/>
      <c r="Z22" s="1509"/>
      <c r="AA22" s="1506">
        <v>1</v>
      </c>
      <c r="AB22" s="1506">
        <v>1</v>
      </c>
      <c r="AC22" s="1506">
        <v>1</v>
      </c>
    </row>
    <row r="23" spans="1:29" ht="15">
      <c r="A23" s="386"/>
      <c r="B23" s="409" t="s">
        <v>1887</v>
      </c>
      <c r="C23" s="2055">
        <f>估价对象房地状况!C9</f>
        <v>0</v>
      </c>
      <c r="D23" s="408">
        <v>100</v>
      </c>
      <c r="E23" s="412"/>
      <c r="F23" s="408">
        <f>SUMIF(84:84,E24,85:85)-SUMIF(84:84,C24,85:85)+100</f>
        <v>100</v>
      </c>
      <c r="G23" s="410"/>
      <c r="H23" s="408">
        <f>SUMIF(84:84,G24,85:85)-SUMIF(84:84,C24,85:85)+100</f>
        <v>100</v>
      </c>
      <c r="I23" s="410"/>
      <c r="J23" s="408">
        <f>SUMIF(84:84,I24,85:85)-SUMIF(84:84,C24,85:85)+100</f>
        <v>100</v>
      </c>
      <c r="K23" s="403"/>
      <c r="L23" s="2918"/>
      <c r="M23" s="2912"/>
      <c r="N23" s="2912"/>
      <c r="O23" s="2912"/>
      <c r="P23" s="3496"/>
      <c r="Q23" s="1505" t="str">
        <f>B23</f>
        <v>自然及人文环境</v>
      </c>
      <c r="R23" s="713" t="s">
        <v>21</v>
      </c>
      <c r="S23" s="714">
        <f>F23</f>
        <v>100</v>
      </c>
      <c r="T23" s="713" t="s">
        <v>21</v>
      </c>
      <c r="U23" s="714">
        <f>H23</f>
        <v>100</v>
      </c>
      <c r="V23" s="713" t="s">
        <v>21</v>
      </c>
      <c r="W23" s="714">
        <f>J23</f>
        <v>100</v>
      </c>
      <c r="X23" s="1508"/>
      <c r="Y23" s="3423"/>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18"/>
      <c r="M24" s="2912"/>
      <c r="N24" s="2912"/>
      <c r="O24" s="2912"/>
      <c r="P24" s="3496"/>
      <c r="Q24" s="1505"/>
      <c r="R24" s="713"/>
      <c r="S24" s="714"/>
      <c r="T24" s="713"/>
      <c r="U24" s="714"/>
      <c r="V24" s="713"/>
      <c r="W24" s="714"/>
      <c r="X24" s="1508"/>
      <c r="Y24" s="3423"/>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18"/>
      <c r="M25" s="2912"/>
      <c r="N25" s="2912"/>
      <c r="O25" s="2912"/>
      <c r="P25" s="3496"/>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423"/>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18"/>
      <c r="M26" s="2912"/>
      <c r="N26" s="2912"/>
      <c r="O26" s="2912"/>
      <c r="P26" s="3496"/>
      <c r="Q26" s="1505" t="str">
        <f t="shared" si="11"/>
        <v>朝向</v>
      </c>
      <c r="R26" s="713" t="s">
        <v>21</v>
      </c>
      <c r="S26" s="714">
        <f t="shared" si="12"/>
        <v>100</v>
      </c>
      <c r="T26" s="713" t="s">
        <v>21</v>
      </c>
      <c r="U26" s="714">
        <f t="shared" si="13"/>
        <v>100</v>
      </c>
      <c r="V26" s="713" t="s">
        <v>21</v>
      </c>
      <c r="W26" s="714">
        <f t="shared" si="14"/>
        <v>100</v>
      </c>
      <c r="X26" s="1508"/>
      <c r="Y26" s="3423"/>
      <c r="Z26" s="1509" t="str">
        <f>Q26</f>
        <v>朝向</v>
      </c>
      <c r="AA26" s="1506">
        <f t="shared" si="15"/>
        <v>1</v>
      </c>
      <c r="AB26" s="1506">
        <f t="shared" si="16"/>
        <v>1</v>
      </c>
      <c r="AC26" s="1506">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3"/>
      <c r="M27" s="2914"/>
      <c r="N27" s="2914"/>
      <c r="O27" s="2914"/>
      <c r="P27" s="3496"/>
      <c r="Q27" s="1496">
        <f t="shared" si="11"/>
        <v>111</v>
      </c>
      <c r="R27" s="709" t="s">
        <v>21</v>
      </c>
      <c r="S27" s="710">
        <f t="shared" si="12"/>
        <v>100</v>
      </c>
      <c r="T27" s="709" t="s">
        <v>21</v>
      </c>
      <c r="U27" s="710">
        <f t="shared" si="13"/>
        <v>100</v>
      </c>
      <c r="V27" s="709" t="s">
        <v>21</v>
      </c>
      <c r="W27" s="710">
        <f t="shared" si="14"/>
        <v>100</v>
      </c>
      <c r="X27" s="711"/>
      <c r="Y27" s="3423"/>
      <c r="Z27" s="54">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18"/>
      <c r="M28" s="2912"/>
      <c r="N28" s="2912"/>
      <c r="O28" s="2912"/>
      <c r="P28" s="3496"/>
      <c r="Q28" s="1505">
        <f t="shared" si="11"/>
        <v>111</v>
      </c>
      <c r="R28" s="713" t="s">
        <v>21</v>
      </c>
      <c r="S28" s="714">
        <f t="shared" si="12"/>
        <v>100</v>
      </c>
      <c r="T28" s="713" t="s">
        <v>21</v>
      </c>
      <c r="U28" s="714">
        <f t="shared" si="13"/>
        <v>100</v>
      </c>
      <c r="V28" s="713" t="s">
        <v>21</v>
      </c>
      <c r="W28" s="714">
        <f t="shared" si="14"/>
        <v>100</v>
      </c>
      <c r="X28" s="1508"/>
      <c r="Y28" s="3423"/>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18"/>
      <c r="M29" s="2912"/>
      <c r="N29" s="2912"/>
      <c r="O29" s="2912"/>
      <c r="P29" s="3496"/>
      <c r="Q29" s="1505">
        <f t="shared" si="11"/>
        <v>111</v>
      </c>
      <c r="R29" s="713" t="s">
        <v>21</v>
      </c>
      <c r="S29" s="714">
        <f t="shared" si="12"/>
        <v>100</v>
      </c>
      <c r="T29" s="713" t="s">
        <v>21</v>
      </c>
      <c r="U29" s="714">
        <f t="shared" si="13"/>
        <v>100</v>
      </c>
      <c r="V29" s="713" t="s">
        <v>21</v>
      </c>
      <c r="W29" s="714">
        <f t="shared" si="14"/>
        <v>100</v>
      </c>
      <c r="X29" s="1508"/>
      <c r="Y29" s="3423"/>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18"/>
      <c r="M30" s="2912"/>
      <c r="N30" s="2912"/>
      <c r="O30" s="2912"/>
      <c r="P30" s="3496"/>
      <c r="Q30" s="1505">
        <f t="shared" si="11"/>
        <v>111</v>
      </c>
      <c r="R30" s="713" t="s">
        <v>21</v>
      </c>
      <c r="S30" s="714">
        <f t="shared" si="12"/>
        <v>100</v>
      </c>
      <c r="T30" s="713" t="s">
        <v>21</v>
      </c>
      <c r="U30" s="714">
        <f t="shared" si="13"/>
        <v>100</v>
      </c>
      <c r="V30" s="713" t="s">
        <v>21</v>
      </c>
      <c r="W30" s="714">
        <f t="shared" si="14"/>
        <v>100</v>
      </c>
      <c r="X30" s="1508"/>
      <c r="Y30" s="3423"/>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18"/>
      <c r="M31" s="2912"/>
      <c r="N31" s="2912"/>
      <c r="O31" s="2912"/>
      <c r="P31" s="3496"/>
      <c r="Q31" s="1505">
        <f t="shared" si="11"/>
        <v>111</v>
      </c>
      <c r="R31" s="713" t="s">
        <v>21</v>
      </c>
      <c r="S31" s="714">
        <f t="shared" si="12"/>
        <v>100</v>
      </c>
      <c r="T31" s="713" t="s">
        <v>21</v>
      </c>
      <c r="U31" s="714">
        <f t="shared" si="13"/>
        <v>100</v>
      </c>
      <c r="V31" s="713" t="s">
        <v>21</v>
      </c>
      <c r="W31" s="714">
        <f t="shared" si="14"/>
        <v>100</v>
      </c>
      <c r="X31" s="1508"/>
      <c r="Y31" s="3423"/>
      <c r="Z31" s="1509">
        <f t="shared" si="18"/>
        <v>111</v>
      </c>
      <c r="AA31" s="1506">
        <f t="shared" si="15"/>
        <v>1</v>
      </c>
      <c r="AB31" s="1506">
        <f t="shared" si="16"/>
        <v>1</v>
      </c>
      <c r="AC31" s="1506">
        <f t="shared" si="17"/>
        <v>1</v>
      </c>
    </row>
    <row r="32" spans="1:29" ht="15">
      <c r="A32" s="398" t="s">
        <v>2324</v>
      </c>
      <c r="B32" s="66"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18"/>
      <c r="M32" s="2912"/>
      <c r="N32" s="2912"/>
      <c r="O32" s="2912"/>
      <c r="P32" s="3491" t="s">
        <v>2326</v>
      </c>
      <c r="Q32" s="1505" t="str">
        <f t="shared" si="11"/>
        <v>建筑类型</v>
      </c>
      <c r="R32" s="713" t="s">
        <v>21</v>
      </c>
      <c r="S32" s="714">
        <f t="shared" si="12"/>
        <v>100</v>
      </c>
      <c r="T32" s="713" t="s">
        <v>21</v>
      </c>
      <c r="U32" s="714">
        <f t="shared" si="13"/>
        <v>100</v>
      </c>
      <c r="V32" s="713" t="s">
        <v>21</v>
      </c>
      <c r="W32" s="714">
        <f t="shared" si="14"/>
        <v>100</v>
      </c>
      <c r="X32" s="1508"/>
      <c r="Y32" s="3425" t="s">
        <v>2326</v>
      </c>
      <c r="Z32" s="1509" t="str">
        <f t="shared" si="18"/>
        <v>建筑类型</v>
      </c>
      <c r="AA32" s="1506">
        <f t="shared" si="15"/>
        <v>1</v>
      </c>
      <c r="AB32" s="1506">
        <f t="shared" si="16"/>
        <v>1</v>
      </c>
      <c r="AC32" s="1506">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9"/>
      <c r="L33" s="2917"/>
      <c r="M33" s="2919"/>
      <c r="N33" s="2919"/>
      <c r="O33" s="2919"/>
      <c r="P33" s="3492"/>
      <c r="Q33" s="715" t="str">
        <f t="shared" si="11"/>
        <v>项目建筑规模</v>
      </c>
      <c r="R33" s="716" t="s">
        <v>21</v>
      </c>
      <c r="S33" s="717" t="e">
        <f t="shared" si="12"/>
        <v>#N/A</v>
      </c>
      <c r="T33" s="716" t="s">
        <v>21</v>
      </c>
      <c r="U33" s="717" t="e">
        <f t="shared" si="13"/>
        <v>#N/A</v>
      </c>
      <c r="V33" s="716" t="s">
        <v>21</v>
      </c>
      <c r="W33" s="717" t="e">
        <f t="shared" si="14"/>
        <v>#N/A</v>
      </c>
      <c r="X33" s="718"/>
      <c r="Y33" s="3425"/>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18"/>
      <c r="M34" s="2912"/>
      <c r="N34" s="2912"/>
      <c r="O34" s="2912"/>
      <c r="P34" s="3492"/>
      <c r="Q34" s="1505" t="str">
        <f t="shared" si="11"/>
        <v>建筑结构</v>
      </c>
      <c r="R34" s="713" t="s">
        <v>21</v>
      </c>
      <c r="S34" s="714">
        <f t="shared" si="12"/>
        <v>100</v>
      </c>
      <c r="T34" s="713" t="s">
        <v>21</v>
      </c>
      <c r="U34" s="714">
        <f t="shared" si="13"/>
        <v>100</v>
      </c>
      <c r="V34" s="713" t="s">
        <v>21</v>
      </c>
      <c r="W34" s="714">
        <f t="shared" si="14"/>
        <v>100</v>
      </c>
      <c r="X34" s="1508"/>
      <c r="Y34" s="3425"/>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18"/>
      <c r="M35" s="2912"/>
      <c r="N35" s="2912"/>
      <c r="O35" s="2912"/>
      <c r="P35" s="3492"/>
      <c r="Q35" s="1505" t="str">
        <f t="shared" si="11"/>
        <v>建筑品质</v>
      </c>
      <c r="R35" s="713" t="s">
        <v>21</v>
      </c>
      <c r="S35" s="714">
        <f t="shared" si="12"/>
        <v>100</v>
      </c>
      <c r="T35" s="713" t="s">
        <v>21</v>
      </c>
      <c r="U35" s="714">
        <f t="shared" si="13"/>
        <v>100</v>
      </c>
      <c r="V35" s="713" t="s">
        <v>21</v>
      </c>
      <c r="W35" s="714">
        <f t="shared" si="14"/>
        <v>100</v>
      </c>
      <c r="X35" s="1508"/>
      <c r="Y35" s="3425"/>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18"/>
      <c r="M36" s="2912"/>
      <c r="N36" s="2912"/>
      <c r="O36" s="2912"/>
      <c r="P36" s="3492"/>
      <c r="Q36" s="1505" t="str">
        <f t="shared" si="11"/>
        <v>公共部分装修</v>
      </c>
      <c r="R36" s="713" t="s">
        <v>21</v>
      </c>
      <c r="S36" s="714">
        <f t="shared" si="12"/>
        <v>100</v>
      </c>
      <c r="T36" s="713" t="s">
        <v>21</v>
      </c>
      <c r="U36" s="714">
        <f t="shared" si="13"/>
        <v>100</v>
      </c>
      <c r="V36" s="713" t="s">
        <v>21</v>
      </c>
      <c r="W36" s="714">
        <f t="shared" si="14"/>
        <v>100</v>
      </c>
      <c r="X36" s="1508"/>
      <c r="Y36" s="3425"/>
      <c r="Z36" s="1509" t="str">
        <f t="shared" si="18"/>
        <v>公共部分装修</v>
      </c>
      <c r="AA36" s="1506">
        <f t="shared" si="15"/>
        <v>1</v>
      </c>
      <c r="AB36" s="1506">
        <f t="shared" si="16"/>
        <v>1</v>
      </c>
      <c r="AC36" s="1506">
        <f t="shared" si="17"/>
        <v>1</v>
      </c>
    </row>
    <row r="37" spans="1:29" s="112"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3"/>
      <c r="M37" s="2914"/>
      <c r="N37" s="2914"/>
      <c r="O37" s="2914"/>
      <c r="P37" s="3492"/>
      <c r="Q37" s="1496" t="str">
        <f t="shared" si="11"/>
        <v>成新度</v>
      </c>
      <c r="R37" s="709" t="s">
        <v>21</v>
      </c>
      <c r="S37" s="710" t="e">
        <f t="shared" si="12"/>
        <v>#N/A</v>
      </c>
      <c r="T37" s="709" t="s">
        <v>21</v>
      </c>
      <c r="U37" s="710" t="e">
        <f t="shared" si="13"/>
        <v>#N/A</v>
      </c>
      <c r="V37" s="709" t="s">
        <v>21</v>
      </c>
      <c r="W37" s="710" t="e">
        <f t="shared" si="14"/>
        <v>#N/A</v>
      </c>
      <c r="X37" s="711"/>
      <c r="Y37" s="3425"/>
      <c r="Z37" s="54"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18"/>
      <c r="M38" s="2912"/>
      <c r="N38" s="2912"/>
      <c r="O38" s="2912"/>
      <c r="P38" s="3492" t="s">
        <v>2326</v>
      </c>
      <c r="Q38" s="1505" t="str">
        <f t="shared" si="11"/>
        <v>物业管理</v>
      </c>
      <c r="R38" s="713" t="s">
        <v>21</v>
      </c>
      <c r="S38" s="714">
        <f t="shared" si="12"/>
        <v>100</v>
      </c>
      <c r="T38" s="713" t="s">
        <v>21</v>
      </c>
      <c r="U38" s="714">
        <f t="shared" si="13"/>
        <v>100</v>
      </c>
      <c r="V38" s="713" t="s">
        <v>21</v>
      </c>
      <c r="W38" s="714">
        <f t="shared" si="14"/>
        <v>100</v>
      </c>
      <c r="X38" s="1508"/>
      <c r="Y38" s="3425"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18"/>
      <c r="M39" s="2912"/>
      <c r="N39" s="2912"/>
      <c r="O39" s="2912"/>
      <c r="P39" s="3492"/>
      <c r="Q39" s="1505" t="str">
        <f t="shared" si="11"/>
        <v>市政基础设施</v>
      </c>
      <c r="R39" s="713" t="s">
        <v>21</v>
      </c>
      <c r="S39" s="714">
        <f t="shared" si="12"/>
        <v>100</v>
      </c>
      <c r="T39" s="713" t="s">
        <v>21</v>
      </c>
      <c r="U39" s="714">
        <f t="shared" si="13"/>
        <v>100</v>
      </c>
      <c r="V39" s="713" t="s">
        <v>21</v>
      </c>
      <c r="W39" s="714">
        <f t="shared" si="14"/>
        <v>100</v>
      </c>
      <c r="X39" s="1508"/>
      <c r="Y39" s="3425"/>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18"/>
      <c r="M40" s="2912"/>
      <c r="N40" s="2912"/>
      <c r="O40" s="2912"/>
      <c r="P40" s="3492"/>
      <c r="Q40" s="1505" t="str">
        <f t="shared" si="11"/>
        <v>房型</v>
      </c>
      <c r="R40" s="713" t="s">
        <v>21</v>
      </c>
      <c r="S40" s="714">
        <f t="shared" si="12"/>
        <v>100</v>
      </c>
      <c r="T40" s="713" t="s">
        <v>21</v>
      </c>
      <c r="U40" s="714">
        <f t="shared" si="13"/>
        <v>100</v>
      </c>
      <c r="V40" s="713" t="s">
        <v>21</v>
      </c>
      <c r="W40" s="714">
        <f t="shared" si="14"/>
        <v>100</v>
      </c>
      <c r="X40" s="1508"/>
      <c r="Y40" s="3425"/>
      <c r="Z40" s="1509" t="str">
        <f t="shared" si="18"/>
        <v>房型</v>
      </c>
      <c r="AA40" s="1506">
        <f t="shared" si="15"/>
        <v>1</v>
      </c>
      <c r="AB40" s="1506">
        <f t="shared" si="16"/>
        <v>1</v>
      </c>
      <c r="AC40" s="1506">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9"/>
      <c r="L41" s="2917"/>
      <c r="M41" s="2919"/>
      <c r="N41" s="2919"/>
      <c r="O41" s="2919"/>
      <c r="P41" s="3492"/>
      <c r="Q41" s="715" t="str">
        <f t="shared" si="11"/>
        <v>单套/主力户型建筑面积</v>
      </c>
      <c r="R41" s="716" t="s">
        <v>21</v>
      </c>
      <c r="S41" s="717">
        <f t="shared" si="12"/>
        <v>100</v>
      </c>
      <c r="T41" s="716" t="s">
        <v>21</v>
      </c>
      <c r="U41" s="717">
        <f t="shared" si="13"/>
        <v>100</v>
      </c>
      <c r="V41" s="716" t="s">
        <v>21</v>
      </c>
      <c r="W41" s="717">
        <f t="shared" si="14"/>
        <v>100</v>
      </c>
      <c r="X41" s="718"/>
      <c r="Y41" s="3425"/>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18"/>
      <c r="M42" s="2912"/>
      <c r="N42" s="2912"/>
      <c r="O42" s="2912"/>
      <c r="P42" s="3492"/>
      <c r="Q42" s="1505" t="str">
        <f t="shared" si="11"/>
        <v>内部装修</v>
      </c>
      <c r="R42" s="713" t="s">
        <v>21</v>
      </c>
      <c r="S42" s="714">
        <f t="shared" si="12"/>
        <v>100</v>
      </c>
      <c r="T42" s="713" t="s">
        <v>21</v>
      </c>
      <c r="U42" s="714">
        <f t="shared" si="13"/>
        <v>100</v>
      </c>
      <c r="V42" s="713" t="s">
        <v>21</v>
      </c>
      <c r="W42" s="714">
        <f t="shared" si="14"/>
        <v>100</v>
      </c>
      <c r="X42" s="1508"/>
      <c r="Y42" s="3425"/>
      <c r="Z42" s="1509" t="str">
        <f t="shared" si="18"/>
        <v>内部装修</v>
      </c>
      <c r="AA42" s="1506">
        <f t="shared" si="15"/>
        <v>1</v>
      </c>
      <c r="AB42" s="1506">
        <f t="shared" si="16"/>
        <v>1</v>
      </c>
      <c r="AC42" s="1506">
        <f t="shared" si="17"/>
        <v>1</v>
      </c>
    </row>
    <row r="43" spans="1:29" ht="15">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18"/>
      <c r="M43" s="2912"/>
      <c r="N43" s="2912"/>
      <c r="O43" s="2912"/>
      <c r="P43" s="3492"/>
      <c r="Q43" s="1505" t="str">
        <f t="shared" si="11"/>
        <v>内部装修维护情况</v>
      </c>
      <c r="R43" s="713" t="s">
        <v>21</v>
      </c>
      <c r="S43" s="714">
        <f t="shared" si="12"/>
        <v>100</v>
      </c>
      <c r="T43" s="713" t="s">
        <v>21</v>
      </c>
      <c r="U43" s="714">
        <f t="shared" si="13"/>
        <v>100</v>
      </c>
      <c r="V43" s="713" t="s">
        <v>21</v>
      </c>
      <c r="W43" s="714">
        <f t="shared" si="14"/>
        <v>100</v>
      </c>
      <c r="X43" s="1508"/>
      <c r="Y43" s="3425"/>
      <c r="Z43" s="1509" t="str">
        <f t="shared" si="18"/>
        <v>内部装修维护情况</v>
      </c>
      <c r="AA43" s="1506">
        <f t="shared" si="15"/>
        <v>1</v>
      </c>
      <c r="AB43" s="1506">
        <f t="shared" si="16"/>
        <v>1</v>
      </c>
      <c r="AC43" s="1506">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9"/>
      <c r="L44" s="2913"/>
      <c r="M44" s="2914"/>
      <c r="N44" s="2914"/>
      <c r="O44" s="2914"/>
      <c r="P44" s="3492"/>
      <c r="Q44" s="1496">
        <f t="shared" si="11"/>
        <v>111</v>
      </c>
      <c r="R44" s="709" t="s">
        <v>21</v>
      </c>
      <c r="S44" s="710">
        <f t="shared" si="12"/>
        <v>100</v>
      </c>
      <c r="T44" s="709" t="s">
        <v>21</v>
      </c>
      <c r="U44" s="710">
        <f t="shared" si="13"/>
        <v>100</v>
      </c>
      <c r="V44" s="709" t="s">
        <v>21</v>
      </c>
      <c r="W44" s="710">
        <f t="shared" si="14"/>
        <v>100</v>
      </c>
      <c r="X44" s="711"/>
      <c r="Y44" s="3425"/>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18"/>
      <c r="M45" s="2912"/>
      <c r="N45" s="2912"/>
      <c r="O45" s="2912"/>
      <c r="P45" s="3492"/>
      <c r="Q45" s="1505">
        <f t="shared" si="11"/>
        <v>111</v>
      </c>
      <c r="R45" s="713" t="s">
        <v>21</v>
      </c>
      <c r="S45" s="714">
        <f t="shared" si="12"/>
        <v>100</v>
      </c>
      <c r="T45" s="713" t="s">
        <v>21</v>
      </c>
      <c r="U45" s="714">
        <f t="shared" si="13"/>
        <v>100</v>
      </c>
      <c r="V45" s="713" t="s">
        <v>21</v>
      </c>
      <c r="W45" s="714">
        <f t="shared" si="14"/>
        <v>100</v>
      </c>
      <c r="X45" s="1508"/>
      <c r="Y45" s="3425"/>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18"/>
      <c r="M46" s="2912"/>
      <c r="N46" s="2912"/>
      <c r="O46" s="2912"/>
      <c r="P46" s="3493"/>
      <c r="Q46" s="1505">
        <f t="shared" si="11"/>
        <v>111</v>
      </c>
      <c r="R46" s="713" t="s">
        <v>20</v>
      </c>
      <c r="S46" s="714">
        <f t="shared" si="12"/>
        <v>100</v>
      </c>
      <c r="T46" s="713" t="s">
        <v>20</v>
      </c>
      <c r="U46" s="714">
        <f t="shared" si="13"/>
        <v>100</v>
      </c>
      <c r="V46" s="713" t="s">
        <v>20</v>
      </c>
      <c r="W46" s="714">
        <f t="shared" si="14"/>
        <v>100</v>
      </c>
      <c r="X46" s="1508"/>
      <c r="Y46" s="3494"/>
      <c r="Z46" s="1509">
        <f t="shared" si="18"/>
        <v>111</v>
      </c>
      <c r="AA46" s="1506">
        <f t="shared" si="15"/>
        <v>1</v>
      </c>
      <c r="AB46" s="1506">
        <f t="shared" si="16"/>
        <v>1</v>
      </c>
      <c r="AC46" s="1506">
        <f t="shared" si="17"/>
        <v>1</v>
      </c>
    </row>
    <row r="47" spans="1:29" ht="15">
      <c r="A47" s="437" t="s">
        <v>2338</v>
      </c>
      <c r="B47" s="438"/>
      <c r="C47" s="1287" t="s">
        <v>19</v>
      </c>
      <c r="D47" s="1288"/>
      <c r="E47" s="1289"/>
      <c r="F47" s="1290"/>
      <c r="G47" s="1291"/>
      <c r="H47" s="1292"/>
      <c r="I47" s="1289"/>
      <c r="J47" s="1292"/>
      <c r="K47" s="2069"/>
      <c r="L47" s="2920"/>
      <c r="M47" s="2921"/>
      <c r="N47" s="2912"/>
      <c r="O47" s="2921"/>
      <c r="P47" s="3419" t="str">
        <f>A47</f>
        <v>成交单价（元/平方米）</v>
      </c>
      <c r="Q47" s="3419"/>
      <c r="R47" s="3490">
        <f>E47</f>
        <v>0</v>
      </c>
      <c r="S47" s="3490"/>
      <c r="T47" s="3490">
        <f>G47</f>
        <v>0</v>
      </c>
      <c r="U47" s="3490"/>
      <c r="V47" s="3490">
        <f>I47</f>
        <v>0</v>
      </c>
      <c r="W47" s="3490"/>
      <c r="X47" s="698"/>
      <c r="Y47" s="720"/>
      <c r="Z47" s="698"/>
      <c r="AA47" s="698"/>
      <c r="AB47" s="698"/>
      <c r="AC47" s="698"/>
    </row>
    <row r="48" spans="1:29" ht="15.75" thickBot="1">
      <c r="A48" s="444" t="s">
        <v>2339</v>
      </c>
      <c r="B48" s="445"/>
      <c r="C48" s="1293" t="e">
        <f>R49</f>
        <v>#DIV/0!</v>
      </c>
      <c r="D48" s="2507" t="s">
        <v>2818</v>
      </c>
      <c r="E48" s="1294" t="e">
        <f>R48</f>
        <v>#DIV/0!</v>
      </c>
      <c r="F48" s="2508"/>
      <c r="G48" s="1293" t="e">
        <f>T48</f>
        <v>#DIV/0!</v>
      </c>
      <c r="H48" s="2508"/>
      <c r="I48" s="1294" t="e">
        <f>V48</f>
        <v>#DIV/0!</v>
      </c>
      <c r="J48" s="2508"/>
      <c r="K48" s="2509">
        <f>F48+H48+J48</f>
        <v>0</v>
      </c>
      <c r="L48" s="2920"/>
      <c r="M48" s="2921"/>
      <c r="N48" s="2921"/>
      <c r="O48" s="2921"/>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70"/>
      <c r="L49" s="2920"/>
      <c r="M49" s="2921"/>
      <c r="N49" s="2921"/>
      <c r="O49" s="2921"/>
      <c r="P49" s="3416" t="str">
        <f>A49</f>
        <v>估价对象XX用房的比较价值（楼面单价，元/平方米）</v>
      </c>
      <c r="Q49" s="3417"/>
      <c r="R49" s="3489" t="e">
        <f>IF(F1="售价",ROUND(IF(D48="简单平均",AVERAGE(R48:V48),R48*F48+T48*H48+V48*J48),0),ROUND(IF(D48="简单平均",AVERAGE(R48:V48),R48*F48+T48*H48+V48*J48),1))</f>
        <v>#DIV/0!</v>
      </c>
      <c r="S49" s="3489"/>
      <c r="T49" s="3489"/>
      <c r="U49" s="3489"/>
      <c r="V49" s="3489"/>
      <c r="W49" s="3489"/>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row>
    <row r="53" spans="1:29" ht="13.5" customHeight="1">
      <c r="A53" s="2921"/>
      <c r="B53" s="2921"/>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row>
    <row r="54" spans="1:29" s="458" customFormat="1" ht="13.5" customHeight="1">
      <c r="A54" s="2924"/>
      <c r="B54" s="2924"/>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072"/>
    </row>
    <row r="55" spans="1:29" s="458" customFormat="1">
      <c r="A55" s="2924"/>
      <c r="B55" s="2927"/>
      <c r="C55" s="2928"/>
      <c r="D55" s="2924"/>
      <c r="E55" s="2924"/>
      <c r="F55" s="2924"/>
      <c r="G55" s="2924"/>
      <c r="H55" s="2924"/>
      <c r="I55" s="2924"/>
      <c r="J55" s="2924"/>
      <c r="K55" s="2929"/>
      <c r="L55" s="2923"/>
      <c r="M55" s="2924"/>
      <c r="N55" s="2924"/>
      <c r="O55" s="2924"/>
      <c r="P55" s="2072"/>
    </row>
    <row r="56" spans="1:29">
      <c r="A56" s="2921"/>
      <c r="B56" s="2927"/>
      <c r="C56" s="2928"/>
      <c r="D56" s="2921"/>
      <c r="E56" s="2921"/>
      <c r="F56" s="2921"/>
      <c r="G56" s="2921"/>
      <c r="H56" s="2921"/>
      <c r="I56" s="2921"/>
      <c r="J56" s="2921"/>
      <c r="K56" s="2926"/>
      <c r="L56" s="2922"/>
      <c r="M56" s="2921"/>
      <c r="N56" s="2921"/>
      <c r="O56" s="2921"/>
    </row>
    <row r="57" spans="1:29" ht="21.75" thickBot="1">
      <c r="A57" s="702" t="s">
        <v>2344</v>
      </c>
      <c r="B57" s="698"/>
      <c r="C57" s="703"/>
      <c r="D57" s="703"/>
      <c r="E57" s="703"/>
      <c r="F57" s="704"/>
      <c r="G57" s="704"/>
      <c r="H57" s="703"/>
      <c r="I57" s="703"/>
      <c r="J57" s="703"/>
      <c r="K57" s="1071"/>
      <c r="L57" s="1072"/>
      <c r="M57" s="1070"/>
      <c r="N57" s="1070"/>
      <c r="O57" s="1070"/>
      <c r="P57" s="2073"/>
      <c r="Q57" s="460"/>
    </row>
    <row r="58" spans="1:29" s="464" customFormat="1" ht="15">
      <c r="A58" s="461" t="s">
        <v>2345</v>
      </c>
      <c r="B58" s="462"/>
      <c r="C58" s="1319" t="str">
        <f>YEAR(C7)&amp;"-"&amp;MONTH(C7)</f>
        <v>2022-1</v>
      </c>
      <c r="D58" s="1318">
        <f>EDATE(C58,-1)</f>
        <v>44531</v>
      </c>
      <c r="E58" s="1318">
        <f>EDATE(D58,-1)</f>
        <v>44501</v>
      </c>
      <c r="F58" s="1318">
        <f t="shared" ref="F58:O58" si="19">EDATE(E58,-1)</f>
        <v>44470</v>
      </c>
      <c r="G58" s="1318">
        <f t="shared" si="19"/>
        <v>44440</v>
      </c>
      <c r="H58" s="1318">
        <f t="shared" si="19"/>
        <v>44409</v>
      </c>
      <c r="I58" s="1318">
        <f t="shared" si="19"/>
        <v>44378</v>
      </c>
      <c r="J58" s="1318">
        <f t="shared" si="19"/>
        <v>44348</v>
      </c>
      <c r="K58" s="1318">
        <f t="shared" si="19"/>
        <v>44317</v>
      </c>
      <c r="L58" s="1318">
        <f t="shared" si="19"/>
        <v>44287</v>
      </c>
      <c r="M58" s="1318">
        <f t="shared" si="19"/>
        <v>44256</v>
      </c>
      <c r="N58" s="1318">
        <f t="shared" si="19"/>
        <v>44228</v>
      </c>
      <c r="O58" s="1318">
        <f t="shared" si="19"/>
        <v>44197</v>
      </c>
      <c r="P58" s="1314"/>
    </row>
    <row r="59" spans="1:29" s="112" customFormat="1" ht="15">
      <c r="A59" s="465"/>
      <c r="B59" s="2074"/>
      <c r="C59" s="1316">
        <v>100</v>
      </c>
      <c r="D59" s="467"/>
      <c r="E59" s="468"/>
      <c r="F59" s="468"/>
      <c r="G59" s="468"/>
      <c r="H59" s="468"/>
      <c r="I59" s="468"/>
      <c r="J59" s="468"/>
      <c r="K59" s="468"/>
      <c r="L59" s="468"/>
      <c r="M59" s="469"/>
      <c r="N59" s="468"/>
      <c r="O59" s="469"/>
      <c r="P59" s="2075"/>
    </row>
    <row r="60" spans="1:29" s="112" customFormat="1" ht="15.75" thickBot="1">
      <c r="A60" s="471" t="s">
        <v>2346</v>
      </c>
      <c r="B60" s="472"/>
      <c r="C60" s="473"/>
      <c r="D60" s="474"/>
      <c r="E60" s="474"/>
      <c r="F60" s="474"/>
      <c r="G60" s="474"/>
      <c r="H60" s="474"/>
      <c r="I60" s="474"/>
      <c r="J60" s="474"/>
      <c r="K60" s="474"/>
      <c r="L60" s="474"/>
      <c r="M60" s="475"/>
      <c r="N60" s="474"/>
      <c r="O60" s="475"/>
      <c r="P60" s="2075"/>
      <c r="Q60" s="460"/>
    </row>
    <row r="61" spans="1:29" s="112" customFormat="1" ht="15">
      <c r="A61" s="477" t="s">
        <v>2347</v>
      </c>
      <c r="B61" s="466"/>
      <c r="C61" s="478" t="s">
        <v>2348</v>
      </c>
      <c r="D61" s="479"/>
      <c r="E61" s="479"/>
      <c r="F61" s="479"/>
      <c r="G61" s="479"/>
      <c r="H61" s="479"/>
      <c r="I61" s="479"/>
      <c r="J61" s="479"/>
      <c r="K61" s="479"/>
      <c r="L61" s="480"/>
      <c r="M61" s="481"/>
      <c r="N61" s="1062"/>
      <c r="O61" s="1062"/>
      <c r="P61" s="2076"/>
      <c r="Q61" s="460"/>
    </row>
    <row r="62" spans="1:29" s="112"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2349</v>
      </c>
      <c r="B63" s="484" t="s">
        <v>2315</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2" customFormat="1" ht="15.75" thickTop="1">
      <c r="A86" s="535"/>
      <c r="B86" s="494" t="s">
        <v>2371</v>
      </c>
      <c r="C86" s="510"/>
      <c r="D86" s="510"/>
      <c r="E86" s="510"/>
      <c r="F86" s="510"/>
      <c r="G86" s="510"/>
      <c r="H86" s="510"/>
      <c r="I86" s="510"/>
      <c r="J86" s="510"/>
      <c r="K86" s="510"/>
      <c r="L86" s="536"/>
      <c r="M86" s="537"/>
      <c r="N86" s="1062"/>
      <c r="O86" s="1062"/>
      <c r="P86" s="207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2" customFormat="1" ht="15.75" thickTop="1">
      <c r="A88" s="535"/>
      <c r="B88" s="494" t="s">
        <v>2372</v>
      </c>
      <c r="C88" s="510"/>
      <c r="D88" s="510"/>
      <c r="E88" s="510"/>
      <c r="F88" s="2082"/>
      <c r="G88" s="510"/>
      <c r="H88" s="510"/>
      <c r="I88" s="510"/>
      <c r="J88" s="510"/>
      <c r="K88" s="510"/>
      <c r="L88" s="510"/>
      <c r="M88" s="537"/>
      <c r="N88" s="1062"/>
      <c r="O88" s="1062"/>
      <c r="P88" s="207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2324</v>
      </c>
      <c r="B100" s="484" t="s">
        <v>2373</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1" t="s">
        <v>2386</v>
      </c>
      <c r="D138" s="141" t="s">
        <v>2387</v>
      </c>
      <c r="E138" s="2092" t="s">
        <v>2388</v>
      </c>
      <c r="F138" s="2093" t="s">
        <v>2389</v>
      </c>
      <c r="G138" s="141" t="s">
        <v>2387</v>
      </c>
      <c r="H138" s="142" t="s">
        <v>2388</v>
      </c>
      <c r="I138" s="2094"/>
      <c r="J138" s="141" t="s">
        <v>2390</v>
      </c>
      <c r="K138" s="142"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5.75"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0"/>
      <c r="M2" s="2931"/>
      <c r="N2" s="2931"/>
      <c r="O2" s="2931"/>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17109.73</v>
      </c>
      <c r="E3" s="2109"/>
      <c r="F3" s="1039"/>
      <c r="G3" s="1038"/>
      <c r="H3" s="1038"/>
      <c r="I3" s="1038"/>
      <c r="J3" s="1038"/>
      <c r="K3" s="1040"/>
      <c r="L3" s="2930"/>
      <c r="M3" s="2931"/>
      <c r="N3" s="2931"/>
      <c r="O3" s="2931"/>
      <c r="P3" s="2107"/>
      <c r="Q3" s="1042"/>
      <c r="R3" s="1042"/>
      <c r="S3" s="1042"/>
      <c r="T3" s="1042"/>
      <c r="U3" s="1042"/>
      <c r="V3" s="1042"/>
      <c r="W3" s="1042"/>
      <c r="X3" s="1042"/>
      <c r="Y3" s="1042"/>
      <c r="Z3" s="1042"/>
      <c r="AA3" s="1042"/>
      <c r="AB3" s="1042"/>
      <c r="AC3" s="2109"/>
    </row>
    <row r="4" spans="1:29" ht="15">
      <c r="A4" s="360" t="s">
        <v>2406</v>
      </c>
      <c r="B4" s="361"/>
      <c r="C4" s="3429" t="s">
        <v>2407</v>
      </c>
      <c r="D4" s="3430"/>
      <c r="E4" s="3431" t="s">
        <v>2408</v>
      </c>
      <c r="F4" s="3432"/>
      <c r="G4" s="3429" t="s">
        <v>2409</v>
      </c>
      <c r="H4" s="3430"/>
      <c r="I4" s="3429" t="s">
        <v>2410</v>
      </c>
      <c r="J4" s="3430"/>
      <c r="K4" s="566" t="s">
        <v>2411</v>
      </c>
      <c r="L4" s="2911"/>
      <c r="M4" s="2912"/>
      <c r="N4" s="2912"/>
      <c r="O4" s="2912"/>
      <c r="P4" s="3433" t="s">
        <v>2412</v>
      </c>
      <c r="Q4" s="3434"/>
      <c r="R4" s="3446" t="s">
        <v>2408</v>
      </c>
      <c r="S4" s="3447"/>
      <c r="T4" s="3446" t="s">
        <v>2409</v>
      </c>
      <c r="U4" s="3447"/>
      <c r="V4" s="3421" t="s">
        <v>2410</v>
      </c>
      <c r="W4" s="3421"/>
      <c r="X4" s="1508"/>
      <c r="Y4" s="3446" t="s">
        <v>2412</v>
      </c>
      <c r="Z4" s="3447"/>
      <c r="AA4" s="3426" t="s">
        <v>2408</v>
      </c>
      <c r="AB4" s="3421" t="s">
        <v>2409</v>
      </c>
      <c r="AC4" s="3426" t="s">
        <v>2410</v>
      </c>
    </row>
    <row r="5" spans="1:29" ht="15">
      <c r="A5" s="363"/>
      <c r="B5" s="364"/>
      <c r="C5" s="3450" t="s">
        <v>2303</v>
      </c>
      <c r="D5" s="3451"/>
      <c r="E5" s="3439" t="s">
        <v>2304</v>
      </c>
      <c r="F5" s="3440"/>
      <c r="G5" s="3450" t="s">
        <v>2305</v>
      </c>
      <c r="H5" s="3451"/>
      <c r="I5" s="3450" t="s">
        <v>2306</v>
      </c>
      <c r="J5" s="3451"/>
      <c r="K5" s="566"/>
      <c r="L5" s="2911"/>
      <c r="M5" s="2912"/>
      <c r="N5" s="2912"/>
      <c r="O5" s="2912"/>
      <c r="P5" s="3435"/>
      <c r="Q5" s="3436"/>
      <c r="R5" s="3448"/>
      <c r="S5" s="3449"/>
      <c r="T5" s="3448"/>
      <c r="U5" s="3449"/>
      <c r="V5" s="3421"/>
      <c r="W5" s="3421"/>
      <c r="X5" s="1508"/>
      <c r="Y5" s="3448"/>
      <c r="Z5" s="3449"/>
      <c r="AA5" s="3427"/>
      <c r="AB5" s="3421"/>
      <c r="AC5" s="3427"/>
    </row>
    <row r="6" spans="1:29" ht="15.75" thickBot="1">
      <c r="A6" s="365"/>
      <c r="B6" s="366"/>
      <c r="C6" s="3485" t="s">
        <v>2307</v>
      </c>
      <c r="D6" s="3486"/>
      <c r="E6" s="3487" t="s">
        <v>2307</v>
      </c>
      <c r="F6" s="3488"/>
      <c r="G6" s="3485" t="s">
        <v>2307</v>
      </c>
      <c r="H6" s="3486"/>
      <c r="I6" s="3485" t="s">
        <v>2307</v>
      </c>
      <c r="J6" s="3486"/>
      <c r="K6" s="566" t="s">
        <v>2308</v>
      </c>
      <c r="L6" s="2911"/>
      <c r="M6" s="2912"/>
      <c r="N6" s="2912"/>
      <c r="O6" s="2912"/>
      <c r="P6" s="3437"/>
      <c r="Q6" s="3438"/>
      <c r="R6" s="3448"/>
      <c r="S6" s="3449"/>
      <c r="T6" s="3457"/>
      <c r="U6" s="3458"/>
      <c r="V6" s="3421"/>
      <c r="W6" s="3421"/>
      <c r="X6" s="1508"/>
      <c r="Y6" s="3457"/>
      <c r="Z6" s="3458"/>
      <c r="AA6" s="3428"/>
      <c r="AB6" s="3421"/>
      <c r="AC6" s="3428"/>
    </row>
    <row r="7" spans="1:29" s="112" customFormat="1" ht="15.75" thickBot="1">
      <c r="A7" s="367" t="s">
        <v>2309</v>
      </c>
      <c r="B7" s="368"/>
      <c r="C7" s="369">
        <f>'数据-取费表'!B2</f>
        <v>44582</v>
      </c>
      <c r="D7" s="370">
        <v>100</v>
      </c>
      <c r="E7" s="371"/>
      <c r="F7" s="372">
        <f>SUMIF(58:58,YEAR(E7)&amp;"-"&amp;MONTH(E7),59:59)</f>
        <v>0</v>
      </c>
      <c r="G7" s="371"/>
      <c r="H7" s="370">
        <f>SUMIF(58:58,YEAR(G7)&amp;"-"&amp;MONTH(G7),59:59)</f>
        <v>0</v>
      </c>
      <c r="I7" s="371"/>
      <c r="J7" s="370">
        <f>SUMIF(58:58,YEAR(I7)&amp;"-"&amp;MONTH(I7),59:59)</f>
        <v>0</v>
      </c>
      <c r="K7" s="567"/>
      <c r="L7" s="2913"/>
      <c r="M7" s="2914"/>
      <c r="N7" s="2914"/>
      <c r="O7" s="2914"/>
      <c r="P7" s="3441" t="s">
        <v>2310</v>
      </c>
      <c r="Q7" s="3454"/>
      <c r="R7" s="709" t="s">
        <v>17</v>
      </c>
      <c r="S7" s="710">
        <f t="shared" ref="S7:S15" si="0">F7</f>
        <v>0</v>
      </c>
      <c r="T7" s="709" t="s">
        <v>17</v>
      </c>
      <c r="U7" s="710">
        <f t="shared" ref="U7:U15" si="1">H7</f>
        <v>0</v>
      </c>
      <c r="V7" s="709" t="s">
        <v>17</v>
      </c>
      <c r="W7" s="710">
        <f t="shared" ref="W7:W15" si="2">J7</f>
        <v>0</v>
      </c>
      <c r="X7" s="711"/>
      <c r="Y7" s="3441" t="s">
        <v>2310</v>
      </c>
      <c r="Z7" s="3442"/>
      <c r="AA7" s="712" t="e">
        <f>D7/F7</f>
        <v>#DIV/0!</v>
      </c>
      <c r="AB7" s="712" t="e">
        <f>D7/H7</f>
        <v>#DIV/0!</v>
      </c>
      <c r="AC7" s="712" t="e">
        <f>D7/J7</f>
        <v>#DIV/0!</v>
      </c>
    </row>
    <row r="8" spans="1:29" s="112"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3"/>
      <c r="M8" s="2914"/>
      <c r="N8" s="2914"/>
      <c r="O8" s="2914"/>
      <c r="P8" s="3441" t="s">
        <v>2313</v>
      </c>
      <c r="Q8" s="3442"/>
      <c r="R8" s="709" t="s">
        <v>17</v>
      </c>
      <c r="S8" s="710">
        <f t="shared" si="0"/>
        <v>0</v>
      </c>
      <c r="T8" s="709" t="s">
        <v>17</v>
      </c>
      <c r="U8" s="710">
        <f t="shared" si="1"/>
        <v>0</v>
      </c>
      <c r="V8" s="709" t="s">
        <v>17</v>
      </c>
      <c r="W8" s="710">
        <f t="shared" si="2"/>
        <v>0</v>
      </c>
      <c r="X8" s="711"/>
      <c r="Y8" s="3441" t="s">
        <v>2313</v>
      </c>
      <c r="Z8" s="3442"/>
      <c r="AA8" s="712" t="e">
        <f t="shared" ref="AA8:AA46" si="3">D8/F8</f>
        <v>#DIV/0!</v>
      </c>
      <c r="AB8" s="712" t="e">
        <f t="shared" ref="AB8:AB46" si="4">D8/H8</f>
        <v>#DIV/0!</v>
      </c>
      <c r="AC8" s="712" t="e">
        <f t="shared" ref="AC8:AC46" si="5">D8/J8</f>
        <v>#DIV/0!</v>
      </c>
    </row>
    <row r="9" spans="1:29" s="112" customFormat="1">
      <c r="A9" s="374" t="s">
        <v>2314</v>
      </c>
      <c r="B9" s="66" t="s">
        <v>2315</v>
      </c>
      <c r="C9" s="375"/>
      <c r="D9" s="130">
        <v>100</v>
      </c>
      <c r="E9" s="376"/>
      <c r="F9" s="377">
        <f>SUMIF(63:63,E9,64:64)-SUMIF(63:63,C9,64:64)+100</f>
        <v>100</v>
      </c>
      <c r="G9" s="376"/>
      <c r="H9" s="130">
        <f>SUMIF(63:63,G9,64:64)-SUMIF(63:63,C9,64:64)+100</f>
        <v>100</v>
      </c>
      <c r="I9" s="376"/>
      <c r="J9" s="130">
        <f>SUMIF(63:63,I9,64:64)-SUMIF(63:63,C9,64:64)+100</f>
        <v>100</v>
      </c>
      <c r="K9" s="567"/>
      <c r="L9" s="2913"/>
      <c r="M9" s="2914"/>
      <c r="N9" s="2914"/>
      <c r="O9" s="2914"/>
      <c r="P9" s="3444" t="s">
        <v>2316</v>
      </c>
      <c r="Q9" s="1496" t="str">
        <f t="shared" ref="Q9:Q15" si="6">B9</f>
        <v>用途</v>
      </c>
      <c r="R9" s="709" t="s">
        <v>17</v>
      </c>
      <c r="S9" s="710">
        <f t="shared" si="0"/>
        <v>100</v>
      </c>
      <c r="T9" s="709" t="s">
        <v>17</v>
      </c>
      <c r="U9" s="710">
        <f t="shared" si="1"/>
        <v>100</v>
      </c>
      <c r="V9" s="709" t="s">
        <v>17</v>
      </c>
      <c r="W9" s="710">
        <f t="shared" si="2"/>
        <v>100</v>
      </c>
      <c r="X9" s="711"/>
      <c r="Y9" s="3389"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5"/>
      <c r="M10" s="2916"/>
      <c r="N10" s="2916"/>
      <c r="O10" s="2916"/>
      <c r="P10" s="3444"/>
      <c r="Q10" s="1496" t="str">
        <f t="shared" si="6"/>
        <v>土地使用年限（年）</v>
      </c>
      <c r="R10" s="709" t="s">
        <v>17</v>
      </c>
      <c r="S10" s="710">
        <f t="shared" si="0"/>
        <v>100</v>
      </c>
      <c r="T10" s="709" t="s">
        <v>17</v>
      </c>
      <c r="U10" s="710">
        <f t="shared" si="1"/>
        <v>100</v>
      </c>
      <c r="V10" s="709" t="s">
        <v>17</v>
      </c>
      <c r="W10" s="710">
        <f t="shared" si="2"/>
        <v>100</v>
      </c>
      <c r="X10" s="711"/>
      <c r="Y10" s="3389"/>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7"/>
      <c r="M11" s="2912"/>
      <c r="N11" s="2912"/>
      <c r="O11" s="2912"/>
      <c r="P11" s="3444"/>
      <c r="Q11" s="1496" t="str">
        <f t="shared" si="6"/>
        <v>容积率</v>
      </c>
      <c r="R11" s="709" t="s">
        <v>17</v>
      </c>
      <c r="S11" s="710" t="e">
        <f t="shared" si="0"/>
        <v>#N/A</v>
      </c>
      <c r="T11" s="709" t="s">
        <v>17</v>
      </c>
      <c r="U11" s="710" t="e">
        <f t="shared" si="1"/>
        <v>#N/A</v>
      </c>
      <c r="V11" s="709" t="s">
        <v>17</v>
      </c>
      <c r="W11" s="710" t="e">
        <f t="shared" si="2"/>
        <v>#N/A</v>
      </c>
      <c r="X11" s="711"/>
      <c r="Y11" s="3389"/>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383">
        <f>SUMIF(70:70,E12,71:71)-SUMIF(70:70,C12,71:71)+100</f>
        <v>100</v>
      </c>
      <c r="G12" s="392"/>
      <c r="H12" s="131">
        <f>SUMIF(70:70,G12,71:71)-SUMIF(70:70,C12,71:71)+100</f>
        <v>100</v>
      </c>
      <c r="I12" s="392"/>
      <c r="J12" s="131">
        <f>SUMIF(70:70,I12,71:71)-SUMIF(70:70,C12,71:71)+100</f>
        <v>100</v>
      </c>
      <c r="K12" s="569"/>
      <c r="L12" s="2913"/>
      <c r="M12" s="2914"/>
      <c r="N12" s="2914"/>
      <c r="O12" s="2914"/>
      <c r="P12" s="3444"/>
      <c r="Q12" s="1496">
        <f t="shared" si="6"/>
        <v>111</v>
      </c>
      <c r="R12" s="709" t="s">
        <v>17</v>
      </c>
      <c r="S12" s="710">
        <f t="shared" si="0"/>
        <v>100</v>
      </c>
      <c r="T12" s="709" t="s">
        <v>17</v>
      </c>
      <c r="U12" s="710">
        <f t="shared" si="1"/>
        <v>100</v>
      </c>
      <c r="V12" s="709" t="s">
        <v>17</v>
      </c>
      <c r="W12" s="710">
        <f t="shared" si="2"/>
        <v>100</v>
      </c>
      <c r="X12" s="711"/>
      <c r="Y12" s="3389"/>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444"/>
      <c r="Q13" s="1496">
        <f t="shared" si="6"/>
        <v>111</v>
      </c>
      <c r="R13" s="709" t="s">
        <v>17</v>
      </c>
      <c r="S13" s="710">
        <f t="shared" si="0"/>
        <v>100</v>
      </c>
      <c r="T13" s="709" t="s">
        <v>17</v>
      </c>
      <c r="U13" s="710">
        <f t="shared" si="1"/>
        <v>100</v>
      </c>
      <c r="V13" s="709" t="s">
        <v>17</v>
      </c>
      <c r="W13" s="710">
        <f t="shared" si="2"/>
        <v>100</v>
      </c>
      <c r="X13" s="711"/>
      <c r="Y13" s="3389"/>
      <c r="Z13" s="54">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444"/>
      <c r="Q14" s="1496">
        <f t="shared" si="6"/>
        <v>111</v>
      </c>
      <c r="R14" s="709" t="s">
        <v>17</v>
      </c>
      <c r="S14" s="710">
        <f t="shared" si="0"/>
        <v>100</v>
      </c>
      <c r="T14" s="709" t="s">
        <v>17</v>
      </c>
      <c r="U14" s="710">
        <f t="shared" si="1"/>
        <v>100</v>
      </c>
      <c r="V14" s="709" t="s">
        <v>17</v>
      </c>
      <c r="W14" s="710">
        <f t="shared" si="2"/>
        <v>100</v>
      </c>
      <c r="X14" s="711"/>
      <c r="Y14" s="3389"/>
      <c r="Z14" s="54">
        <f t="shared" si="7"/>
        <v>111</v>
      </c>
      <c r="AA14" s="712">
        <f t="shared" si="3"/>
        <v>1</v>
      </c>
      <c r="AB14" s="712">
        <f t="shared" si="4"/>
        <v>1</v>
      </c>
      <c r="AC14" s="712">
        <f t="shared" si="5"/>
        <v>1</v>
      </c>
    </row>
    <row r="15" spans="1:29" ht="15">
      <c r="A15" s="398" t="s">
        <v>2320</v>
      </c>
      <c r="B15" s="64" t="s">
        <v>2414</v>
      </c>
      <c r="C15" s="2051">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18"/>
      <c r="M15" s="2912"/>
      <c r="N15" s="2912"/>
      <c r="O15" s="2912"/>
      <c r="P15" s="3495" t="s">
        <v>2321</v>
      </c>
      <c r="Q15" s="1505" t="str">
        <f t="shared" si="6"/>
        <v>商业繁华度</v>
      </c>
      <c r="R15" s="713" t="s">
        <v>17</v>
      </c>
      <c r="S15" s="714">
        <f t="shared" si="0"/>
        <v>100</v>
      </c>
      <c r="T15" s="713" t="s">
        <v>17</v>
      </c>
      <c r="U15" s="714">
        <f t="shared" si="1"/>
        <v>100</v>
      </c>
      <c r="V15" s="713" t="s">
        <v>17</v>
      </c>
      <c r="W15" s="714">
        <f t="shared" si="2"/>
        <v>100</v>
      </c>
      <c r="X15" s="1508"/>
      <c r="Y15" s="3422"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18"/>
      <c r="M16" s="2912"/>
      <c r="N16" s="2912"/>
      <c r="O16" s="2912"/>
      <c r="P16" s="3496"/>
      <c r="Q16" s="1505"/>
      <c r="R16" s="713"/>
      <c r="S16" s="714"/>
      <c r="T16" s="713"/>
      <c r="U16" s="714"/>
      <c r="V16" s="713"/>
      <c r="W16" s="714"/>
      <c r="X16" s="1508"/>
      <c r="Y16" s="3423"/>
      <c r="Z16" s="1509"/>
      <c r="AA16" s="1506">
        <v>1</v>
      </c>
      <c r="AB16" s="1506">
        <v>1</v>
      </c>
      <c r="AC16" s="1506">
        <v>1</v>
      </c>
    </row>
    <row r="17" spans="1:29" ht="15">
      <c r="A17" s="386"/>
      <c r="B17" s="409" t="s">
        <v>1885</v>
      </c>
      <c r="C17" s="2055">
        <f>估价对象房地状况!C6</f>
        <v>0</v>
      </c>
      <c r="D17" s="408">
        <v>100</v>
      </c>
      <c r="E17" s="410"/>
      <c r="F17" s="411">
        <f>SUMIF(78:78,E18,79:79)-SUMIF(78:78,C18,79:79)+100</f>
        <v>100</v>
      </c>
      <c r="G17" s="412"/>
      <c r="H17" s="413">
        <f>SUMIF(78:78,G18,79:79)-SUMIF(78:78,C18,79:79)+100</f>
        <v>100</v>
      </c>
      <c r="I17" s="410"/>
      <c r="J17" s="413">
        <f>SUMIF(78:78,I18,79:79)-SUMIF(78:78,C18,79:79)+100</f>
        <v>100</v>
      </c>
      <c r="K17" s="570"/>
      <c r="L17" s="2918"/>
      <c r="M17" s="2912"/>
      <c r="N17" s="2912"/>
      <c r="O17" s="2912"/>
      <c r="P17" s="3496"/>
      <c r="Q17" s="1505" t="str">
        <f>B17</f>
        <v>交通便捷度</v>
      </c>
      <c r="R17" s="713" t="s">
        <v>17</v>
      </c>
      <c r="S17" s="714">
        <f>F17</f>
        <v>100</v>
      </c>
      <c r="T17" s="713" t="s">
        <v>17</v>
      </c>
      <c r="U17" s="714">
        <f>H17</f>
        <v>100</v>
      </c>
      <c r="V17" s="713" t="s">
        <v>17</v>
      </c>
      <c r="W17" s="714">
        <f>J17</f>
        <v>100</v>
      </c>
      <c r="X17" s="1508"/>
      <c r="Y17" s="3423"/>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18"/>
      <c r="M18" s="2912"/>
      <c r="N18" s="2912"/>
      <c r="O18" s="2912"/>
      <c r="P18" s="3496"/>
      <c r="Q18" s="1505"/>
      <c r="R18" s="713"/>
      <c r="S18" s="714"/>
      <c r="T18" s="713"/>
      <c r="U18" s="714"/>
      <c r="V18" s="713"/>
      <c r="W18" s="714"/>
      <c r="X18" s="1508"/>
      <c r="Y18" s="3423"/>
      <c r="Z18" s="1509"/>
      <c r="AA18" s="1506">
        <v>1</v>
      </c>
      <c r="AB18" s="1506">
        <v>1</v>
      </c>
      <c r="AC18" s="1506">
        <v>1</v>
      </c>
    </row>
    <row r="19" spans="1:29" ht="15">
      <c r="A19" s="386"/>
      <c r="B19" s="409" t="s">
        <v>2415</v>
      </c>
      <c r="C19" s="2055">
        <f>估价对象房地状况!C7</f>
        <v>0</v>
      </c>
      <c r="D19" s="413">
        <v>100</v>
      </c>
      <c r="E19" s="415"/>
      <c r="F19" s="416">
        <f>SUMIF(80:80,E20,81:81)-SUMIF(80:80,C20,81:81)+100</f>
        <v>100</v>
      </c>
      <c r="G19" s="417"/>
      <c r="H19" s="408">
        <f>SUMIF(80:80,G20,81:81)-SUMIF(80:80,C20,81:81)+100</f>
        <v>100</v>
      </c>
      <c r="I19" s="415"/>
      <c r="J19" s="408">
        <f>SUMIF(80:80,I20,81:81)-SUMIF(80:80,C20,81:81)+100</f>
        <v>100</v>
      </c>
      <c r="K19" s="570"/>
      <c r="L19" s="2918"/>
      <c r="M19" s="2912"/>
      <c r="N19" s="2912"/>
      <c r="O19" s="2912"/>
      <c r="P19" s="3496"/>
      <c r="Q19" s="1505" t="str">
        <f>B19</f>
        <v>公共配套设施</v>
      </c>
      <c r="R19" s="713" t="s">
        <v>17</v>
      </c>
      <c r="S19" s="714">
        <f>F19</f>
        <v>100</v>
      </c>
      <c r="T19" s="713" t="s">
        <v>17</v>
      </c>
      <c r="U19" s="714">
        <f>H19</f>
        <v>100</v>
      </c>
      <c r="V19" s="713" t="s">
        <v>17</v>
      </c>
      <c r="W19" s="714">
        <f>J19</f>
        <v>100</v>
      </c>
      <c r="X19" s="1508"/>
      <c r="Y19" s="3423"/>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18"/>
      <c r="M20" s="2912"/>
      <c r="N20" s="2912"/>
      <c r="O20" s="2912"/>
      <c r="P20" s="3496"/>
      <c r="Q20" s="1505"/>
      <c r="R20" s="713"/>
      <c r="S20" s="714"/>
      <c r="T20" s="713"/>
      <c r="U20" s="714"/>
      <c r="V20" s="713"/>
      <c r="W20" s="714"/>
      <c r="X20" s="1508"/>
      <c r="Y20" s="3423"/>
      <c r="Z20" s="1509"/>
      <c r="AA20" s="1506">
        <v>1</v>
      </c>
      <c r="AB20" s="1506">
        <v>1</v>
      </c>
      <c r="AC20" s="1506">
        <v>1</v>
      </c>
    </row>
    <row r="21" spans="1:29" ht="15">
      <c r="A21" s="386"/>
      <c r="B21" s="1264" t="s">
        <v>2416</v>
      </c>
      <c r="C21" s="2055">
        <f>估价对象房地状况!C8</f>
        <v>0</v>
      </c>
      <c r="D21" s="413">
        <v>100</v>
      </c>
      <c r="E21" s="415"/>
      <c r="F21" s="416">
        <f>SUMIF(82:82,E22,83:83)-SUMIF(82:82,C22,83:83)+100</f>
        <v>100</v>
      </c>
      <c r="G21" s="417"/>
      <c r="H21" s="408">
        <f>SUMIF(82:82,G22,83:83)-SUMIF(82:82,C22,83:83)+100</f>
        <v>100</v>
      </c>
      <c r="I21" s="415"/>
      <c r="J21" s="408">
        <f>SUMIF(82:82,I22,83:83)-SUMIF(82:82,C22,83:83)+100</f>
        <v>100</v>
      </c>
      <c r="K21" s="570"/>
      <c r="L21" s="2918"/>
      <c r="M21" s="2912"/>
      <c r="N21" s="2912"/>
      <c r="O21" s="2912"/>
      <c r="P21" s="3496"/>
      <c r="Q21" s="1505" t="str">
        <f>B21</f>
        <v>基础设施水平</v>
      </c>
      <c r="R21" s="713" t="s">
        <v>17</v>
      </c>
      <c r="S21" s="714">
        <f>F21</f>
        <v>100</v>
      </c>
      <c r="T21" s="713" t="s">
        <v>17</v>
      </c>
      <c r="U21" s="714">
        <f>H21</f>
        <v>100</v>
      </c>
      <c r="V21" s="713" t="s">
        <v>17</v>
      </c>
      <c r="W21" s="714">
        <f>J21</f>
        <v>100</v>
      </c>
      <c r="X21" s="1508"/>
      <c r="Y21" s="3423"/>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18"/>
      <c r="M22" s="2912"/>
      <c r="N22" s="2912"/>
      <c r="O22" s="2912"/>
      <c r="P22" s="3496"/>
      <c r="Q22" s="1505"/>
      <c r="R22" s="713"/>
      <c r="S22" s="714"/>
      <c r="T22" s="713"/>
      <c r="U22" s="714"/>
      <c r="V22" s="713"/>
      <c r="W22" s="714"/>
      <c r="X22" s="1508"/>
      <c r="Y22" s="3423"/>
      <c r="Z22" s="1509"/>
      <c r="AA22" s="1506">
        <v>1</v>
      </c>
      <c r="AB22" s="1506">
        <v>1</v>
      </c>
      <c r="AC22" s="1506">
        <v>1</v>
      </c>
    </row>
    <row r="23" spans="1:29" ht="15">
      <c r="A23" s="386"/>
      <c r="B23" s="409" t="s">
        <v>1887</v>
      </c>
      <c r="C23" s="2110">
        <f>估价对象房地状况!C9</f>
        <v>0</v>
      </c>
      <c r="D23" s="408">
        <v>100</v>
      </c>
      <c r="E23" s="410"/>
      <c r="F23" s="411">
        <f>SUMIF(84:84,E24,85:85)-SUMIF(84:84,C24,85:85)+100</f>
        <v>100</v>
      </c>
      <c r="G23" s="412"/>
      <c r="H23" s="408">
        <f>SUMIF(84:84,G24,85:85)-SUMIF(84:84,C24,85:85)+100</f>
        <v>100</v>
      </c>
      <c r="I23" s="410"/>
      <c r="J23" s="408">
        <f>SUMIF(84:84,I24,85:85)-SUMIF(84:84,C24,85:85)+100</f>
        <v>100</v>
      </c>
      <c r="K23" s="570"/>
      <c r="L23" s="2918"/>
      <c r="M23" s="2912"/>
      <c r="N23" s="2912"/>
      <c r="O23" s="2912"/>
      <c r="P23" s="3496"/>
      <c r="Q23" s="1505" t="str">
        <f>B23</f>
        <v>自然及人文环境</v>
      </c>
      <c r="R23" s="713" t="s">
        <v>17</v>
      </c>
      <c r="S23" s="714">
        <f>F23</f>
        <v>100</v>
      </c>
      <c r="T23" s="713" t="s">
        <v>17</v>
      </c>
      <c r="U23" s="714">
        <f>H23</f>
        <v>100</v>
      </c>
      <c r="V23" s="713" t="s">
        <v>17</v>
      </c>
      <c r="W23" s="714">
        <f>J23</f>
        <v>100</v>
      </c>
      <c r="X23" s="1508"/>
      <c r="Y23" s="3423"/>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18"/>
      <c r="M24" s="2912"/>
      <c r="N24" s="2912"/>
      <c r="O24" s="2912"/>
      <c r="P24" s="3496"/>
      <c r="Q24" s="1505"/>
      <c r="R24" s="713"/>
      <c r="S24" s="714"/>
      <c r="T24" s="713"/>
      <c r="U24" s="714"/>
      <c r="V24" s="713"/>
      <c r="W24" s="714"/>
      <c r="X24" s="1508"/>
      <c r="Y24" s="3423"/>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8"/>
      <c r="M25" s="2912"/>
      <c r="N25" s="2912"/>
      <c r="O25" s="2912"/>
      <c r="P25" s="3496"/>
      <c r="Q25" s="1505" t="str">
        <f t="shared" ref="Q25:Q46" si="11">B25</f>
        <v>临街状况</v>
      </c>
      <c r="R25" s="713" t="s">
        <v>17</v>
      </c>
      <c r="S25" s="714">
        <f>F25</f>
        <v>100</v>
      </c>
      <c r="T25" s="713" t="s">
        <v>17</v>
      </c>
      <c r="U25" s="714">
        <f>H25</f>
        <v>100</v>
      </c>
      <c r="V25" s="713" t="s">
        <v>17</v>
      </c>
      <c r="W25" s="714">
        <f>J25</f>
        <v>100</v>
      </c>
      <c r="X25" s="1508"/>
      <c r="Y25" s="3423"/>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496"/>
      <c r="Q26" s="1505" t="str">
        <f t="shared" si="11"/>
        <v>平面位置/可视性</v>
      </c>
      <c r="R26" s="713" t="s">
        <v>17</v>
      </c>
      <c r="S26" s="714">
        <f>F26</f>
        <v>100</v>
      </c>
      <c r="T26" s="713" t="s">
        <v>17</v>
      </c>
      <c r="U26" s="714">
        <f>H26</f>
        <v>100</v>
      </c>
      <c r="V26" s="713" t="s">
        <v>17</v>
      </c>
      <c r="W26" s="714">
        <f>J26</f>
        <v>100</v>
      </c>
      <c r="X26" s="1508"/>
      <c r="Y26" s="3423"/>
      <c r="Z26" s="1509" t="str">
        <f>Q26</f>
        <v>平面位置/可视性</v>
      </c>
      <c r="AA26" s="1506">
        <f t="shared" si="3"/>
        <v>1</v>
      </c>
      <c r="AB26" s="1506">
        <f t="shared" si="4"/>
        <v>1</v>
      </c>
      <c r="AC26" s="1506">
        <f t="shared" si="5"/>
        <v>1</v>
      </c>
    </row>
    <row r="27" spans="1:29" s="112"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3"/>
      <c r="M27" s="2914"/>
      <c r="N27" s="2914"/>
      <c r="O27" s="2914"/>
      <c r="P27" s="3496"/>
      <c r="Q27" s="1496" t="str">
        <f t="shared" si="11"/>
        <v>人流量</v>
      </c>
      <c r="R27" s="709" t="s">
        <v>17</v>
      </c>
      <c r="S27" s="710">
        <f>F27</f>
        <v>100</v>
      </c>
      <c r="T27" s="709" t="s">
        <v>17</v>
      </c>
      <c r="U27" s="710">
        <f>H27</f>
        <v>100</v>
      </c>
      <c r="V27" s="709" t="s">
        <v>17</v>
      </c>
      <c r="W27" s="710">
        <f>J27</f>
        <v>100</v>
      </c>
      <c r="X27" s="711"/>
      <c r="Y27" s="3423"/>
      <c r="Z27" s="54"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8"/>
      <c r="M28" s="2912"/>
      <c r="N28" s="2912"/>
      <c r="O28" s="2912"/>
      <c r="P28" s="3496"/>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423"/>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496"/>
      <c r="Q29" s="1505">
        <f t="shared" si="11"/>
        <v>111</v>
      </c>
      <c r="R29" s="713" t="s">
        <v>17</v>
      </c>
      <c r="S29" s="714">
        <f t="shared" si="12"/>
        <v>100</v>
      </c>
      <c r="T29" s="713" t="s">
        <v>17</v>
      </c>
      <c r="U29" s="714">
        <f t="shared" si="13"/>
        <v>100</v>
      </c>
      <c r="V29" s="713" t="s">
        <v>17</v>
      </c>
      <c r="W29" s="714">
        <f t="shared" si="14"/>
        <v>100</v>
      </c>
      <c r="X29" s="1508"/>
      <c r="Y29" s="3423"/>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496"/>
      <c r="Q30" s="1505">
        <f t="shared" si="11"/>
        <v>111</v>
      </c>
      <c r="R30" s="713" t="s">
        <v>17</v>
      </c>
      <c r="S30" s="714">
        <f t="shared" si="12"/>
        <v>100</v>
      </c>
      <c r="T30" s="713" t="s">
        <v>17</v>
      </c>
      <c r="U30" s="714">
        <f t="shared" si="13"/>
        <v>100</v>
      </c>
      <c r="V30" s="713" t="s">
        <v>17</v>
      </c>
      <c r="W30" s="714">
        <f t="shared" si="14"/>
        <v>100</v>
      </c>
      <c r="X30" s="1508"/>
      <c r="Y30" s="3423"/>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496"/>
      <c r="Q31" s="1505">
        <f t="shared" si="11"/>
        <v>111</v>
      </c>
      <c r="R31" s="713" t="s">
        <v>17</v>
      </c>
      <c r="S31" s="714">
        <f t="shared" si="12"/>
        <v>100</v>
      </c>
      <c r="T31" s="713" t="s">
        <v>17</v>
      </c>
      <c r="U31" s="714">
        <f t="shared" si="13"/>
        <v>100</v>
      </c>
      <c r="V31" s="713" t="s">
        <v>17</v>
      </c>
      <c r="W31" s="714">
        <f t="shared" si="14"/>
        <v>100</v>
      </c>
      <c r="X31" s="1508"/>
      <c r="Y31" s="3423"/>
      <c r="Z31" s="1509">
        <f t="shared" si="15"/>
        <v>111</v>
      </c>
      <c r="AA31" s="1506">
        <f t="shared" si="3"/>
        <v>1</v>
      </c>
      <c r="AB31" s="1506">
        <f t="shared" si="4"/>
        <v>1</v>
      </c>
      <c r="AC31" s="1506">
        <f t="shared" si="5"/>
        <v>1</v>
      </c>
    </row>
    <row r="32" spans="1:29" ht="15">
      <c r="A32" s="398" t="s">
        <v>2324</v>
      </c>
      <c r="B32" s="66"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18"/>
      <c r="M32" s="2912"/>
      <c r="N32" s="2912"/>
      <c r="O32" s="2912"/>
      <c r="P32" s="3491" t="s">
        <v>2326</v>
      </c>
      <c r="Q32" s="1505" t="str">
        <f t="shared" si="11"/>
        <v>商业类型</v>
      </c>
      <c r="R32" s="713" t="s">
        <v>17</v>
      </c>
      <c r="S32" s="714">
        <f t="shared" si="12"/>
        <v>100</v>
      </c>
      <c r="T32" s="713" t="s">
        <v>17</v>
      </c>
      <c r="U32" s="714">
        <f t="shared" si="13"/>
        <v>100</v>
      </c>
      <c r="V32" s="713" t="s">
        <v>17</v>
      </c>
      <c r="W32" s="714">
        <f t="shared" si="14"/>
        <v>100</v>
      </c>
      <c r="X32" s="1508"/>
      <c r="Y32" s="3425" t="s">
        <v>2326</v>
      </c>
      <c r="Z32" s="1509" t="str">
        <f t="shared" si="15"/>
        <v>商业类型</v>
      </c>
      <c r="AA32" s="1506">
        <f t="shared" si="3"/>
        <v>1</v>
      </c>
      <c r="AB32" s="1506">
        <f t="shared" si="4"/>
        <v>1</v>
      </c>
      <c r="AC32" s="1506">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7"/>
      <c r="M33" s="2919"/>
      <c r="N33" s="2919"/>
      <c r="O33" s="2919"/>
      <c r="P33" s="3492"/>
      <c r="Q33" s="715" t="str">
        <f t="shared" si="11"/>
        <v>项目建筑规模</v>
      </c>
      <c r="R33" s="716" t="s">
        <v>17</v>
      </c>
      <c r="S33" s="717" t="e">
        <f t="shared" si="12"/>
        <v>#N/A</v>
      </c>
      <c r="T33" s="716" t="s">
        <v>17</v>
      </c>
      <c r="U33" s="717" t="e">
        <f t="shared" si="13"/>
        <v>#N/A</v>
      </c>
      <c r="V33" s="716" t="s">
        <v>17</v>
      </c>
      <c r="W33" s="717" t="e">
        <f t="shared" si="14"/>
        <v>#N/A</v>
      </c>
      <c r="X33" s="718"/>
      <c r="Y33" s="3425"/>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18"/>
      <c r="M34" s="2912"/>
      <c r="N34" s="2912"/>
      <c r="O34" s="2912"/>
      <c r="P34" s="3492"/>
      <c r="Q34" s="1505" t="str">
        <f t="shared" si="11"/>
        <v>建筑结构</v>
      </c>
      <c r="R34" s="713" t="s">
        <v>17</v>
      </c>
      <c r="S34" s="714">
        <f t="shared" si="12"/>
        <v>100</v>
      </c>
      <c r="T34" s="713" t="s">
        <v>17</v>
      </c>
      <c r="U34" s="714">
        <f t="shared" si="13"/>
        <v>100</v>
      </c>
      <c r="V34" s="713" t="s">
        <v>17</v>
      </c>
      <c r="W34" s="714">
        <f t="shared" si="14"/>
        <v>100</v>
      </c>
      <c r="X34" s="1508"/>
      <c r="Y34" s="3425"/>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18"/>
      <c r="M35" s="2912"/>
      <c r="N35" s="2912"/>
      <c r="O35" s="2912"/>
      <c r="P35" s="3492"/>
      <c r="Q35" s="1505" t="str">
        <f t="shared" si="11"/>
        <v>公共部分装修</v>
      </c>
      <c r="R35" s="713" t="s">
        <v>17</v>
      </c>
      <c r="S35" s="714">
        <f t="shared" si="12"/>
        <v>100</v>
      </c>
      <c r="T35" s="713" t="s">
        <v>17</v>
      </c>
      <c r="U35" s="714">
        <f t="shared" si="13"/>
        <v>100</v>
      </c>
      <c r="V35" s="713" t="s">
        <v>17</v>
      </c>
      <c r="W35" s="714">
        <f t="shared" si="14"/>
        <v>100</v>
      </c>
      <c r="X35" s="1508"/>
      <c r="Y35" s="3425"/>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8"/>
      <c r="M36" s="2912"/>
      <c r="N36" s="2912"/>
      <c r="O36" s="2912"/>
      <c r="P36" s="3492"/>
      <c r="Q36" s="1505" t="str">
        <f t="shared" si="11"/>
        <v>成新度</v>
      </c>
      <c r="R36" s="713" t="s">
        <v>17</v>
      </c>
      <c r="S36" s="714" t="e">
        <f t="shared" si="12"/>
        <v>#N/A</v>
      </c>
      <c r="T36" s="713" t="s">
        <v>17</v>
      </c>
      <c r="U36" s="714" t="e">
        <f t="shared" si="13"/>
        <v>#N/A</v>
      </c>
      <c r="V36" s="713" t="s">
        <v>17</v>
      </c>
      <c r="W36" s="714" t="e">
        <f t="shared" si="14"/>
        <v>#N/A</v>
      </c>
      <c r="X36" s="1508"/>
      <c r="Y36" s="3425"/>
      <c r="Z36" s="1509" t="str">
        <f t="shared" si="15"/>
        <v>成新度</v>
      </c>
      <c r="AA36" s="1506" t="e">
        <f t="shared" si="3"/>
        <v>#N/A</v>
      </c>
      <c r="AB36" s="1506" t="e">
        <f t="shared" si="4"/>
        <v>#N/A</v>
      </c>
      <c r="AC36" s="1506" t="e">
        <f t="shared" si="5"/>
        <v>#N/A</v>
      </c>
    </row>
    <row r="37" spans="1:29" s="112" customFormat="1" ht="15">
      <c r="A37" s="431"/>
      <c r="B37" s="380" t="s">
        <v>2424</v>
      </c>
      <c r="C37" s="2061"/>
      <c r="D37" s="131">
        <v>100</v>
      </c>
      <c r="E37" s="2061"/>
      <c r="F37" s="419">
        <f>SUMIF(112:112,E37,113:113)-SUMIF(112:112,C37,113:113)+100</f>
        <v>100</v>
      </c>
      <c r="G37" s="2061"/>
      <c r="H37" s="393">
        <f>SUMIF(112:112,G37,113:113)-SUMIF(112:112,C37,113:113)+100</f>
        <v>100</v>
      </c>
      <c r="I37" s="2061"/>
      <c r="J37" s="393">
        <f>SUMIF(112:112,I37,113:113)-SUMIF(112:112,C37,113:113)+100</f>
        <v>100</v>
      </c>
      <c r="K37" s="568"/>
      <c r="L37" s="2913"/>
      <c r="M37" s="2914"/>
      <c r="N37" s="2914"/>
      <c r="O37" s="2914"/>
      <c r="P37" s="3492"/>
      <c r="Q37" s="1496" t="str">
        <f t="shared" si="11"/>
        <v>市政基础设施</v>
      </c>
      <c r="R37" s="709" t="s">
        <v>17</v>
      </c>
      <c r="S37" s="710">
        <f t="shared" si="12"/>
        <v>100</v>
      </c>
      <c r="T37" s="709" t="s">
        <v>17</v>
      </c>
      <c r="U37" s="710">
        <f t="shared" si="13"/>
        <v>100</v>
      </c>
      <c r="V37" s="709" t="s">
        <v>17</v>
      </c>
      <c r="W37" s="710">
        <f t="shared" si="14"/>
        <v>100</v>
      </c>
      <c r="X37" s="711"/>
      <c r="Y37" s="3425"/>
      <c r="Z37" s="54"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18"/>
      <c r="M38" s="2912"/>
      <c r="N38" s="2912"/>
      <c r="O38" s="2912"/>
      <c r="P38" s="3492" t="s">
        <v>2326</v>
      </c>
      <c r="Q38" s="1505" t="str">
        <f t="shared" si="11"/>
        <v>业态</v>
      </c>
      <c r="R38" s="713" t="s">
        <v>17</v>
      </c>
      <c r="S38" s="714">
        <f t="shared" si="12"/>
        <v>100</v>
      </c>
      <c r="T38" s="713" t="s">
        <v>17</v>
      </c>
      <c r="U38" s="714">
        <f t="shared" si="13"/>
        <v>100</v>
      </c>
      <c r="V38" s="713" t="s">
        <v>17</v>
      </c>
      <c r="W38" s="714">
        <f t="shared" si="14"/>
        <v>100</v>
      </c>
      <c r="X38" s="1508"/>
      <c r="Y38" s="3425"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18"/>
      <c r="M39" s="2912"/>
      <c r="N39" s="2912"/>
      <c r="O39" s="2912"/>
      <c r="P39" s="3492"/>
      <c r="Q39" s="1505" t="str">
        <f t="shared" si="11"/>
        <v>层高</v>
      </c>
      <c r="R39" s="713" t="s">
        <v>17</v>
      </c>
      <c r="S39" s="714">
        <f t="shared" si="12"/>
        <v>100</v>
      </c>
      <c r="T39" s="713" t="s">
        <v>17</v>
      </c>
      <c r="U39" s="714">
        <f t="shared" si="13"/>
        <v>100</v>
      </c>
      <c r="V39" s="713" t="s">
        <v>17</v>
      </c>
      <c r="W39" s="714">
        <f t="shared" si="14"/>
        <v>100</v>
      </c>
      <c r="X39" s="1508"/>
      <c r="Y39" s="3425"/>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492"/>
      <c r="Q40" s="1505" t="str">
        <f t="shared" si="11"/>
        <v>单套建筑面积</v>
      </c>
      <c r="R40" s="713" t="s">
        <v>17</v>
      </c>
      <c r="S40" s="714">
        <f t="shared" si="12"/>
        <v>100</v>
      </c>
      <c r="T40" s="713" t="s">
        <v>17</v>
      </c>
      <c r="U40" s="714">
        <f t="shared" si="13"/>
        <v>100</v>
      </c>
      <c r="V40" s="713" t="s">
        <v>17</v>
      </c>
      <c r="W40" s="714">
        <f t="shared" si="14"/>
        <v>100</v>
      </c>
      <c r="X40" s="1508"/>
      <c r="Y40" s="3425"/>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492"/>
      <c r="Q41" s="715" t="str">
        <f t="shared" si="11"/>
        <v>进深比</v>
      </c>
      <c r="R41" s="716" t="s">
        <v>17</v>
      </c>
      <c r="S41" s="717">
        <f t="shared" si="12"/>
        <v>100</v>
      </c>
      <c r="T41" s="716" t="s">
        <v>17</v>
      </c>
      <c r="U41" s="717">
        <f t="shared" si="13"/>
        <v>100</v>
      </c>
      <c r="V41" s="716" t="s">
        <v>17</v>
      </c>
      <c r="W41" s="717">
        <f t="shared" si="14"/>
        <v>100</v>
      </c>
      <c r="X41" s="718"/>
      <c r="Y41" s="3425"/>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18"/>
      <c r="M42" s="2912"/>
      <c r="N42" s="2912"/>
      <c r="O42" s="2912"/>
      <c r="P42" s="3492"/>
      <c r="Q42" s="1505" t="str">
        <f t="shared" si="11"/>
        <v>内部装修</v>
      </c>
      <c r="R42" s="713" t="s">
        <v>17</v>
      </c>
      <c r="S42" s="714">
        <f t="shared" si="12"/>
        <v>100</v>
      </c>
      <c r="T42" s="713" t="s">
        <v>17</v>
      </c>
      <c r="U42" s="714">
        <f t="shared" si="13"/>
        <v>100</v>
      </c>
      <c r="V42" s="713" t="s">
        <v>17</v>
      </c>
      <c r="W42" s="714">
        <f t="shared" si="14"/>
        <v>100</v>
      </c>
      <c r="X42" s="1508"/>
      <c r="Y42" s="3425"/>
      <c r="Z42" s="1509" t="str">
        <f t="shared" si="15"/>
        <v>内部装修</v>
      </c>
      <c r="AA42" s="1506">
        <f t="shared" si="3"/>
        <v>1</v>
      </c>
      <c r="AB42" s="1506">
        <f t="shared" si="4"/>
        <v>1</v>
      </c>
      <c r="AC42" s="1506">
        <f t="shared" si="5"/>
        <v>1</v>
      </c>
    </row>
    <row r="43" spans="1:29" ht="15">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18"/>
      <c r="M43" s="2912"/>
      <c r="N43" s="2912"/>
      <c r="O43" s="2912"/>
      <c r="P43" s="3492"/>
      <c r="Q43" s="1505" t="str">
        <f t="shared" si="11"/>
        <v>内部装修维护情况</v>
      </c>
      <c r="R43" s="713" t="s">
        <v>17</v>
      </c>
      <c r="S43" s="714">
        <f t="shared" si="12"/>
        <v>100</v>
      </c>
      <c r="T43" s="713" t="s">
        <v>17</v>
      </c>
      <c r="U43" s="714">
        <f t="shared" si="13"/>
        <v>100</v>
      </c>
      <c r="V43" s="713" t="s">
        <v>17</v>
      </c>
      <c r="W43" s="714">
        <f t="shared" si="14"/>
        <v>100</v>
      </c>
      <c r="X43" s="1508"/>
      <c r="Y43" s="3425"/>
      <c r="Z43" s="1509" t="str">
        <f t="shared" si="15"/>
        <v>内部装修维护情况</v>
      </c>
      <c r="AA43" s="1506">
        <f t="shared" si="3"/>
        <v>1</v>
      </c>
      <c r="AB43" s="1506">
        <f t="shared" si="4"/>
        <v>1</v>
      </c>
      <c r="AC43" s="1506">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3"/>
      <c r="M44" s="2914"/>
      <c r="N44" s="2914"/>
      <c r="O44" s="2914"/>
      <c r="P44" s="3492"/>
      <c r="Q44" s="1496">
        <f t="shared" si="11"/>
        <v>111</v>
      </c>
      <c r="R44" s="709" t="s">
        <v>17</v>
      </c>
      <c r="S44" s="710">
        <f t="shared" si="12"/>
        <v>100</v>
      </c>
      <c r="T44" s="709" t="s">
        <v>17</v>
      </c>
      <c r="U44" s="710">
        <f t="shared" si="13"/>
        <v>100</v>
      </c>
      <c r="V44" s="709" t="s">
        <v>17</v>
      </c>
      <c r="W44" s="710">
        <f t="shared" si="14"/>
        <v>100</v>
      </c>
      <c r="X44" s="711"/>
      <c r="Y44" s="3425"/>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492"/>
      <c r="Q45" s="1505">
        <f t="shared" si="11"/>
        <v>111</v>
      </c>
      <c r="R45" s="713" t="s">
        <v>17</v>
      </c>
      <c r="S45" s="714">
        <f t="shared" si="12"/>
        <v>100</v>
      </c>
      <c r="T45" s="713" t="s">
        <v>17</v>
      </c>
      <c r="U45" s="714">
        <f t="shared" si="13"/>
        <v>100</v>
      </c>
      <c r="V45" s="713" t="s">
        <v>17</v>
      </c>
      <c r="W45" s="714">
        <f t="shared" si="14"/>
        <v>100</v>
      </c>
      <c r="X45" s="1508"/>
      <c r="Y45" s="3425"/>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493"/>
      <c r="Q46" s="1505">
        <f t="shared" si="11"/>
        <v>111</v>
      </c>
      <c r="R46" s="713" t="s">
        <v>17</v>
      </c>
      <c r="S46" s="714">
        <f t="shared" si="12"/>
        <v>100</v>
      </c>
      <c r="T46" s="713" t="s">
        <v>17</v>
      </c>
      <c r="U46" s="714">
        <f t="shared" si="13"/>
        <v>100</v>
      </c>
      <c r="V46" s="713" t="s">
        <v>17</v>
      </c>
      <c r="W46" s="714">
        <f t="shared" si="14"/>
        <v>100</v>
      </c>
      <c r="X46" s="1508"/>
      <c r="Y46" s="3494"/>
      <c r="Z46" s="1509">
        <f t="shared" si="15"/>
        <v>111</v>
      </c>
      <c r="AA46" s="1506">
        <f t="shared" si="3"/>
        <v>1</v>
      </c>
      <c r="AB46" s="1506">
        <f t="shared" si="4"/>
        <v>1</v>
      </c>
      <c r="AC46" s="1506">
        <f t="shared" si="5"/>
        <v>1</v>
      </c>
    </row>
    <row r="47" spans="1:29" ht="15">
      <c r="A47" s="437" t="s">
        <v>2338</v>
      </c>
      <c r="B47" s="438"/>
      <c r="C47" s="1287" t="s">
        <v>1</v>
      </c>
      <c r="D47" s="1288"/>
      <c r="E47" s="1289"/>
      <c r="F47" s="1290"/>
      <c r="G47" s="1291"/>
      <c r="H47" s="1292"/>
      <c r="I47" s="1289"/>
      <c r="J47" s="1292"/>
      <c r="K47" s="722"/>
      <c r="L47" s="2920"/>
      <c r="M47" s="2921"/>
      <c r="N47" s="2912"/>
      <c r="O47" s="2921"/>
      <c r="P47" s="3419" t="str">
        <f>A47</f>
        <v>成交单价（元/平方米）</v>
      </c>
      <c r="Q47" s="3419"/>
      <c r="R47" s="3421">
        <f>E47</f>
        <v>0</v>
      </c>
      <c r="S47" s="3421"/>
      <c r="T47" s="3421">
        <f>G47</f>
        <v>0</v>
      </c>
      <c r="U47" s="3421"/>
      <c r="V47" s="3421">
        <f>I47</f>
        <v>0</v>
      </c>
      <c r="W47" s="3421"/>
      <c r="X47" s="698"/>
      <c r="Y47" s="720"/>
      <c r="Z47" s="698"/>
      <c r="AA47" s="698"/>
      <c r="AB47" s="698"/>
      <c r="AC47" s="698"/>
    </row>
    <row r="48" spans="1:29" ht="15.75" thickBot="1">
      <c r="A48" s="444" t="s">
        <v>2430</v>
      </c>
      <c r="B48" s="445"/>
      <c r="C48" s="1293" t="e">
        <f>R49</f>
        <v>#DIV/0!</v>
      </c>
      <c r="D48" s="2507" t="s">
        <v>2818</v>
      </c>
      <c r="E48" s="1294" t="e">
        <f>R48</f>
        <v>#DIV/0!</v>
      </c>
      <c r="F48" s="2508"/>
      <c r="G48" s="1293" t="e">
        <f>T48</f>
        <v>#DIV/0!</v>
      </c>
      <c r="H48" s="2508"/>
      <c r="I48" s="1294" t="e">
        <f>V48</f>
        <v>#DIV/0!</v>
      </c>
      <c r="J48" s="2508"/>
      <c r="K48" s="2510">
        <f>F48+H48+J48</f>
        <v>0</v>
      </c>
      <c r="L48" s="2920"/>
      <c r="M48" s="2921"/>
      <c r="N48" s="2912"/>
      <c r="O48" s="2921"/>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0"/>
      <c r="M49" s="2921"/>
      <c r="N49" s="2912"/>
      <c r="O49" s="2921"/>
      <c r="P49" s="3416" t="str">
        <f>A49</f>
        <v>估价对象XX用房的比较价值（楼面单价，元/平方米）</v>
      </c>
      <c r="Q49" s="3417"/>
      <c r="R49" s="3489" t="e">
        <f>IF(F1="售价",ROUND(IF(D48="简单平均",AVERAGE(R48:V48),R48*F48+T48*H48+V48*J48),0),ROUND(IF(D48="简单平均",AVERAGE(R48:V48),R48*F48+T48*H48+V48*J48),1))</f>
        <v>#DIV/0!</v>
      </c>
      <c r="S49" s="3489"/>
      <c r="T49" s="3489"/>
      <c r="U49" s="3489"/>
      <c r="V49" s="3489"/>
      <c r="W49" s="3489"/>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c r="A54" s="2924"/>
      <c r="B54" s="2924"/>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2" t="s">
        <v>2435</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ht="15">
      <c r="A58" s="461" t="s">
        <v>2309</v>
      </c>
      <c r="B58" s="462"/>
      <c r="C58" s="1317" t="str">
        <f>YEAR(C7)&amp;"-"&amp;MONTH(C7)</f>
        <v>2022-1</v>
      </c>
      <c r="D58" s="1318">
        <f>EDATE(C58,-1)</f>
        <v>44531</v>
      </c>
      <c r="E58" s="1318">
        <f t="shared" ref="E58:N58" si="16">EDATE(D58,-1)</f>
        <v>44501</v>
      </c>
      <c r="F58" s="1318">
        <f t="shared" si="16"/>
        <v>44470</v>
      </c>
      <c r="G58" s="1318">
        <f t="shared" si="16"/>
        <v>44440</v>
      </c>
      <c r="H58" s="1318">
        <f t="shared" si="16"/>
        <v>44409</v>
      </c>
      <c r="I58" s="1318">
        <f t="shared" si="16"/>
        <v>44378</v>
      </c>
      <c r="J58" s="1318">
        <f t="shared" si="16"/>
        <v>44348</v>
      </c>
      <c r="K58" s="1318">
        <f t="shared" si="16"/>
        <v>44317</v>
      </c>
      <c r="L58" s="1318">
        <f t="shared" si="16"/>
        <v>44287</v>
      </c>
      <c r="M58" s="1318">
        <f t="shared" si="16"/>
        <v>44256</v>
      </c>
      <c r="N58" s="1318">
        <f t="shared" si="16"/>
        <v>44228</v>
      </c>
      <c r="O58" s="1318">
        <f>EDATE(N58,-1)</f>
        <v>44197</v>
      </c>
      <c r="P58" s="2936"/>
      <c r="Q58" s="2937"/>
      <c r="R58" s="2937"/>
      <c r="S58" s="2937"/>
      <c r="T58" s="2937"/>
      <c r="U58" s="2937"/>
      <c r="V58" s="2937"/>
      <c r="W58" s="2937"/>
      <c r="X58" s="2937"/>
      <c r="Y58" s="2937"/>
      <c r="Z58" s="2937"/>
      <c r="AA58" s="2937"/>
      <c r="AB58" s="2937"/>
      <c r="AC58" s="2937"/>
    </row>
    <row r="59" spans="1:29" s="112" customFormat="1" ht="15">
      <c r="A59" s="465"/>
      <c r="B59" s="466"/>
      <c r="C59" s="1316">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2" customFormat="1" ht="15.75" thickBot="1">
      <c r="A60" s="471" t="s">
        <v>2346</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2" customFormat="1" ht="15">
      <c r="A61" s="477" t="s">
        <v>2311</v>
      </c>
      <c r="B61" s="466"/>
      <c r="C61" s="478" t="s">
        <v>2413</v>
      </c>
      <c r="D61" s="479"/>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2" customFormat="1" ht="15.75" thickBot="1">
      <c r="A62" s="477"/>
      <c r="B62" s="466"/>
      <c r="C62" s="467">
        <v>100</v>
      </c>
      <c r="D62" s="468"/>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c r="A63" s="483" t="s">
        <v>2349</v>
      </c>
      <c r="B63" s="484" t="s">
        <v>2315</v>
      </c>
      <c r="C63" s="485">
        <f>C9</f>
        <v>0</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75" thickBot="1">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0"/>
      <c r="B68" s="504"/>
      <c r="C68" s="505"/>
      <c r="D68" s="505"/>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75" thickTop="1">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75" thickBot="1">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75" thickTop="1">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75" thickBot="1">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75" thickTop="1">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75" thickBot="1">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c r="A76" s="483" t="s">
        <v>2320</v>
      </c>
      <c r="B76" s="484" t="s">
        <v>2357</v>
      </c>
      <c r="C76" s="529" t="s">
        <v>2358</v>
      </c>
      <c r="D76" s="529" t="s">
        <v>2359</v>
      </c>
      <c r="E76" s="529" t="s">
        <v>2360</v>
      </c>
      <c r="F76" s="529" t="s">
        <v>2361</v>
      </c>
      <c r="G76" s="529" t="s">
        <v>2362</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75" thickTop="1">
      <c r="A78" s="490"/>
      <c r="B78" s="494" t="s">
        <v>2363</v>
      </c>
      <c r="C78" s="534" t="s">
        <v>2358</v>
      </c>
      <c r="D78" s="534" t="s">
        <v>2359</v>
      </c>
      <c r="E78" s="534" t="s">
        <v>2360</v>
      </c>
      <c r="F78" s="534" t="s">
        <v>2361</v>
      </c>
      <c r="G78" s="534" t="s">
        <v>2362</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75" thickTop="1">
      <c r="A80" s="490"/>
      <c r="B80" s="494" t="s">
        <v>2364</v>
      </c>
      <c r="C80" s="534" t="s">
        <v>2358</v>
      </c>
      <c r="D80" s="534" t="s">
        <v>2359</v>
      </c>
      <c r="E80" s="534" t="s">
        <v>2360</v>
      </c>
      <c r="F80" s="534" t="s">
        <v>2361</v>
      </c>
      <c r="G80" s="534" t="s">
        <v>2362</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75" thickTop="1">
      <c r="A82" s="490"/>
      <c r="B82" s="502" t="s">
        <v>2416</v>
      </c>
      <c r="C82" s="615" t="s">
        <v>2436</v>
      </c>
      <c r="D82" s="615" t="s">
        <v>2437</v>
      </c>
      <c r="E82" s="615" t="s">
        <v>2438</v>
      </c>
      <c r="F82" s="615" t="s">
        <v>2439</v>
      </c>
      <c r="G82" s="615" t="s">
        <v>2440</v>
      </c>
      <c r="H82" s="495"/>
      <c r="I82" s="495"/>
      <c r="J82" s="495"/>
      <c r="K82" s="495"/>
      <c r="L82" s="495"/>
      <c r="M82" s="1262"/>
      <c r="N82" s="2950"/>
      <c r="O82" s="2950"/>
      <c r="P82" s="2940"/>
      <c r="Q82" s="2935"/>
      <c r="R82" s="2921"/>
      <c r="S82" s="2921"/>
      <c r="T82" s="2921"/>
      <c r="U82" s="2921"/>
      <c r="V82" s="2921"/>
      <c r="W82" s="2921"/>
      <c r="X82" s="2921"/>
      <c r="Y82" s="2921"/>
      <c r="Z82" s="2921"/>
      <c r="AA82" s="2921"/>
      <c r="AB82" s="2921"/>
      <c r="AC82" s="292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75" thickTop="1">
      <c r="A84" s="490"/>
      <c r="B84" s="494" t="s">
        <v>2370</v>
      </c>
      <c r="C84" s="534" t="s">
        <v>2358</v>
      </c>
      <c r="D84" s="534" t="s">
        <v>2359</v>
      </c>
      <c r="E84" s="534" t="s">
        <v>2360</v>
      </c>
      <c r="F84" s="534" t="s">
        <v>2361</v>
      </c>
      <c r="G84" s="534" t="s">
        <v>2362</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2" customFormat="1" ht="15.75" thickTop="1">
      <c r="A86" s="535"/>
      <c r="B86" s="494" t="s">
        <v>2441</v>
      </c>
      <c r="C86" s="510"/>
      <c r="D86" s="510"/>
      <c r="E86" s="510"/>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0"/>
      <c r="O87" s="2950"/>
      <c r="P87" s="2940"/>
      <c r="Q87" s="2935"/>
      <c r="R87" s="2855"/>
      <c r="S87" s="2855"/>
      <c r="T87" s="2855"/>
      <c r="U87" s="2855"/>
      <c r="V87" s="2855"/>
      <c r="W87" s="2855"/>
      <c r="X87" s="2855"/>
      <c r="Y87" s="2855"/>
      <c r="Z87" s="2855"/>
      <c r="AA87" s="2855"/>
      <c r="AB87" s="2855"/>
      <c r="AC87" s="2855"/>
    </row>
    <row r="88" spans="1:29" s="112" customFormat="1" ht="15.75" thickTop="1">
      <c r="A88" s="535"/>
      <c r="B88" s="494" t="str">
        <f>B26</f>
        <v>平面位置/可视性</v>
      </c>
      <c r="C88" s="510"/>
      <c r="D88" s="510"/>
      <c r="E88" s="510"/>
      <c r="F88" s="2082"/>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2" customFormat="1" ht="15.75" thickBot="1">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75" thickTop="1">
      <c r="A90" s="509"/>
      <c r="B90" s="494" t="str">
        <f>B27</f>
        <v>人流量</v>
      </c>
      <c r="C90" s="510"/>
      <c r="D90" s="510"/>
      <c r="E90" s="510"/>
      <c r="F90" s="510"/>
      <c r="G90" s="510"/>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0"/>
      <c r="B92" s="494" t="str">
        <f>B28</f>
        <v>楼层</v>
      </c>
      <c r="C92" s="510"/>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75" thickBot="1">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75" thickTop="1">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75" thickBot="1">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75" thickTop="1">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75" thickBot="1">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75" thickTop="1">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75" thickBot="1">
      <c r="A99" s="2083"/>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c r="A100" s="483" t="s">
        <v>2324</v>
      </c>
      <c r="B100" s="484" t="s">
        <v>2442</v>
      </c>
      <c r="C100" s="486"/>
      <c r="D100" s="486"/>
      <c r="E100" s="486"/>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c r="A103" s="549"/>
      <c r="B103" s="550"/>
      <c r="C103" s="551"/>
      <c r="D103" s="551"/>
      <c r="E103" s="551"/>
      <c r="F103" s="551"/>
      <c r="G103" s="551"/>
      <c r="H103" s="551"/>
      <c r="I103" s="551"/>
      <c r="J103" s="552"/>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75" thickBot="1">
      <c r="A104" s="509"/>
      <c r="B104" s="499"/>
      <c r="C104" s="516"/>
      <c r="D104" s="492"/>
      <c r="E104" s="492"/>
      <c r="F104" s="492"/>
      <c r="G104" s="492"/>
      <c r="H104" s="492"/>
      <c r="I104" s="492"/>
      <c r="J104" s="492"/>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c r="A105" s="555"/>
      <c r="B105" s="494" t="s">
        <v>2375</v>
      </c>
      <c r="C105" s="510"/>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5"/>
      <c r="B107" s="494" t="s">
        <v>2377</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c r="A112" s="549"/>
      <c r="B112" s="494" t="s">
        <v>2379</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5"/>
      <c r="B114" s="494" t="s">
        <v>2443</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5"/>
      <c r="B116" s="494" t="s">
        <v>2444</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c r="A118" s="555"/>
      <c r="B118" s="494" t="s">
        <v>2445</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75" thickBot="1">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c r="A120" s="549"/>
      <c r="B120" s="494" t="s">
        <v>2446</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5"/>
      <c r="B122" s="494" t="s">
        <v>2381</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75" thickBot="1">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75" thickBot="1">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75" thickBot="1">
      <c r="A131" s="2083"/>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17109.73</v>
      </c>
      <c r="E3" s="2109"/>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5">
      <c r="A4" s="360" t="s">
        <v>2406</v>
      </c>
      <c r="B4" s="361"/>
      <c r="C4" s="3429" t="s">
        <v>2407</v>
      </c>
      <c r="D4" s="3430"/>
      <c r="E4" s="3431" t="s">
        <v>2408</v>
      </c>
      <c r="F4" s="3432"/>
      <c r="G4" s="3429" t="s">
        <v>2409</v>
      </c>
      <c r="H4" s="3430"/>
      <c r="I4" s="3429" t="s">
        <v>2410</v>
      </c>
      <c r="J4" s="3430"/>
      <c r="K4" s="566" t="s">
        <v>2411</v>
      </c>
      <c r="L4" s="2911"/>
      <c r="M4" s="2912"/>
      <c r="N4" s="2912"/>
      <c r="O4" s="2912"/>
      <c r="P4" s="3503" t="s">
        <v>2412</v>
      </c>
      <c r="Q4" s="3504"/>
      <c r="R4" s="3498" t="s">
        <v>2408</v>
      </c>
      <c r="S4" s="3499"/>
      <c r="T4" s="3498" t="s">
        <v>2409</v>
      </c>
      <c r="U4" s="3499"/>
      <c r="V4" s="3507" t="s">
        <v>2410</v>
      </c>
      <c r="W4" s="3507"/>
      <c r="X4" s="2113"/>
      <c r="Y4" s="3498" t="s">
        <v>2412</v>
      </c>
      <c r="Z4" s="3499"/>
      <c r="AA4" s="3497" t="s">
        <v>2408</v>
      </c>
      <c r="AB4" s="3497" t="s">
        <v>2409</v>
      </c>
      <c r="AC4" s="3500" t="s">
        <v>2410</v>
      </c>
    </row>
    <row r="5" spans="1:29" ht="15">
      <c r="A5" s="363"/>
      <c r="B5" s="364"/>
      <c r="C5" s="3450" t="s">
        <v>2303</v>
      </c>
      <c r="D5" s="3451"/>
      <c r="E5" s="3439" t="s">
        <v>2304</v>
      </c>
      <c r="F5" s="3440"/>
      <c r="G5" s="3450" t="s">
        <v>2305</v>
      </c>
      <c r="H5" s="3451"/>
      <c r="I5" s="3450" t="s">
        <v>2306</v>
      </c>
      <c r="J5" s="3451"/>
      <c r="K5" s="566"/>
      <c r="L5" s="2911"/>
      <c r="M5" s="2912"/>
      <c r="N5" s="2912"/>
      <c r="O5" s="2912"/>
      <c r="P5" s="3505"/>
      <c r="Q5" s="3436"/>
      <c r="R5" s="3448"/>
      <c r="S5" s="3449"/>
      <c r="T5" s="3448"/>
      <c r="U5" s="3449"/>
      <c r="V5" s="3421"/>
      <c r="W5" s="3421"/>
      <c r="X5" s="1508"/>
      <c r="Y5" s="3448"/>
      <c r="Z5" s="3449"/>
      <c r="AA5" s="3427"/>
      <c r="AB5" s="3427"/>
      <c r="AC5" s="3501"/>
    </row>
    <row r="6" spans="1:29" ht="15.75" thickBot="1">
      <c r="A6" s="365"/>
      <c r="B6" s="366"/>
      <c r="C6" s="3485" t="s">
        <v>2307</v>
      </c>
      <c r="D6" s="3486"/>
      <c r="E6" s="3487" t="s">
        <v>2307</v>
      </c>
      <c r="F6" s="3488"/>
      <c r="G6" s="3485" t="s">
        <v>2307</v>
      </c>
      <c r="H6" s="3486"/>
      <c r="I6" s="3485" t="s">
        <v>2307</v>
      </c>
      <c r="J6" s="3486"/>
      <c r="K6" s="566" t="s">
        <v>2308</v>
      </c>
      <c r="L6" s="2911"/>
      <c r="M6" s="2912"/>
      <c r="N6" s="2912"/>
      <c r="O6" s="2912"/>
      <c r="P6" s="3506"/>
      <c r="Q6" s="3438"/>
      <c r="R6" s="3448"/>
      <c r="S6" s="3449"/>
      <c r="T6" s="3457"/>
      <c r="U6" s="3458"/>
      <c r="V6" s="3421"/>
      <c r="W6" s="3421"/>
      <c r="X6" s="1508"/>
      <c r="Y6" s="3457"/>
      <c r="Z6" s="3458"/>
      <c r="AA6" s="3428"/>
      <c r="AB6" s="3428"/>
      <c r="AC6" s="3502"/>
    </row>
    <row r="7" spans="1:29" s="112" customFormat="1" ht="15.75" thickBot="1">
      <c r="A7" s="367" t="s">
        <v>2309</v>
      </c>
      <c r="B7" s="368"/>
      <c r="C7" s="369">
        <f>'数据-取费表'!B2</f>
        <v>44582</v>
      </c>
      <c r="D7" s="370">
        <v>100</v>
      </c>
      <c r="E7" s="371"/>
      <c r="F7" s="372">
        <f>SUMIF(59:59,YEAR(E7)&amp;"-"&amp;MONTH(E7),60:60)</f>
        <v>0</v>
      </c>
      <c r="G7" s="371"/>
      <c r="H7" s="370">
        <f>SUMIF(59:59,YEAR(G7)&amp;"-"&amp;MONTH(G7),60:60)</f>
        <v>0</v>
      </c>
      <c r="I7" s="371"/>
      <c r="J7" s="370">
        <f>SUMIF(59:59,YEAR(I7)&amp;"-"&amp;MONTH(I7),60:60)</f>
        <v>0</v>
      </c>
      <c r="K7" s="567"/>
      <c r="L7" s="2913"/>
      <c r="M7" s="2914"/>
      <c r="N7" s="2914"/>
      <c r="O7" s="2914"/>
      <c r="P7" s="3508" t="s">
        <v>2310</v>
      </c>
      <c r="Q7" s="3454"/>
      <c r="R7" s="709" t="s">
        <v>17</v>
      </c>
      <c r="S7" s="710">
        <f t="shared" ref="S7:S15" si="0">F7</f>
        <v>0</v>
      </c>
      <c r="T7" s="709" t="s">
        <v>17</v>
      </c>
      <c r="U7" s="710">
        <f t="shared" ref="U7:U15" si="1">H7</f>
        <v>0</v>
      </c>
      <c r="V7" s="709" t="s">
        <v>17</v>
      </c>
      <c r="W7" s="710">
        <f t="shared" ref="W7:W15" si="2">J7</f>
        <v>0</v>
      </c>
      <c r="X7" s="711"/>
      <c r="Y7" s="3441" t="s">
        <v>2310</v>
      </c>
      <c r="Z7" s="3442"/>
      <c r="AA7" s="712" t="e">
        <f>D7/F7</f>
        <v>#DIV/0!</v>
      </c>
      <c r="AB7" s="712" t="e">
        <f>D7/H7</f>
        <v>#DIV/0!</v>
      </c>
      <c r="AC7" s="2114" t="e">
        <f>D7/J7</f>
        <v>#DIV/0!</v>
      </c>
    </row>
    <row r="8" spans="1:29" s="112"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508" t="s">
        <v>2313</v>
      </c>
      <c r="Q8" s="3442"/>
      <c r="R8" s="709" t="s">
        <v>17</v>
      </c>
      <c r="S8" s="710">
        <f t="shared" si="0"/>
        <v>0</v>
      </c>
      <c r="T8" s="709" t="s">
        <v>17</v>
      </c>
      <c r="U8" s="710">
        <f t="shared" si="1"/>
        <v>0</v>
      </c>
      <c r="V8" s="709" t="s">
        <v>17</v>
      </c>
      <c r="W8" s="710">
        <f t="shared" si="2"/>
        <v>0</v>
      </c>
      <c r="X8" s="711"/>
      <c r="Y8" s="3441" t="s">
        <v>2313</v>
      </c>
      <c r="Z8" s="3442"/>
      <c r="AA8" s="712" t="e">
        <f t="shared" ref="AA8:AA47" si="3">D8/F8</f>
        <v>#DIV/0!</v>
      </c>
      <c r="AB8" s="712" t="e">
        <f t="shared" ref="AB8:AB47" si="4">D8/H8</f>
        <v>#DIV/0!</v>
      </c>
      <c r="AC8" s="2114" t="e">
        <f t="shared" ref="AC8:AC47" si="5">D8/J8</f>
        <v>#DIV/0!</v>
      </c>
    </row>
    <row r="9" spans="1:29" s="112" customFormat="1">
      <c r="A9" s="374" t="s">
        <v>2314</v>
      </c>
      <c r="B9" s="66" t="s">
        <v>2315</v>
      </c>
      <c r="C9" s="375"/>
      <c r="D9" s="130">
        <v>100</v>
      </c>
      <c r="E9" s="378"/>
      <c r="F9" s="130">
        <f>SUMIF(64:64,E9,65:65)-SUMIF(64:64,C9,65:65)+100</f>
        <v>100</v>
      </c>
      <c r="G9" s="376"/>
      <c r="H9" s="130">
        <f>SUMIF(64:64,G9,65:65)-SUMIF(64:64,C9,65:65)+100</f>
        <v>100</v>
      </c>
      <c r="I9" s="376"/>
      <c r="J9" s="130">
        <f>SUMIF(64:64,I9,65:65)-SUMIF(64:64,C9,65:65)+100</f>
        <v>100</v>
      </c>
      <c r="K9" s="567"/>
      <c r="L9" s="2913"/>
      <c r="M9" s="2914"/>
      <c r="N9" s="2914"/>
      <c r="O9" s="2914"/>
      <c r="P9" s="3444" t="s">
        <v>2316</v>
      </c>
      <c r="Q9" s="1496" t="str">
        <f t="shared" ref="Q9:Q15" si="6">B9</f>
        <v>用途</v>
      </c>
      <c r="R9" s="709" t="s">
        <v>17</v>
      </c>
      <c r="S9" s="710">
        <f t="shared" si="0"/>
        <v>100</v>
      </c>
      <c r="T9" s="709" t="s">
        <v>17</v>
      </c>
      <c r="U9" s="710">
        <f t="shared" si="1"/>
        <v>100</v>
      </c>
      <c r="V9" s="709" t="s">
        <v>17</v>
      </c>
      <c r="W9" s="710">
        <f t="shared" si="2"/>
        <v>100</v>
      </c>
      <c r="X9" s="711"/>
      <c r="Y9" s="3389" t="s">
        <v>2317</v>
      </c>
      <c r="Z9" s="54" t="str">
        <f t="shared" ref="Z9:Z15" si="7">Q9</f>
        <v>用途</v>
      </c>
      <c r="AA9" s="712">
        <f t="shared" si="3"/>
        <v>1</v>
      </c>
      <c r="AB9" s="712">
        <f t="shared" si="4"/>
        <v>1</v>
      </c>
      <c r="AC9" s="2114">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5"/>
      <c r="M10" s="2916"/>
      <c r="N10" s="2916"/>
      <c r="O10" s="2916"/>
      <c r="P10" s="3444"/>
      <c r="Q10" s="1496" t="str">
        <f t="shared" si="6"/>
        <v>土地使用年限（年）</v>
      </c>
      <c r="R10" s="709" t="s">
        <v>17</v>
      </c>
      <c r="S10" s="710">
        <f t="shared" si="0"/>
        <v>100</v>
      </c>
      <c r="T10" s="709" t="s">
        <v>17</v>
      </c>
      <c r="U10" s="710">
        <f t="shared" si="1"/>
        <v>100</v>
      </c>
      <c r="V10" s="709" t="s">
        <v>17</v>
      </c>
      <c r="W10" s="710">
        <f t="shared" si="2"/>
        <v>100</v>
      </c>
      <c r="X10" s="711"/>
      <c r="Y10" s="3389"/>
      <c r="Z10" s="54" t="str">
        <f t="shared" si="7"/>
        <v>土地使用年限（年）</v>
      </c>
      <c r="AA10" s="712">
        <f t="shared" si="3"/>
        <v>1</v>
      </c>
      <c r="AB10" s="712">
        <f t="shared" si="4"/>
        <v>1</v>
      </c>
      <c r="AC10" s="2114">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7"/>
      <c r="M11" s="2912"/>
      <c r="N11" s="2912"/>
      <c r="O11" s="2912"/>
      <c r="P11" s="3444"/>
      <c r="Q11" s="1496" t="str">
        <f t="shared" si="6"/>
        <v>容积率</v>
      </c>
      <c r="R11" s="709" t="s">
        <v>17</v>
      </c>
      <c r="S11" s="710" t="e">
        <f t="shared" si="0"/>
        <v>#N/A</v>
      </c>
      <c r="T11" s="709" t="s">
        <v>17</v>
      </c>
      <c r="U11" s="710" t="e">
        <f t="shared" si="1"/>
        <v>#N/A</v>
      </c>
      <c r="V11" s="709" t="s">
        <v>17</v>
      </c>
      <c r="W11" s="710" t="e">
        <f t="shared" si="2"/>
        <v>#N/A</v>
      </c>
      <c r="X11" s="711"/>
      <c r="Y11" s="3389"/>
      <c r="Z11" s="54" t="str">
        <f t="shared" si="7"/>
        <v>容积率</v>
      </c>
      <c r="AA11" s="712" t="e">
        <f t="shared" si="3"/>
        <v>#N/A</v>
      </c>
      <c r="AB11" s="712" t="e">
        <f t="shared" si="4"/>
        <v>#N/A</v>
      </c>
      <c r="AC11" s="2114" t="e">
        <f t="shared" si="5"/>
        <v>#N/A</v>
      </c>
    </row>
    <row r="12" spans="1:29" s="112" customFormat="1" ht="15">
      <c r="A12" s="389"/>
      <c r="B12" s="2048">
        <v>111</v>
      </c>
      <c r="C12" s="390"/>
      <c r="D12" s="391">
        <v>100</v>
      </c>
      <c r="E12" s="390"/>
      <c r="F12" s="131">
        <f>SUMIF(71:71,E12,72:72)-SUMIF(71:71,C12,72:72)+100</f>
        <v>100</v>
      </c>
      <c r="G12" s="2115"/>
      <c r="H12" s="131">
        <f>SUMIF(71:71,G12,72:72)-SUMIF(71:71,C12,72:72)+100</f>
        <v>100</v>
      </c>
      <c r="I12" s="390"/>
      <c r="J12" s="131">
        <f>SUMIF(71:71,I12,72:72)-SUMIF(71:71,C12,72:72)+100</f>
        <v>100</v>
      </c>
      <c r="K12" s="569"/>
      <c r="L12" s="2913"/>
      <c r="M12" s="2914"/>
      <c r="N12" s="2914"/>
      <c r="O12" s="2914"/>
      <c r="P12" s="3444"/>
      <c r="Q12" s="1496">
        <f t="shared" si="6"/>
        <v>111</v>
      </c>
      <c r="R12" s="709" t="s">
        <v>17</v>
      </c>
      <c r="S12" s="710">
        <f t="shared" si="0"/>
        <v>100</v>
      </c>
      <c r="T12" s="709" t="s">
        <v>17</v>
      </c>
      <c r="U12" s="710">
        <f t="shared" si="1"/>
        <v>100</v>
      </c>
      <c r="V12" s="709" t="s">
        <v>17</v>
      </c>
      <c r="W12" s="710">
        <f t="shared" si="2"/>
        <v>100</v>
      </c>
      <c r="X12" s="711"/>
      <c r="Y12" s="3389"/>
      <c r="Z12" s="54">
        <f t="shared" si="7"/>
        <v>111</v>
      </c>
      <c r="AA12" s="712">
        <f>D12/F12</f>
        <v>1</v>
      </c>
      <c r="AB12" s="712">
        <f>D12/H12</f>
        <v>1</v>
      </c>
      <c r="AC12" s="2114">
        <f>D12/J12</f>
        <v>1</v>
      </c>
    </row>
    <row r="13" spans="1:29" ht="15">
      <c r="A13" s="386"/>
      <c r="B13" s="2048">
        <v>111</v>
      </c>
      <c r="C13" s="392"/>
      <c r="D13" s="393">
        <v>100</v>
      </c>
      <c r="E13" s="390"/>
      <c r="F13" s="131">
        <f>SUMIF(73:73,E13,74:74)-SUMIF(73:73,C13,74:74)+100</f>
        <v>100</v>
      </c>
      <c r="G13" s="2115"/>
      <c r="H13" s="393">
        <f>SUMIF(73:73,G13,74:74)-SUMIF(73:73,C13,74:74)+100</f>
        <v>100</v>
      </c>
      <c r="I13" s="390"/>
      <c r="J13" s="393">
        <f>SUMIF(73:73,I13,74:74)-SUMIF(73:73,C13,74:74)+100</f>
        <v>100</v>
      </c>
      <c r="K13" s="569"/>
      <c r="L13" s="2918"/>
      <c r="M13" s="2912"/>
      <c r="N13" s="2912"/>
      <c r="O13" s="2912"/>
      <c r="P13" s="3444"/>
      <c r="Q13" s="1496">
        <f t="shared" si="6"/>
        <v>111</v>
      </c>
      <c r="R13" s="709" t="s">
        <v>17</v>
      </c>
      <c r="S13" s="710">
        <f t="shared" si="0"/>
        <v>100</v>
      </c>
      <c r="T13" s="709" t="s">
        <v>17</v>
      </c>
      <c r="U13" s="710">
        <f t="shared" si="1"/>
        <v>100</v>
      </c>
      <c r="V13" s="709" t="s">
        <v>17</v>
      </c>
      <c r="W13" s="710">
        <f t="shared" si="2"/>
        <v>100</v>
      </c>
      <c r="X13" s="711"/>
      <c r="Y13" s="3389"/>
      <c r="Z13" s="54">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18"/>
      <c r="M14" s="2912"/>
      <c r="N14" s="2912"/>
      <c r="O14" s="2912"/>
      <c r="P14" s="3444"/>
      <c r="Q14" s="1496">
        <f t="shared" si="6"/>
        <v>111</v>
      </c>
      <c r="R14" s="709" t="s">
        <v>17</v>
      </c>
      <c r="S14" s="710">
        <f t="shared" si="0"/>
        <v>100</v>
      </c>
      <c r="T14" s="709" t="s">
        <v>17</v>
      </c>
      <c r="U14" s="710">
        <f t="shared" si="1"/>
        <v>100</v>
      </c>
      <c r="V14" s="709" t="s">
        <v>17</v>
      </c>
      <c r="W14" s="710">
        <f t="shared" si="2"/>
        <v>100</v>
      </c>
      <c r="X14" s="711"/>
      <c r="Y14" s="3389"/>
      <c r="Z14" s="54">
        <f t="shared" si="7"/>
        <v>111</v>
      </c>
      <c r="AA14" s="712">
        <f t="shared" si="3"/>
        <v>1</v>
      </c>
      <c r="AB14" s="712">
        <f t="shared" si="4"/>
        <v>1</v>
      </c>
      <c r="AC14" s="2114">
        <f t="shared" si="5"/>
        <v>1</v>
      </c>
    </row>
    <row r="15" spans="1:29" ht="15">
      <c r="A15" s="398" t="s">
        <v>2320</v>
      </c>
      <c r="B15" s="584" t="s">
        <v>2448</v>
      </c>
      <c r="C15" s="2116">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495" t="s">
        <v>2321</v>
      </c>
      <c r="Q15" s="1505" t="str">
        <f t="shared" si="6"/>
        <v>办公集聚程度</v>
      </c>
      <c r="R15" s="713" t="s">
        <v>17</v>
      </c>
      <c r="S15" s="714">
        <f t="shared" si="0"/>
        <v>100</v>
      </c>
      <c r="T15" s="713" t="s">
        <v>17</v>
      </c>
      <c r="U15" s="714">
        <f t="shared" si="1"/>
        <v>100</v>
      </c>
      <c r="V15" s="713" t="s">
        <v>17</v>
      </c>
      <c r="W15" s="714">
        <f t="shared" si="2"/>
        <v>100</v>
      </c>
      <c r="X15" s="1508"/>
      <c r="Y15" s="3422"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18"/>
      <c r="M16" s="2912"/>
      <c r="N16" s="2912"/>
      <c r="O16" s="2912"/>
      <c r="P16" s="3496"/>
      <c r="Q16" s="1505"/>
      <c r="R16" s="713"/>
      <c r="S16" s="714"/>
      <c r="T16" s="713"/>
      <c r="U16" s="714"/>
      <c r="V16" s="713"/>
      <c r="W16" s="714"/>
      <c r="X16" s="1508"/>
      <c r="Y16" s="3423"/>
      <c r="Z16" s="1509"/>
      <c r="AA16" s="1506">
        <v>1</v>
      </c>
      <c r="AB16" s="1506">
        <v>1</v>
      </c>
      <c r="AC16" s="2117">
        <v>1</v>
      </c>
    </row>
    <row r="17" spans="1:29" ht="15">
      <c r="A17" s="386"/>
      <c r="B17" s="586" t="s">
        <v>1885</v>
      </c>
      <c r="C17" s="2118">
        <f>估价对象房地状况!C6</f>
        <v>0</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496"/>
      <c r="Q17" s="1505" t="str">
        <f>B17</f>
        <v>交通便捷度</v>
      </c>
      <c r="R17" s="713" t="s">
        <v>17</v>
      </c>
      <c r="S17" s="714">
        <f>F17</f>
        <v>100</v>
      </c>
      <c r="T17" s="713" t="s">
        <v>17</v>
      </c>
      <c r="U17" s="714">
        <f>H17</f>
        <v>100</v>
      </c>
      <c r="V17" s="713" t="s">
        <v>17</v>
      </c>
      <c r="W17" s="714">
        <f>J17</f>
        <v>100</v>
      </c>
      <c r="X17" s="1508"/>
      <c r="Y17" s="3423"/>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18"/>
      <c r="M18" s="2912"/>
      <c r="N18" s="2912"/>
      <c r="O18" s="2912"/>
      <c r="P18" s="3496"/>
      <c r="Q18" s="1505"/>
      <c r="R18" s="713"/>
      <c r="S18" s="714"/>
      <c r="T18" s="713"/>
      <c r="U18" s="714"/>
      <c r="V18" s="713"/>
      <c r="W18" s="714"/>
      <c r="X18" s="1508"/>
      <c r="Y18" s="3423"/>
      <c r="Z18" s="1509"/>
      <c r="AA18" s="1506">
        <v>1</v>
      </c>
      <c r="AB18" s="1506">
        <v>1</v>
      </c>
      <c r="AC18" s="2117">
        <v>1</v>
      </c>
    </row>
    <row r="19" spans="1:29" ht="15">
      <c r="A19" s="386"/>
      <c r="B19" s="586" t="s">
        <v>2449</v>
      </c>
      <c r="C19" s="2118">
        <f>估价对象房地状况!C7</f>
        <v>0</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496"/>
      <c r="Q19" s="1505" t="str">
        <f>B19</f>
        <v>公共配套设施</v>
      </c>
      <c r="R19" s="713" t="s">
        <v>17</v>
      </c>
      <c r="S19" s="714">
        <f>F19</f>
        <v>100</v>
      </c>
      <c r="T19" s="713" t="s">
        <v>17</v>
      </c>
      <c r="U19" s="714">
        <f>H19</f>
        <v>100</v>
      </c>
      <c r="V19" s="713" t="s">
        <v>17</v>
      </c>
      <c r="W19" s="714">
        <f>J19</f>
        <v>100</v>
      </c>
      <c r="X19" s="1508"/>
      <c r="Y19" s="3423"/>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18"/>
      <c r="M20" s="2912"/>
      <c r="N20" s="2912"/>
      <c r="O20" s="2912"/>
      <c r="P20" s="3496"/>
      <c r="Q20" s="1505"/>
      <c r="R20" s="713"/>
      <c r="S20" s="714"/>
      <c r="T20" s="713"/>
      <c r="U20" s="714"/>
      <c r="V20" s="713"/>
      <c r="W20" s="714"/>
      <c r="X20" s="1508"/>
      <c r="Y20" s="3423"/>
      <c r="Z20" s="1509"/>
      <c r="AA20" s="1506">
        <v>1</v>
      </c>
      <c r="AB20" s="1506">
        <v>1</v>
      </c>
      <c r="AC20" s="2117">
        <v>1</v>
      </c>
    </row>
    <row r="21" spans="1:29" ht="15">
      <c r="A21" s="386"/>
      <c r="B21" s="588" t="s">
        <v>2450</v>
      </c>
      <c r="C21" s="2118">
        <f>估价对象房地状况!C8</f>
        <v>0</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496"/>
      <c r="Q21" s="1505" t="str">
        <f>B21</f>
        <v>基础设施水平</v>
      </c>
      <c r="R21" s="713" t="s">
        <v>17</v>
      </c>
      <c r="S21" s="714">
        <f>F21</f>
        <v>100</v>
      </c>
      <c r="T21" s="713" t="s">
        <v>17</v>
      </c>
      <c r="U21" s="714">
        <f>H21</f>
        <v>100</v>
      </c>
      <c r="V21" s="713" t="s">
        <v>17</v>
      </c>
      <c r="W21" s="714">
        <f>J21</f>
        <v>100</v>
      </c>
      <c r="X21" s="1508"/>
      <c r="Y21" s="3423"/>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18"/>
      <c r="M22" s="2912"/>
      <c r="N22" s="2912"/>
      <c r="O22" s="2912"/>
      <c r="P22" s="3496"/>
      <c r="Q22" s="1505"/>
      <c r="R22" s="713"/>
      <c r="S22" s="714"/>
      <c r="T22" s="713"/>
      <c r="U22" s="714"/>
      <c r="V22" s="713"/>
      <c r="W22" s="714"/>
      <c r="X22" s="1508"/>
      <c r="Y22" s="3423"/>
      <c r="Z22" s="1509"/>
      <c r="AA22" s="1506">
        <v>1</v>
      </c>
      <c r="AB22" s="1506">
        <v>1</v>
      </c>
      <c r="AC22" s="2117">
        <v>1</v>
      </c>
    </row>
    <row r="23" spans="1:29" ht="15">
      <c r="A23" s="386"/>
      <c r="B23" s="586" t="s">
        <v>2451</v>
      </c>
      <c r="C23" s="2118">
        <f>估价对象房地状况!C9</f>
        <v>0</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496"/>
      <c r="Q23" s="1505" t="str">
        <f>B23</f>
        <v>环境质量</v>
      </c>
      <c r="R23" s="713" t="s">
        <v>17</v>
      </c>
      <c r="S23" s="714">
        <f>F23</f>
        <v>100</v>
      </c>
      <c r="T23" s="713" t="s">
        <v>17</v>
      </c>
      <c r="U23" s="714">
        <f>H23</f>
        <v>100</v>
      </c>
      <c r="V23" s="713" t="s">
        <v>17</v>
      </c>
      <c r="W23" s="714">
        <f>J23</f>
        <v>100</v>
      </c>
      <c r="X23" s="1508"/>
      <c r="Y23" s="3423"/>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18"/>
      <c r="M24" s="2912"/>
      <c r="N24" s="2912"/>
      <c r="O24" s="2912"/>
      <c r="P24" s="3496"/>
      <c r="Q24" s="1505"/>
      <c r="R24" s="713"/>
      <c r="S24" s="714"/>
      <c r="T24" s="713"/>
      <c r="U24" s="714"/>
      <c r="V24" s="713"/>
      <c r="W24" s="714"/>
      <c r="X24" s="1508"/>
      <c r="Y24" s="3423"/>
      <c r="Z24" s="1509"/>
      <c r="AA24" s="1506">
        <v>1</v>
      </c>
      <c r="AB24" s="1506">
        <v>1</v>
      </c>
      <c r="AC24" s="2117">
        <v>1</v>
      </c>
    </row>
    <row r="25" spans="1:29" ht="27">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18"/>
      <c r="M25" s="2912"/>
      <c r="N25" s="2912"/>
      <c r="O25" s="2912"/>
      <c r="P25" s="3496"/>
      <c r="Q25" s="1505" t="str">
        <f>B25</f>
        <v>毗邻道路的类型与等级</v>
      </c>
      <c r="R25" s="713" t="s">
        <v>17</v>
      </c>
      <c r="S25" s="714">
        <f>F25</f>
        <v>100</v>
      </c>
      <c r="T25" s="713" t="s">
        <v>17</v>
      </c>
      <c r="U25" s="714">
        <f>H25</f>
        <v>100</v>
      </c>
      <c r="V25" s="713" t="s">
        <v>17</v>
      </c>
      <c r="W25" s="714">
        <f>J25</f>
        <v>100</v>
      </c>
      <c r="X25" s="1508"/>
      <c r="Y25" s="3423"/>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18"/>
      <c r="M26" s="2912"/>
      <c r="N26" s="2912"/>
      <c r="O26" s="2912"/>
      <c r="P26" s="3496"/>
      <c r="Q26" s="1505"/>
      <c r="R26" s="713"/>
      <c r="S26" s="714"/>
      <c r="T26" s="713"/>
      <c r="U26" s="714"/>
      <c r="V26" s="713"/>
      <c r="W26" s="714"/>
      <c r="X26" s="1508"/>
      <c r="Y26" s="3423"/>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496"/>
      <c r="Q27" s="1505" t="str">
        <f t="shared" ref="Q27:Q47" si="11">B27</f>
        <v>楼层</v>
      </c>
      <c r="R27" s="713" t="s">
        <v>17</v>
      </c>
      <c r="S27" s="714">
        <f>F27</f>
        <v>100</v>
      </c>
      <c r="T27" s="713" t="s">
        <v>17</v>
      </c>
      <c r="U27" s="714">
        <f>H27</f>
        <v>100</v>
      </c>
      <c r="V27" s="713" t="s">
        <v>17</v>
      </c>
      <c r="W27" s="714">
        <f>J27</f>
        <v>100</v>
      </c>
      <c r="X27" s="1508"/>
      <c r="Y27" s="3423"/>
      <c r="Z27" s="1509" t="str">
        <f>Q27</f>
        <v>楼层</v>
      </c>
      <c r="AA27" s="1506">
        <f t="shared" si="3"/>
        <v>1</v>
      </c>
      <c r="AB27" s="1506">
        <f t="shared" si="4"/>
        <v>1</v>
      </c>
      <c r="AC27" s="2117">
        <f t="shared" si="5"/>
        <v>1</v>
      </c>
    </row>
    <row r="28" spans="1:29" s="112"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3"/>
      <c r="M28" s="2914"/>
      <c r="N28" s="2914"/>
      <c r="O28" s="2914"/>
      <c r="P28" s="3496"/>
      <c r="Q28" s="1496" t="str">
        <f t="shared" si="11"/>
        <v>朝向</v>
      </c>
      <c r="R28" s="709" t="s">
        <v>17</v>
      </c>
      <c r="S28" s="710">
        <f>F28</f>
        <v>100</v>
      </c>
      <c r="T28" s="709" t="s">
        <v>17</v>
      </c>
      <c r="U28" s="710">
        <f>H28</f>
        <v>100</v>
      </c>
      <c r="V28" s="709" t="s">
        <v>17</v>
      </c>
      <c r="W28" s="710">
        <f>J28</f>
        <v>100</v>
      </c>
      <c r="X28" s="711"/>
      <c r="Y28" s="3423"/>
      <c r="Z28" s="54"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18"/>
      <c r="M29" s="2912"/>
      <c r="N29" s="2912"/>
      <c r="O29" s="2912"/>
      <c r="P29" s="3496"/>
      <c r="Q29" s="1505">
        <f t="shared" si="11"/>
        <v>111</v>
      </c>
      <c r="R29" s="713" t="s">
        <v>17</v>
      </c>
      <c r="S29" s="714">
        <f t="shared" ref="S29:S47" si="12">F29</f>
        <v>100</v>
      </c>
      <c r="T29" s="713" t="s">
        <v>17</v>
      </c>
      <c r="U29" s="714">
        <f t="shared" ref="U29:U47" si="13">H29</f>
        <v>100</v>
      </c>
      <c r="V29" s="713" t="s">
        <v>17</v>
      </c>
      <c r="W29" s="714">
        <f t="shared" ref="W29:W47" si="14">J29</f>
        <v>100</v>
      </c>
      <c r="X29" s="1508"/>
      <c r="Y29" s="3423"/>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18"/>
      <c r="M30" s="2912"/>
      <c r="N30" s="2912"/>
      <c r="O30" s="2912"/>
      <c r="P30" s="3496"/>
      <c r="Q30" s="1505">
        <f t="shared" si="11"/>
        <v>111</v>
      </c>
      <c r="R30" s="713" t="s">
        <v>17</v>
      </c>
      <c r="S30" s="714">
        <f t="shared" si="12"/>
        <v>100</v>
      </c>
      <c r="T30" s="713" t="s">
        <v>17</v>
      </c>
      <c r="U30" s="714">
        <f t="shared" si="13"/>
        <v>100</v>
      </c>
      <c r="V30" s="713" t="s">
        <v>17</v>
      </c>
      <c r="W30" s="714">
        <f t="shared" si="14"/>
        <v>100</v>
      </c>
      <c r="X30" s="1508"/>
      <c r="Y30" s="3423"/>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18"/>
      <c r="M31" s="2912"/>
      <c r="N31" s="2912"/>
      <c r="O31" s="2912"/>
      <c r="P31" s="3496"/>
      <c r="Q31" s="1505">
        <f t="shared" si="11"/>
        <v>111</v>
      </c>
      <c r="R31" s="713" t="s">
        <v>17</v>
      </c>
      <c r="S31" s="714">
        <f t="shared" si="12"/>
        <v>100</v>
      </c>
      <c r="T31" s="713" t="s">
        <v>17</v>
      </c>
      <c r="U31" s="714">
        <f t="shared" si="13"/>
        <v>100</v>
      </c>
      <c r="V31" s="713" t="s">
        <v>17</v>
      </c>
      <c r="W31" s="714">
        <f t="shared" si="14"/>
        <v>100</v>
      </c>
      <c r="X31" s="1508"/>
      <c r="Y31" s="3423"/>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18"/>
      <c r="M32" s="2912"/>
      <c r="N32" s="2912"/>
      <c r="O32" s="2912"/>
      <c r="P32" s="3496"/>
      <c r="Q32" s="1505">
        <f t="shared" si="11"/>
        <v>111</v>
      </c>
      <c r="R32" s="713" t="s">
        <v>17</v>
      </c>
      <c r="S32" s="714">
        <f t="shared" si="12"/>
        <v>100</v>
      </c>
      <c r="T32" s="713" t="s">
        <v>17</v>
      </c>
      <c r="U32" s="714">
        <f t="shared" si="13"/>
        <v>100</v>
      </c>
      <c r="V32" s="713" t="s">
        <v>17</v>
      </c>
      <c r="W32" s="714">
        <f t="shared" si="14"/>
        <v>100</v>
      </c>
      <c r="X32" s="1508"/>
      <c r="Y32" s="3423"/>
      <c r="Z32" s="1509">
        <f t="shared" si="15"/>
        <v>111</v>
      </c>
      <c r="AA32" s="1506">
        <f t="shared" si="3"/>
        <v>1</v>
      </c>
      <c r="AB32" s="1506">
        <f t="shared" si="4"/>
        <v>1</v>
      </c>
      <c r="AC32" s="2117">
        <f t="shared" si="5"/>
        <v>1</v>
      </c>
    </row>
    <row r="33" spans="1:29" ht="15">
      <c r="A33" s="398" t="s">
        <v>2324</v>
      </c>
      <c r="B33" s="66"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18"/>
      <c r="M33" s="2912"/>
      <c r="N33" s="2912"/>
      <c r="O33" s="2912"/>
      <c r="P33" s="3491" t="s">
        <v>2326</v>
      </c>
      <c r="Q33" s="1505" t="str">
        <f t="shared" si="11"/>
        <v>建筑类型</v>
      </c>
      <c r="R33" s="713" t="s">
        <v>17</v>
      </c>
      <c r="S33" s="714">
        <f t="shared" si="12"/>
        <v>100</v>
      </c>
      <c r="T33" s="713" t="s">
        <v>17</v>
      </c>
      <c r="U33" s="714">
        <f t="shared" si="13"/>
        <v>100</v>
      </c>
      <c r="V33" s="713" t="s">
        <v>17</v>
      </c>
      <c r="W33" s="714">
        <f t="shared" si="14"/>
        <v>100</v>
      </c>
      <c r="X33" s="1508"/>
      <c r="Y33" s="3425" t="s">
        <v>2326</v>
      </c>
      <c r="Z33" s="1509" t="str">
        <f t="shared" si="15"/>
        <v>建筑类型</v>
      </c>
      <c r="AA33" s="1506">
        <f t="shared" si="3"/>
        <v>1</v>
      </c>
      <c r="AB33" s="1506">
        <f t="shared" si="4"/>
        <v>1</v>
      </c>
      <c r="AC33" s="2117">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7"/>
      <c r="M34" s="2919"/>
      <c r="N34" s="2919"/>
      <c r="O34" s="2919"/>
      <c r="P34" s="3492"/>
      <c r="Q34" s="715" t="str">
        <f t="shared" si="11"/>
        <v>项目建筑规模</v>
      </c>
      <c r="R34" s="716" t="s">
        <v>17</v>
      </c>
      <c r="S34" s="717" t="e">
        <f t="shared" si="12"/>
        <v>#N/A</v>
      </c>
      <c r="T34" s="716" t="s">
        <v>17</v>
      </c>
      <c r="U34" s="717" t="e">
        <f t="shared" si="13"/>
        <v>#N/A</v>
      </c>
      <c r="V34" s="716" t="s">
        <v>17</v>
      </c>
      <c r="W34" s="717" t="e">
        <f t="shared" si="14"/>
        <v>#N/A</v>
      </c>
      <c r="X34" s="718"/>
      <c r="Y34" s="3425"/>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492"/>
      <c r="Q35" s="1505" t="str">
        <f t="shared" si="11"/>
        <v>建筑结构</v>
      </c>
      <c r="R35" s="713" t="s">
        <v>17</v>
      </c>
      <c r="S35" s="714">
        <f t="shared" si="12"/>
        <v>100</v>
      </c>
      <c r="T35" s="713" t="s">
        <v>17</v>
      </c>
      <c r="U35" s="714">
        <f t="shared" si="13"/>
        <v>100</v>
      </c>
      <c r="V35" s="713" t="s">
        <v>17</v>
      </c>
      <c r="W35" s="714">
        <f t="shared" si="14"/>
        <v>100</v>
      </c>
      <c r="X35" s="1508"/>
      <c r="Y35" s="3425"/>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492"/>
      <c r="Q36" s="1505" t="str">
        <f t="shared" si="11"/>
        <v>公共部分装修</v>
      </c>
      <c r="R36" s="713" t="s">
        <v>17</v>
      </c>
      <c r="S36" s="714">
        <f t="shared" si="12"/>
        <v>100</v>
      </c>
      <c r="T36" s="713" t="s">
        <v>17</v>
      </c>
      <c r="U36" s="714">
        <f t="shared" si="13"/>
        <v>100</v>
      </c>
      <c r="V36" s="713" t="s">
        <v>17</v>
      </c>
      <c r="W36" s="714">
        <f t="shared" si="14"/>
        <v>100</v>
      </c>
      <c r="X36" s="1508"/>
      <c r="Y36" s="3425"/>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492"/>
      <c r="Q37" s="1505" t="str">
        <f t="shared" si="11"/>
        <v>成新度</v>
      </c>
      <c r="R37" s="713" t="s">
        <v>17</v>
      </c>
      <c r="S37" s="714" t="e">
        <f t="shared" si="12"/>
        <v>#N/A</v>
      </c>
      <c r="T37" s="713" t="s">
        <v>17</v>
      </c>
      <c r="U37" s="714" t="e">
        <f t="shared" si="13"/>
        <v>#N/A</v>
      </c>
      <c r="V37" s="713" t="s">
        <v>17</v>
      </c>
      <c r="W37" s="714" t="e">
        <f t="shared" si="14"/>
        <v>#N/A</v>
      </c>
      <c r="X37" s="1508"/>
      <c r="Y37" s="3425"/>
      <c r="Z37" s="1509" t="str">
        <f t="shared" si="15"/>
        <v>成新度</v>
      </c>
      <c r="AA37" s="1506" t="e">
        <f t="shared" si="3"/>
        <v>#N/A</v>
      </c>
      <c r="AB37" s="1506" t="e">
        <f t="shared" si="4"/>
        <v>#N/A</v>
      </c>
      <c r="AC37" s="2117" t="e">
        <f t="shared" si="5"/>
        <v>#N/A</v>
      </c>
    </row>
    <row r="38" spans="1:29" s="112"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492"/>
      <c r="Q38" s="1496" t="str">
        <f t="shared" si="11"/>
        <v>写字楼等级</v>
      </c>
      <c r="R38" s="709" t="s">
        <v>17</v>
      </c>
      <c r="S38" s="710">
        <f t="shared" si="12"/>
        <v>100</v>
      </c>
      <c r="T38" s="709" t="s">
        <v>17</v>
      </c>
      <c r="U38" s="710">
        <f t="shared" si="13"/>
        <v>100</v>
      </c>
      <c r="V38" s="709" t="s">
        <v>17</v>
      </c>
      <c r="W38" s="710">
        <f t="shared" si="14"/>
        <v>100</v>
      </c>
      <c r="X38" s="711"/>
      <c r="Y38" s="3425"/>
      <c r="Z38" s="54"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492" t="s">
        <v>2326</v>
      </c>
      <c r="Q39" s="1505" t="str">
        <f t="shared" si="11"/>
        <v>物业管理</v>
      </c>
      <c r="R39" s="713" t="s">
        <v>17</v>
      </c>
      <c r="S39" s="714">
        <f t="shared" si="12"/>
        <v>100</v>
      </c>
      <c r="T39" s="713" t="s">
        <v>17</v>
      </c>
      <c r="U39" s="714">
        <f t="shared" si="13"/>
        <v>100</v>
      </c>
      <c r="V39" s="713" t="s">
        <v>17</v>
      </c>
      <c r="W39" s="714">
        <f t="shared" si="14"/>
        <v>100</v>
      </c>
      <c r="X39" s="1508"/>
      <c r="Y39" s="3425"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492"/>
      <c r="Q40" s="1505" t="str">
        <f t="shared" si="11"/>
        <v>市政基础设施</v>
      </c>
      <c r="R40" s="713" t="s">
        <v>17</v>
      </c>
      <c r="S40" s="714">
        <f t="shared" si="12"/>
        <v>100</v>
      </c>
      <c r="T40" s="713" t="s">
        <v>17</v>
      </c>
      <c r="U40" s="714">
        <f t="shared" si="13"/>
        <v>100</v>
      </c>
      <c r="V40" s="713" t="s">
        <v>17</v>
      </c>
      <c r="W40" s="714">
        <f t="shared" si="14"/>
        <v>100</v>
      </c>
      <c r="X40" s="1508"/>
      <c r="Y40" s="3425"/>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492"/>
      <c r="Q41" s="1505" t="str">
        <f t="shared" si="11"/>
        <v>层高</v>
      </c>
      <c r="R41" s="713" t="s">
        <v>17</v>
      </c>
      <c r="S41" s="714">
        <f t="shared" si="12"/>
        <v>100</v>
      </c>
      <c r="T41" s="713" t="s">
        <v>17</v>
      </c>
      <c r="U41" s="714">
        <f t="shared" si="13"/>
        <v>100</v>
      </c>
      <c r="V41" s="713" t="s">
        <v>17</v>
      </c>
      <c r="W41" s="714">
        <f t="shared" si="14"/>
        <v>100</v>
      </c>
      <c r="X41" s="1508"/>
      <c r="Y41" s="3425"/>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492"/>
      <c r="Q42" s="715" t="str">
        <f t="shared" si="11"/>
        <v>单套建筑面积</v>
      </c>
      <c r="R42" s="716" t="s">
        <v>17</v>
      </c>
      <c r="S42" s="717">
        <f t="shared" si="12"/>
        <v>100</v>
      </c>
      <c r="T42" s="716" t="s">
        <v>17</v>
      </c>
      <c r="U42" s="717">
        <f t="shared" si="13"/>
        <v>100</v>
      </c>
      <c r="V42" s="716" t="s">
        <v>17</v>
      </c>
      <c r="W42" s="717">
        <f t="shared" si="14"/>
        <v>100</v>
      </c>
      <c r="X42" s="718"/>
      <c r="Y42" s="3425"/>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492"/>
      <c r="Q43" s="1505" t="str">
        <f t="shared" si="11"/>
        <v>内部装修</v>
      </c>
      <c r="R43" s="713" t="s">
        <v>17</v>
      </c>
      <c r="S43" s="714">
        <f t="shared" si="12"/>
        <v>100</v>
      </c>
      <c r="T43" s="713" t="s">
        <v>17</v>
      </c>
      <c r="U43" s="714">
        <f t="shared" si="13"/>
        <v>100</v>
      </c>
      <c r="V43" s="713" t="s">
        <v>17</v>
      </c>
      <c r="W43" s="714">
        <f t="shared" si="14"/>
        <v>100</v>
      </c>
      <c r="X43" s="1508"/>
      <c r="Y43" s="3425"/>
      <c r="Z43" s="1509" t="str">
        <f t="shared" si="15"/>
        <v>内部装修</v>
      </c>
      <c r="AA43" s="1506">
        <f t="shared" si="3"/>
        <v>1</v>
      </c>
      <c r="AB43" s="1506">
        <f t="shared" si="4"/>
        <v>1</v>
      </c>
      <c r="AC43" s="2117">
        <f t="shared" si="5"/>
        <v>1</v>
      </c>
    </row>
    <row r="44" spans="1:29" ht="15">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18"/>
      <c r="M44" s="2912"/>
      <c r="N44" s="2912"/>
      <c r="O44" s="2912"/>
      <c r="P44" s="3492"/>
      <c r="Q44" s="1505" t="str">
        <f t="shared" si="11"/>
        <v>内部装修维护情况</v>
      </c>
      <c r="R44" s="713" t="s">
        <v>17</v>
      </c>
      <c r="S44" s="714">
        <f t="shared" si="12"/>
        <v>100</v>
      </c>
      <c r="T44" s="713" t="s">
        <v>17</v>
      </c>
      <c r="U44" s="714">
        <f t="shared" si="13"/>
        <v>100</v>
      </c>
      <c r="V44" s="713" t="s">
        <v>17</v>
      </c>
      <c r="W44" s="714">
        <f t="shared" si="14"/>
        <v>100</v>
      </c>
      <c r="X44" s="1508"/>
      <c r="Y44" s="3425"/>
      <c r="Z44" s="1509" t="str">
        <f t="shared" si="15"/>
        <v>内部装修维护情况</v>
      </c>
      <c r="AA44" s="1506">
        <f t="shared" si="3"/>
        <v>1</v>
      </c>
      <c r="AB44" s="1506">
        <f t="shared" si="4"/>
        <v>1</v>
      </c>
      <c r="AC44" s="2117">
        <f t="shared" si="5"/>
        <v>1</v>
      </c>
    </row>
    <row r="45" spans="1:29" s="112"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3"/>
      <c r="M45" s="2914"/>
      <c r="N45" s="2914"/>
      <c r="O45" s="2914"/>
      <c r="P45" s="3492"/>
      <c r="Q45" s="1496">
        <f t="shared" si="11"/>
        <v>111</v>
      </c>
      <c r="R45" s="709" t="s">
        <v>17</v>
      </c>
      <c r="S45" s="710">
        <f t="shared" si="12"/>
        <v>100</v>
      </c>
      <c r="T45" s="709" t="s">
        <v>17</v>
      </c>
      <c r="U45" s="710">
        <f t="shared" si="13"/>
        <v>100</v>
      </c>
      <c r="V45" s="709" t="s">
        <v>17</v>
      </c>
      <c r="W45" s="710">
        <f t="shared" si="14"/>
        <v>100</v>
      </c>
      <c r="X45" s="711"/>
      <c r="Y45" s="3425"/>
      <c r="Z45" s="54">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492"/>
      <c r="Q46" s="1505">
        <f t="shared" si="11"/>
        <v>111</v>
      </c>
      <c r="R46" s="713" t="s">
        <v>17</v>
      </c>
      <c r="S46" s="714">
        <f t="shared" si="12"/>
        <v>100</v>
      </c>
      <c r="T46" s="713" t="s">
        <v>17</v>
      </c>
      <c r="U46" s="714">
        <f t="shared" si="13"/>
        <v>100</v>
      </c>
      <c r="V46" s="713" t="s">
        <v>17</v>
      </c>
      <c r="W46" s="714">
        <f t="shared" si="14"/>
        <v>100</v>
      </c>
      <c r="X46" s="1508"/>
      <c r="Y46" s="3425"/>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493"/>
      <c r="Q47" s="1505">
        <f t="shared" si="11"/>
        <v>111</v>
      </c>
      <c r="R47" s="713" t="s">
        <v>17</v>
      </c>
      <c r="S47" s="714">
        <f t="shared" si="12"/>
        <v>100</v>
      </c>
      <c r="T47" s="713" t="s">
        <v>17</v>
      </c>
      <c r="U47" s="714">
        <f t="shared" si="13"/>
        <v>100</v>
      </c>
      <c r="V47" s="713" t="s">
        <v>17</v>
      </c>
      <c r="W47" s="714">
        <f t="shared" si="14"/>
        <v>100</v>
      </c>
      <c r="X47" s="1508"/>
      <c r="Y47" s="3494"/>
      <c r="Z47" s="1509">
        <f t="shared" si="15"/>
        <v>111</v>
      </c>
      <c r="AA47" s="1506">
        <f t="shared" si="3"/>
        <v>1</v>
      </c>
      <c r="AB47" s="1506">
        <f t="shared" si="4"/>
        <v>1</v>
      </c>
      <c r="AC47" s="2117">
        <f t="shared" si="5"/>
        <v>1</v>
      </c>
    </row>
    <row r="48" spans="1:29" ht="15">
      <c r="A48" s="437" t="s">
        <v>2338</v>
      </c>
      <c r="B48" s="438"/>
      <c r="C48" s="1287" t="s">
        <v>1</v>
      </c>
      <c r="D48" s="1288"/>
      <c r="E48" s="1289"/>
      <c r="F48" s="1290"/>
      <c r="G48" s="1291"/>
      <c r="H48" s="1292"/>
      <c r="I48" s="1289"/>
      <c r="J48" s="443"/>
      <c r="K48" s="722"/>
      <c r="L48" s="2920"/>
      <c r="M48" s="2912"/>
      <c r="N48" s="2912"/>
      <c r="O48" s="2912"/>
      <c r="P48" s="3444" t="str">
        <f>A48</f>
        <v>成交单价（元/平方米）</v>
      </c>
      <c r="Q48" s="3419"/>
      <c r="R48" s="3490">
        <f>E48</f>
        <v>0</v>
      </c>
      <c r="S48" s="3490"/>
      <c r="T48" s="3490">
        <f>G48</f>
        <v>0</v>
      </c>
      <c r="U48" s="3490"/>
      <c r="V48" s="3490">
        <f>I48</f>
        <v>0</v>
      </c>
      <c r="W48" s="3490"/>
      <c r="X48" s="404"/>
      <c r="Y48" s="720"/>
      <c r="Z48" s="404"/>
      <c r="AA48" s="404"/>
      <c r="AB48" s="404"/>
      <c r="AC48" s="585"/>
    </row>
    <row r="49" spans="1:29" ht="15.75" thickBot="1">
      <c r="A49" s="444" t="s">
        <v>2430</v>
      </c>
      <c r="B49" s="445"/>
      <c r="C49" s="1293" t="e">
        <f>R50</f>
        <v>#DIV/0!</v>
      </c>
      <c r="D49" s="2507" t="s">
        <v>2818</v>
      </c>
      <c r="E49" s="1294" t="e">
        <f>R49</f>
        <v>#DIV/0!</v>
      </c>
      <c r="F49" s="2508"/>
      <c r="G49" s="1293" t="e">
        <f>T49</f>
        <v>#DIV/0!</v>
      </c>
      <c r="H49" s="2508"/>
      <c r="I49" s="1294" t="e">
        <f>V49</f>
        <v>#DIV/0!</v>
      </c>
      <c r="J49" s="2508"/>
      <c r="K49" s="2510">
        <f>F49+H49+J49</f>
        <v>0</v>
      </c>
      <c r="L49" s="2920"/>
      <c r="M49" s="2912"/>
      <c r="N49" s="2912"/>
      <c r="O49" s="2912"/>
      <c r="P49" s="3444" t="str">
        <f>A49</f>
        <v>比较价值（元/平方米）</v>
      </c>
      <c r="Q49" s="341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0"/>
      <c r="M50" s="2912"/>
      <c r="N50" s="2912"/>
      <c r="O50" s="2912"/>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2101"/>
      <c r="Y50" s="2101"/>
      <c r="Z50" s="2101"/>
      <c r="AA50" s="2101"/>
      <c r="AB50" s="2101"/>
      <c r="AC50" s="2102"/>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c r="A55" s="2924"/>
      <c r="B55" s="2924"/>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2" t="s">
        <v>2435</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ht="15">
      <c r="A59" s="461" t="s">
        <v>2309</v>
      </c>
      <c r="B59" s="462"/>
      <c r="C59" s="1317" t="str">
        <f>YEAR(C7)&amp;"-"&amp;MONTH(C7)</f>
        <v>2022-1</v>
      </c>
      <c r="D59" s="1318">
        <f>EDATE(C59,-1)</f>
        <v>44531</v>
      </c>
      <c r="E59" s="1318">
        <f>EDATE(D59,-1)</f>
        <v>44501</v>
      </c>
      <c r="F59" s="1318">
        <f t="shared" ref="F59:O59" si="16">EDATE(E59,-1)</f>
        <v>44470</v>
      </c>
      <c r="G59" s="1318">
        <f t="shared" si="16"/>
        <v>44440</v>
      </c>
      <c r="H59" s="1318">
        <f t="shared" si="16"/>
        <v>44409</v>
      </c>
      <c r="I59" s="1318">
        <f t="shared" si="16"/>
        <v>44378</v>
      </c>
      <c r="J59" s="1318">
        <f t="shared" si="16"/>
        <v>44348</v>
      </c>
      <c r="K59" s="1318">
        <f t="shared" si="16"/>
        <v>44317</v>
      </c>
      <c r="L59" s="1318">
        <f t="shared" si="16"/>
        <v>44287</v>
      </c>
      <c r="M59" s="1318">
        <f t="shared" si="16"/>
        <v>44256</v>
      </c>
      <c r="N59" s="1318">
        <f t="shared" si="16"/>
        <v>44228</v>
      </c>
      <c r="O59" s="1318">
        <f t="shared" si="16"/>
        <v>44197</v>
      </c>
      <c r="P59" s="2955"/>
      <c r="Q59" s="2937"/>
      <c r="R59" s="2937"/>
      <c r="S59" s="2937"/>
      <c r="T59" s="2937"/>
      <c r="U59" s="2937"/>
      <c r="V59" s="2937"/>
      <c r="W59" s="2937"/>
      <c r="X59" s="2937"/>
      <c r="Y59" s="2937"/>
      <c r="Z59" s="2937"/>
      <c r="AA59" s="2937"/>
      <c r="AB59" s="2937"/>
      <c r="AC59" s="2937"/>
    </row>
    <row r="60" spans="1:29" s="112" customFormat="1" ht="15">
      <c r="A60" s="465"/>
      <c r="B60" s="466"/>
      <c r="C60" s="1316">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2" customFormat="1" ht="15.75" thickBot="1">
      <c r="A61" s="471" t="s">
        <v>2346</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2" customFormat="1" ht="15">
      <c r="A62" s="477" t="s">
        <v>2311</v>
      </c>
      <c r="B62" s="466"/>
      <c r="C62" s="478" t="s">
        <v>2413</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2" customFormat="1" ht="15.75" thickBot="1">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c r="A64" s="483" t="s">
        <v>2349</v>
      </c>
      <c r="B64" s="484" t="s">
        <v>2315</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5.75" thickBot="1">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5.75" thickTop="1">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5.75" thickBot="1">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5.75" thickTop="1">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5.75" thickBot="1">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5.75" thickTop="1">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5.75" thickBot="1">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c r="A77" s="483" t="s">
        <v>2320</v>
      </c>
      <c r="B77" s="484" t="s">
        <v>2458</v>
      </c>
      <c r="C77" s="529" t="s">
        <v>2358</v>
      </c>
      <c r="D77" s="529" t="s">
        <v>2359</v>
      </c>
      <c r="E77" s="529" t="s">
        <v>2360</v>
      </c>
      <c r="F77" s="529" t="s">
        <v>2361</v>
      </c>
      <c r="G77" s="529" t="s">
        <v>2362</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75" thickTop="1">
      <c r="A79" s="490"/>
      <c r="B79" s="494" t="s">
        <v>2363</v>
      </c>
      <c r="C79" s="534" t="s">
        <v>2358</v>
      </c>
      <c r="D79" s="534" t="s">
        <v>2359</v>
      </c>
      <c r="E79" s="534" t="s">
        <v>2360</v>
      </c>
      <c r="F79" s="534" t="s">
        <v>2361</v>
      </c>
      <c r="G79" s="534" t="s">
        <v>2362</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75" thickTop="1">
      <c r="A81" s="490"/>
      <c r="B81" s="494" t="s">
        <v>2364</v>
      </c>
      <c r="C81" s="534" t="s">
        <v>2358</v>
      </c>
      <c r="D81" s="534" t="s">
        <v>2359</v>
      </c>
      <c r="E81" s="534" t="s">
        <v>2360</v>
      </c>
      <c r="F81" s="534" t="s">
        <v>2361</v>
      </c>
      <c r="G81" s="534" t="s">
        <v>2362</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75" thickTop="1">
      <c r="A83" s="490"/>
      <c r="B83" s="502" t="s">
        <v>2450</v>
      </c>
      <c r="C83" s="615" t="s">
        <v>2436</v>
      </c>
      <c r="D83" s="615" t="s">
        <v>2437</v>
      </c>
      <c r="E83" s="615" t="s">
        <v>2438</v>
      </c>
      <c r="F83" s="615" t="s">
        <v>2439</v>
      </c>
      <c r="G83" s="615" t="s">
        <v>2440</v>
      </c>
      <c r="H83" s="495"/>
      <c r="I83" s="495"/>
      <c r="J83" s="495"/>
      <c r="K83" s="495"/>
      <c r="L83" s="495"/>
      <c r="M83" s="1262"/>
      <c r="N83" s="2950"/>
      <c r="O83" s="2950"/>
      <c r="P83" s="2958"/>
      <c r="Q83" s="2935"/>
      <c r="R83" s="2921"/>
      <c r="S83" s="2921"/>
      <c r="T83" s="2921"/>
      <c r="U83" s="2921"/>
      <c r="V83" s="2921"/>
      <c r="W83" s="2921"/>
      <c r="X83" s="2921"/>
      <c r="Y83" s="2921"/>
      <c r="Z83" s="2921"/>
      <c r="AA83" s="2921"/>
      <c r="AB83" s="2921"/>
      <c r="AC83" s="292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75" thickTop="1">
      <c r="A85" s="490"/>
      <c r="B85" s="494" t="s">
        <v>2459</v>
      </c>
      <c r="C85" s="534" t="s">
        <v>2358</v>
      </c>
      <c r="D85" s="534" t="s">
        <v>2359</v>
      </c>
      <c r="E85" s="534" t="s">
        <v>2360</v>
      </c>
      <c r="F85" s="534" t="s">
        <v>2361</v>
      </c>
      <c r="G85" s="534" t="s">
        <v>2362</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2" customFormat="1" ht="27.75" thickTop="1">
      <c r="A87" s="535"/>
      <c r="B87" s="494" t="s">
        <v>2460</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2" customFormat="1" ht="15.75" thickTop="1">
      <c r="A89" s="535"/>
      <c r="B89" s="494" t="str">
        <f>B27</f>
        <v>楼层</v>
      </c>
      <c r="C89" s="510"/>
      <c r="D89" s="510"/>
      <c r="E89" s="510"/>
      <c r="F89" s="2082"/>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5.75" thickTop="1">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5.75" thickTop="1">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5.75" thickTop="1">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5.75" thickBot="1">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5.75" thickTop="1">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5.75" thickBot="1">
      <c r="A100" s="2083"/>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c r="A101" s="483" t="s">
        <v>2324</v>
      </c>
      <c r="B101" s="484" t="s">
        <v>2373</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5.75" thickBot="1">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c r="A106" s="555"/>
      <c r="B106" s="494" t="s">
        <v>2375</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5"/>
      <c r="B108" s="494" t="s">
        <v>2377</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c r="A113" s="549"/>
      <c r="B113" s="494" t="s">
        <v>2461</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5"/>
      <c r="B115" s="494" t="s">
        <v>2378</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5"/>
      <c r="B117" s="494" t="s">
        <v>2379</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c r="A119" s="555"/>
      <c r="B119" s="591" t="s">
        <v>2462</v>
      </c>
      <c r="C119" s="539"/>
      <c r="D119" s="539"/>
      <c r="E119" s="539"/>
      <c r="F119" s="539"/>
      <c r="G119" s="539"/>
      <c r="H119" s="539"/>
      <c r="I119" s="539"/>
      <c r="J119" s="539"/>
      <c r="K119" s="539"/>
      <c r="L119" s="2123"/>
      <c r="M119" s="2124"/>
      <c r="N119" s="2950"/>
      <c r="O119" s="2950"/>
      <c r="P119" s="2963"/>
      <c r="Q119" s="2964"/>
      <c r="R119" s="2921"/>
      <c r="S119" s="2921"/>
      <c r="T119" s="2921"/>
      <c r="U119" s="2921"/>
      <c r="V119" s="2921"/>
      <c r="W119" s="2921"/>
      <c r="X119" s="2921"/>
      <c r="Y119" s="2921"/>
      <c r="Z119" s="2921"/>
      <c r="AA119" s="2921"/>
      <c r="AB119" s="2921"/>
      <c r="AC119" s="292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c r="A121" s="549"/>
      <c r="B121" s="494" t="s">
        <v>2445</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5.75" thickBot="1">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c r="A123" s="555"/>
      <c r="B123" s="494" t="s">
        <v>2381</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5" thickTop="1">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5.75" thickBot="1">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5" thickTop="1">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5.75" thickBot="1">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5" thickTop="1">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5.75" thickBot="1">
      <c r="A132" s="2083"/>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估价对象为北京市房地产，为所有。根据，估价对象（分摊）出让国有建设用地使用权面积为0平方米。根据，估价对象建筑面积为17109.73平方米。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估价对象为北京市房地产,属开发建设的工业项目，该项目尚在开发建设中。根据，估价对象（分摊）出让国有建设用地使用权面积为0平方米。根据，估价对象规划建筑面积为17109.73平方米。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2022年1月21日（评估专业人员实地查勘之日）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21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17109.73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429" t="s">
        <v>2407</v>
      </c>
      <c r="D4" s="3430"/>
      <c r="E4" s="3431" t="s">
        <v>2408</v>
      </c>
      <c r="F4" s="3432"/>
      <c r="G4" s="3429" t="s">
        <v>2409</v>
      </c>
      <c r="H4" s="3430"/>
      <c r="I4" s="3429" t="s">
        <v>2410</v>
      </c>
      <c r="J4" s="3430"/>
      <c r="K4" s="566" t="s">
        <v>2411</v>
      </c>
      <c r="L4" s="1043"/>
      <c r="M4" s="1044"/>
      <c r="N4" s="1044"/>
      <c r="O4" s="1044"/>
      <c r="P4" s="3433" t="s">
        <v>2412</v>
      </c>
      <c r="Q4" s="3434"/>
      <c r="R4" s="3446" t="s">
        <v>2408</v>
      </c>
      <c r="S4" s="3447"/>
      <c r="T4" s="3446" t="s">
        <v>2409</v>
      </c>
      <c r="U4" s="3447"/>
      <c r="V4" s="3421" t="s">
        <v>2410</v>
      </c>
      <c r="W4" s="3421"/>
      <c r="X4" s="1508"/>
      <c r="Y4" s="3446" t="s">
        <v>2412</v>
      </c>
      <c r="Z4" s="3447"/>
      <c r="AA4" s="3426" t="s">
        <v>2408</v>
      </c>
      <c r="AB4" s="3427" t="s">
        <v>2409</v>
      </c>
      <c r="AC4" s="3426" t="s">
        <v>2410</v>
      </c>
    </row>
    <row r="5" spans="1:29" ht="15">
      <c r="A5" s="363"/>
      <c r="B5" s="364"/>
      <c r="C5" s="3450" t="s">
        <v>2303</v>
      </c>
      <c r="D5" s="3451"/>
      <c r="E5" s="3439" t="s">
        <v>2304</v>
      </c>
      <c r="F5" s="3440"/>
      <c r="G5" s="3450" t="s">
        <v>2305</v>
      </c>
      <c r="H5" s="3451"/>
      <c r="I5" s="3450" t="s">
        <v>2306</v>
      </c>
      <c r="J5" s="3451"/>
      <c r="K5" s="566"/>
      <c r="L5" s="1043"/>
      <c r="M5" s="1044"/>
      <c r="N5" s="1044"/>
      <c r="O5" s="1044"/>
      <c r="P5" s="3435"/>
      <c r="Q5" s="3436"/>
      <c r="R5" s="3448"/>
      <c r="S5" s="3449"/>
      <c r="T5" s="3448"/>
      <c r="U5" s="3449"/>
      <c r="V5" s="3421"/>
      <c r="W5" s="3421"/>
      <c r="X5" s="1508"/>
      <c r="Y5" s="3448"/>
      <c r="Z5" s="3449"/>
      <c r="AA5" s="3427"/>
      <c r="AB5" s="3427"/>
      <c r="AC5" s="3427"/>
    </row>
    <row r="6" spans="1:29" ht="15.75" thickBot="1">
      <c r="A6" s="365"/>
      <c r="B6" s="366"/>
      <c r="C6" s="3485" t="s">
        <v>2307</v>
      </c>
      <c r="D6" s="3486"/>
      <c r="E6" s="3487" t="s">
        <v>2307</v>
      </c>
      <c r="F6" s="3488"/>
      <c r="G6" s="3485" t="s">
        <v>2307</v>
      </c>
      <c r="H6" s="3486"/>
      <c r="I6" s="3485" t="s">
        <v>2307</v>
      </c>
      <c r="J6" s="3486"/>
      <c r="K6" s="566" t="s">
        <v>2308</v>
      </c>
      <c r="L6" s="1043"/>
      <c r="M6" s="1044"/>
      <c r="N6" s="1044"/>
      <c r="O6" s="1044"/>
      <c r="P6" s="3437"/>
      <c r="Q6" s="3438"/>
      <c r="R6" s="3448"/>
      <c r="S6" s="3449"/>
      <c r="T6" s="3457"/>
      <c r="U6" s="3458"/>
      <c r="V6" s="3421"/>
      <c r="W6" s="3421"/>
      <c r="X6" s="1508"/>
      <c r="Y6" s="3457"/>
      <c r="Z6" s="3458"/>
      <c r="AA6" s="3428"/>
      <c r="AB6" s="3428"/>
      <c r="AC6" s="3428"/>
    </row>
    <row r="7" spans="1:29" s="112" customFormat="1" ht="15.75" thickBot="1">
      <c r="A7" s="367" t="s">
        <v>2309</v>
      </c>
      <c r="B7" s="368"/>
      <c r="C7" s="369">
        <f>'数据-取费表'!B2</f>
        <v>44582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41" t="s">
        <v>2310</v>
      </c>
      <c r="Q7" s="3454"/>
      <c r="R7" s="709" t="s">
        <v>17</v>
      </c>
      <c r="S7" s="710">
        <f t="shared" ref="S7:S15" si="0">F7</f>
        <v>0</v>
      </c>
      <c r="T7" s="709" t="s">
        <v>17</v>
      </c>
      <c r="U7" s="710">
        <f t="shared" ref="U7:U15" si="1">H7</f>
        <v>0</v>
      </c>
      <c r="V7" s="709" t="s">
        <v>17</v>
      </c>
      <c r="W7" s="710">
        <f t="shared" ref="W7:W15" si="2">J7</f>
        <v>0</v>
      </c>
      <c r="X7" s="711"/>
      <c r="Y7" s="3441" t="s">
        <v>2310</v>
      </c>
      <c r="Z7" s="3442"/>
      <c r="AA7" s="712" t="e">
        <f>D7/F7</f>
        <v>#DIV/0!</v>
      </c>
      <c r="AB7" s="712" t="e">
        <f>D7/H7</f>
        <v>#DIV/0!</v>
      </c>
      <c r="AC7" s="712" t="e">
        <f>D7/J7</f>
        <v>#DIV/0!</v>
      </c>
    </row>
    <row r="8" spans="1:29" s="112"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41" t="s">
        <v>2313</v>
      </c>
      <c r="Q8" s="3442"/>
      <c r="R8" s="709" t="s">
        <v>17</v>
      </c>
      <c r="S8" s="710">
        <f t="shared" si="0"/>
        <v>0</v>
      </c>
      <c r="T8" s="709" t="s">
        <v>17</v>
      </c>
      <c r="U8" s="710">
        <f t="shared" si="1"/>
        <v>0</v>
      </c>
      <c r="V8" s="709" t="s">
        <v>17</v>
      </c>
      <c r="W8" s="710">
        <f t="shared" si="2"/>
        <v>0</v>
      </c>
      <c r="X8" s="711"/>
      <c r="Y8" s="3441" t="s">
        <v>2313</v>
      </c>
      <c r="Z8" s="3442"/>
      <c r="AA8" s="712" t="e">
        <f t="shared" ref="AA8:AA40" si="3">D8/F8</f>
        <v>#DIV/0!</v>
      </c>
      <c r="AB8" s="712" t="e">
        <f t="shared" ref="AB8:AB40" si="4">D8/H8</f>
        <v>#DIV/0!</v>
      </c>
      <c r="AC8" s="712" t="e">
        <f t="shared" ref="AC8:AC40" si="5">D8/J8</f>
        <v>#DIV/0!</v>
      </c>
    </row>
    <row r="9" spans="1:29" s="112" customFormat="1">
      <c r="A9" s="374" t="s">
        <v>2314</v>
      </c>
      <c r="B9" s="66" t="s">
        <v>2315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19" t="s">
        <v>2316</v>
      </c>
      <c r="Q9" s="1496" t="str">
        <f t="shared" ref="Q9:Q15" si="6">B9</f>
        <v>用途</v>
      </c>
      <c r="R9" s="709" t="s">
        <v>17</v>
      </c>
      <c r="S9" s="710">
        <f t="shared" si="0"/>
        <v>100</v>
      </c>
      <c r="T9" s="709" t="s">
        <v>17</v>
      </c>
      <c r="U9" s="710">
        <f t="shared" si="1"/>
        <v>100</v>
      </c>
      <c r="V9" s="709" t="s">
        <v>17</v>
      </c>
      <c r="W9" s="710">
        <f t="shared" si="2"/>
        <v>100</v>
      </c>
      <c r="X9" s="711"/>
      <c r="Y9" s="3389"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19"/>
      <c r="Q10" s="1496" t="str">
        <f t="shared" si="6"/>
        <v>土地使用年限（年）</v>
      </c>
      <c r="R10" s="709" t="s">
        <v>17</v>
      </c>
      <c r="S10" s="710">
        <f t="shared" si="0"/>
        <v>100</v>
      </c>
      <c r="T10" s="709" t="s">
        <v>17</v>
      </c>
      <c r="U10" s="710">
        <f t="shared" si="1"/>
        <v>100</v>
      </c>
      <c r="V10" s="709" t="s">
        <v>17</v>
      </c>
      <c r="W10" s="710">
        <f t="shared" si="2"/>
        <v>100</v>
      </c>
      <c r="X10" s="711"/>
      <c r="Y10" s="3389"/>
      <c r="Z10" s="54" t="str">
        <f t="shared" si="7"/>
        <v>土地使用年限（年）</v>
      </c>
      <c r="AA10" s="712">
        <f t="shared" si="3"/>
        <v>1</v>
      </c>
      <c r="AB10" s="712">
        <f t="shared" si="4"/>
        <v>1</v>
      </c>
      <c r="AC10" s="712">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19"/>
      <c r="Q11" s="1496" t="str">
        <f t="shared" si="6"/>
        <v>容积率</v>
      </c>
      <c r="R11" s="709" t="s">
        <v>17</v>
      </c>
      <c r="S11" s="710" t="e">
        <f t="shared" si="0"/>
        <v>#N/A</v>
      </c>
      <c r="T11" s="709" t="s">
        <v>17</v>
      </c>
      <c r="U11" s="710" t="e">
        <f t="shared" si="1"/>
        <v>#N/A</v>
      </c>
      <c r="V11" s="709" t="s">
        <v>17</v>
      </c>
      <c r="W11" s="710" t="e">
        <f t="shared" si="2"/>
        <v>#N/A</v>
      </c>
      <c r="X11" s="711"/>
      <c r="Y11" s="3389"/>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131">
        <f>SUMIF(64:64,E12,65:65)-SUMIF(64:64,C12,65:65)+100</f>
        <v>100</v>
      </c>
      <c r="G12" s="2125"/>
      <c r="H12" s="131">
        <f>SUMIF(64:64,G12,65:65)-SUMIF(64:64,C12,65:65)+100</f>
        <v>100</v>
      </c>
      <c r="I12" s="427"/>
      <c r="J12" s="131">
        <f>SUMIF(64:64,I12,65:65)-SUMIF(64:64,C12,65:65)+100</f>
        <v>100</v>
      </c>
      <c r="K12" s="569"/>
      <c r="L12" s="1045"/>
      <c r="M12" s="1046"/>
      <c r="N12" s="1046"/>
      <c r="O12" s="1047"/>
      <c r="P12" s="3419"/>
      <c r="Q12" s="1496">
        <f t="shared" si="6"/>
        <v>111</v>
      </c>
      <c r="R12" s="709" t="s">
        <v>17</v>
      </c>
      <c r="S12" s="710">
        <f t="shared" si="0"/>
        <v>100</v>
      </c>
      <c r="T12" s="709" t="s">
        <v>17</v>
      </c>
      <c r="U12" s="710">
        <f t="shared" si="1"/>
        <v>100</v>
      </c>
      <c r="V12" s="709" t="s">
        <v>17</v>
      </c>
      <c r="W12" s="710">
        <f t="shared" si="2"/>
        <v>100</v>
      </c>
      <c r="X12" s="711"/>
      <c r="Y12" s="3389"/>
      <c r="Z12" s="54">
        <f t="shared" si="7"/>
        <v>111</v>
      </c>
      <c r="AA12" s="712">
        <f>D12/F12</f>
        <v>1</v>
      </c>
      <c r="AB12" s="712">
        <f>D12/H12</f>
        <v>1</v>
      </c>
      <c r="AC12" s="712">
        <f>D12/J12</f>
        <v>1</v>
      </c>
    </row>
    <row r="13" spans="1:29" ht="15">
      <c r="A13" s="386"/>
      <c r="B13" s="2048">
        <v>111</v>
      </c>
      <c r="C13" s="392"/>
      <c r="D13" s="393">
        <v>100</v>
      </c>
      <c r="E13" s="392"/>
      <c r="F13" s="131">
        <f>SUMIF(66:66,E13,67:67)-SUMIF(66:66,C13,67:67)+100</f>
        <v>100</v>
      </c>
      <c r="G13" s="2125"/>
      <c r="H13" s="393">
        <f>SUMIF(66:66,G13,67:67)-SUMIF(66:66,C13,67:67)+100</f>
        <v>100</v>
      </c>
      <c r="I13" s="427"/>
      <c r="J13" s="393">
        <f>SUMIF(66:66,I13,67:67)-SUMIF(66:66,C13,67:67)+100</f>
        <v>100</v>
      </c>
      <c r="K13" s="569"/>
      <c r="L13" s="1053"/>
      <c r="M13" s="1044"/>
      <c r="N13" s="1044"/>
      <c r="O13" s="1052"/>
      <c r="P13" s="3419"/>
      <c r="Q13" s="1496">
        <f t="shared" si="6"/>
        <v>111</v>
      </c>
      <c r="R13" s="709" t="s">
        <v>17</v>
      </c>
      <c r="S13" s="710">
        <f t="shared" si="0"/>
        <v>100</v>
      </c>
      <c r="T13" s="709" t="s">
        <v>17</v>
      </c>
      <c r="U13" s="710">
        <f t="shared" si="1"/>
        <v>100</v>
      </c>
      <c r="V13" s="709" t="s">
        <v>17</v>
      </c>
      <c r="W13" s="710">
        <f t="shared" si="2"/>
        <v>100</v>
      </c>
      <c r="X13" s="711"/>
      <c r="Y13" s="3389"/>
      <c r="Z13" s="54">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419"/>
      <c r="Q14" s="1496">
        <f t="shared" si="6"/>
        <v>111</v>
      </c>
      <c r="R14" s="709" t="s">
        <v>17</v>
      </c>
      <c r="S14" s="710">
        <f t="shared" si="0"/>
        <v>100</v>
      </c>
      <c r="T14" s="709" t="s">
        <v>17</v>
      </c>
      <c r="U14" s="710">
        <f t="shared" si="1"/>
        <v>100</v>
      </c>
      <c r="V14" s="709" t="s">
        <v>17</v>
      </c>
      <c r="W14" s="710">
        <f t="shared" si="2"/>
        <v>100</v>
      </c>
      <c r="X14" s="711"/>
      <c r="Y14" s="3389"/>
      <c r="Z14" s="54">
        <f t="shared" si="7"/>
        <v>111</v>
      </c>
      <c r="AA14" s="712">
        <f t="shared" si="3"/>
        <v>1</v>
      </c>
      <c r="AB14" s="712">
        <f t="shared" si="4"/>
        <v>1</v>
      </c>
      <c r="AC14" s="712">
        <f t="shared" si="5"/>
        <v>1</v>
      </c>
    </row>
    <row r="15" spans="1:29" ht="15">
      <c r="A15" s="398" t="s">
        <v>2320</v>
      </c>
      <c r="B15" s="64" t="s">
        <v>2464</v>
      </c>
      <c r="C15" s="2126" t="str">
        <f>估价对象房地状况!G3</f>
        <v>较好</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22" t="s">
        <v>2321</v>
      </c>
      <c r="Q15" s="1505" t="str">
        <f t="shared" si="6"/>
        <v>产业集聚程度</v>
      </c>
      <c r="R15" s="713" t="s">
        <v>17</v>
      </c>
      <c r="S15" s="714">
        <f t="shared" si="0"/>
        <v>100</v>
      </c>
      <c r="T15" s="713" t="s">
        <v>17</v>
      </c>
      <c r="U15" s="714">
        <f t="shared" si="1"/>
        <v>100</v>
      </c>
      <c r="V15" s="713" t="s">
        <v>17</v>
      </c>
      <c r="W15" s="714">
        <f t="shared" si="2"/>
        <v>100</v>
      </c>
      <c r="X15" s="1508"/>
      <c r="Y15" s="3422"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423"/>
      <c r="Q16" s="1505"/>
      <c r="R16" s="713"/>
      <c r="S16" s="714"/>
      <c r="T16" s="713"/>
      <c r="U16" s="714"/>
      <c r="V16" s="713"/>
      <c r="W16" s="714"/>
      <c r="X16" s="1508"/>
      <c r="Y16" s="3423"/>
      <c r="Z16" s="1509"/>
      <c r="AA16" s="1506">
        <v>1</v>
      </c>
      <c r="AB16" s="1506">
        <v>1</v>
      </c>
      <c r="AC16" s="1506">
        <v>1</v>
      </c>
    </row>
    <row r="17" spans="1:29" ht="15">
      <c r="A17" s="386"/>
      <c r="B17" s="409" t="s">
        <v>1885</v>
      </c>
      <c r="C17" s="2055" t="str">
        <f>估价对象房地状况!G4</f>
        <v>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23"/>
      <c r="Q17" s="1505" t="str">
        <f>B17</f>
        <v>交通便捷度</v>
      </c>
      <c r="R17" s="713" t="s">
        <v>17</v>
      </c>
      <c r="S17" s="714">
        <f>F17</f>
        <v>100</v>
      </c>
      <c r="T17" s="713" t="s">
        <v>17</v>
      </c>
      <c r="U17" s="714">
        <f>H17</f>
        <v>100</v>
      </c>
      <c r="V17" s="713" t="s">
        <v>17</v>
      </c>
      <c r="W17" s="714">
        <f>J17</f>
        <v>100</v>
      </c>
      <c r="X17" s="1508"/>
      <c r="Y17" s="3423"/>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423"/>
      <c r="Q18" s="1505"/>
      <c r="R18" s="713"/>
      <c r="S18" s="714"/>
      <c r="T18" s="713"/>
      <c r="U18" s="714"/>
      <c r="V18" s="713"/>
      <c r="W18" s="714"/>
      <c r="X18" s="1508"/>
      <c r="Y18" s="3423"/>
      <c r="Z18" s="1509"/>
      <c r="AA18" s="1506">
        <v>1</v>
      </c>
      <c r="AB18" s="1506">
        <v>1</v>
      </c>
      <c r="AC18" s="1506">
        <v>1</v>
      </c>
    </row>
    <row r="19" spans="1:29" ht="15">
      <c r="A19" s="386"/>
      <c r="B19" s="409" t="s">
        <v>2449</v>
      </c>
      <c r="C19" s="2055" t="str">
        <f>估价对象房地状况!G5</f>
        <v>较好</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23"/>
      <c r="Q19" s="1505" t="str">
        <f>B19</f>
        <v>公共配套设施</v>
      </c>
      <c r="R19" s="713" t="s">
        <v>17</v>
      </c>
      <c r="S19" s="714">
        <f>F19</f>
        <v>100</v>
      </c>
      <c r="T19" s="713" t="s">
        <v>17</v>
      </c>
      <c r="U19" s="714">
        <f>H19</f>
        <v>100</v>
      </c>
      <c r="V19" s="713" t="s">
        <v>17</v>
      </c>
      <c r="W19" s="714">
        <f>J19</f>
        <v>100</v>
      </c>
      <c r="X19" s="1508"/>
      <c r="Y19" s="3423"/>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423"/>
      <c r="Q20" s="1505"/>
      <c r="R20" s="713"/>
      <c r="S20" s="714"/>
      <c r="T20" s="713"/>
      <c r="U20" s="714"/>
      <c r="V20" s="713"/>
      <c r="W20" s="714"/>
      <c r="X20" s="1508"/>
      <c r="Y20" s="3423"/>
      <c r="Z20" s="1509"/>
      <c r="AA20" s="1506">
        <v>1</v>
      </c>
      <c r="AB20" s="1506">
        <v>1</v>
      </c>
      <c r="AC20" s="1506">
        <v>1</v>
      </c>
    </row>
    <row r="21" spans="1:29" ht="15">
      <c r="A21" s="386"/>
      <c r="B21" s="1264" t="s">
        <v>2450</v>
      </c>
      <c r="C21" s="2055" t="str">
        <f>估价对象房地状况!G6</f>
        <v>七通</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23"/>
      <c r="Q21" s="1505" t="str">
        <f>B21</f>
        <v>基础设施水平</v>
      </c>
      <c r="R21" s="713" t="s">
        <v>17</v>
      </c>
      <c r="S21" s="714">
        <f>F21</f>
        <v>100</v>
      </c>
      <c r="T21" s="713" t="s">
        <v>17</v>
      </c>
      <c r="U21" s="714">
        <f>H21</f>
        <v>100</v>
      </c>
      <c r="V21" s="713" t="s">
        <v>17</v>
      </c>
      <c r="W21" s="714">
        <f>J21</f>
        <v>100</v>
      </c>
      <c r="X21" s="1508"/>
      <c r="Y21" s="3423"/>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423"/>
      <c r="Q22" s="1505"/>
      <c r="R22" s="713"/>
      <c r="S22" s="714"/>
      <c r="T22" s="713"/>
      <c r="U22" s="714"/>
      <c r="V22" s="713"/>
      <c r="W22" s="714"/>
      <c r="X22" s="1508"/>
      <c r="Y22" s="3423"/>
      <c r="Z22" s="1509"/>
      <c r="AA22" s="1506">
        <v>1</v>
      </c>
      <c r="AB22" s="1506">
        <v>1</v>
      </c>
      <c r="AC22" s="1506">
        <v>1</v>
      </c>
    </row>
    <row r="23" spans="1:29" ht="15">
      <c r="A23" s="386"/>
      <c r="B23" s="409" t="s">
        <v>2451</v>
      </c>
      <c r="C23" s="2055" t="str">
        <f>估价对象房地状况!G7</f>
        <v>较好</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23"/>
      <c r="Q23" s="1505" t="str">
        <f>B23</f>
        <v>环境质量</v>
      </c>
      <c r="R23" s="713" t="s">
        <v>17</v>
      </c>
      <c r="S23" s="714">
        <f>F23</f>
        <v>100</v>
      </c>
      <c r="T23" s="713" t="s">
        <v>17</v>
      </c>
      <c r="U23" s="714">
        <f>H23</f>
        <v>100</v>
      </c>
      <c r="V23" s="713" t="s">
        <v>17</v>
      </c>
      <c r="W23" s="714">
        <f>J23</f>
        <v>100</v>
      </c>
      <c r="X23" s="1508"/>
      <c r="Y23" s="3423"/>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423"/>
      <c r="Q24" s="1505"/>
      <c r="R24" s="713"/>
      <c r="S24" s="714"/>
      <c r="T24" s="713"/>
      <c r="U24" s="714"/>
      <c r="V24" s="713"/>
      <c r="W24" s="714"/>
      <c r="X24" s="1508"/>
      <c r="Y24" s="3423"/>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23"/>
      <c r="Q25" s="1505">
        <f>B25</f>
        <v>111</v>
      </c>
      <c r="R25" s="713" t="s">
        <v>17</v>
      </c>
      <c r="S25" s="714">
        <f>F25</f>
        <v>100</v>
      </c>
      <c r="T25" s="713" t="s">
        <v>17</v>
      </c>
      <c r="U25" s="714">
        <f>H25</f>
        <v>100</v>
      </c>
      <c r="V25" s="713" t="s">
        <v>17</v>
      </c>
      <c r="W25" s="714">
        <f>J25</f>
        <v>100</v>
      </c>
      <c r="X25" s="1508"/>
      <c r="Y25" s="3423"/>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23"/>
      <c r="Q26" s="1505">
        <f t="shared" ref="Q26:Q40" si="11">B26</f>
        <v>111</v>
      </c>
      <c r="R26" s="713" t="s">
        <v>17</v>
      </c>
      <c r="S26" s="714">
        <f>F26</f>
        <v>100</v>
      </c>
      <c r="T26" s="713" t="s">
        <v>17</v>
      </c>
      <c r="U26" s="714">
        <f>H26</f>
        <v>100</v>
      </c>
      <c r="V26" s="713" t="s">
        <v>17</v>
      </c>
      <c r="W26" s="714">
        <f>J26</f>
        <v>100</v>
      </c>
      <c r="X26" s="1508"/>
      <c r="Y26" s="3423"/>
      <c r="Z26" s="1509">
        <f>Q26</f>
        <v>111</v>
      </c>
      <c r="AA26" s="1506">
        <f t="shared" si="3"/>
        <v>1</v>
      </c>
      <c r="AB26" s="1506">
        <f t="shared" si="4"/>
        <v>1</v>
      </c>
      <c r="AC26" s="1506">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23"/>
      <c r="Q27" s="1496">
        <f t="shared" si="11"/>
        <v>111</v>
      </c>
      <c r="R27" s="709" t="s">
        <v>17</v>
      </c>
      <c r="S27" s="710">
        <f>F27</f>
        <v>100</v>
      </c>
      <c r="T27" s="709" t="s">
        <v>17</v>
      </c>
      <c r="U27" s="710">
        <f>H27</f>
        <v>100</v>
      </c>
      <c r="V27" s="709" t="s">
        <v>17</v>
      </c>
      <c r="W27" s="710">
        <f>J27</f>
        <v>100</v>
      </c>
      <c r="X27" s="711"/>
      <c r="Y27" s="3423"/>
      <c r="Z27" s="54">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23"/>
      <c r="Q28" s="1505">
        <f t="shared" si="11"/>
        <v>111</v>
      </c>
      <c r="R28" s="713" t="s">
        <v>17</v>
      </c>
      <c r="S28" s="714">
        <f t="shared" ref="S28:S40" si="12">F28</f>
        <v>100</v>
      </c>
      <c r="T28" s="713" t="s">
        <v>17</v>
      </c>
      <c r="U28" s="714">
        <f t="shared" ref="U28:U40" si="13">H28</f>
        <v>100</v>
      </c>
      <c r="V28" s="713" t="s">
        <v>17</v>
      </c>
      <c r="W28" s="714">
        <f t="shared" ref="W28:W40" si="14">J28</f>
        <v>100</v>
      </c>
      <c r="X28" s="1508"/>
      <c r="Y28" s="3423"/>
      <c r="Z28" s="1509">
        <f t="shared" ref="Z28:Z40" si="15">Q28</f>
        <v>111</v>
      </c>
      <c r="AA28" s="1506">
        <f t="shared" si="3"/>
        <v>1</v>
      </c>
      <c r="AB28" s="1506">
        <f t="shared" si="4"/>
        <v>1</v>
      </c>
      <c r="AC28" s="1506">
        <f t="shared" si="5"/>
        <v>1</v>
      </c>
    </row>
    <row r="29" spans="1:29" ht="28.5">
      <c r="A29" s="424" t="s">
        <v>2324</v>
      </c>
      <c r="B29" s="66"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424" t="s">
        <v>2326</v>
      </c>
      <c r="Q29" s="1505" t="str">
        <f t="shared" si="11"/>
        <v>建筑类型</v>
      </c>
      <c r="R29" s="713" t="s">
        <v>17</v>
      </c>
      <c r="S29" s="714">
        <f t="shared" si="12"/>
        <v>100</v>
      </c>
      <c r="T29" s="713" t="s">
        <v>17</v>
      </c>
      <c r="U29" s="714">
        <f t="shared" si="13"/>
        <v>100</v>
      </c>
      <c r="V29" s="713" t="s">
        <v>17</v>
      </c>
      <c r="W29" s="714">
        <f t="shared" si="14"/>
        <v>100</v>
      </c>
      <c r="X29" s="1508"/>
      <c r="Y29" s="3425" t="s">
        <v>2326</v>
      </c>
      <c r="Z29" s="1509" t="str">
        <f t="shared" si="15"/>
        <v>建筑类型</v>
      </c>
      <c r="AA29" s="1506">
        <f t="shared" si="3"/>
        <v>1</v>
      </c>
      <c r="AB29" s="1506">
        <f t="shared" si="4"/>
        <v>1</v>
      </c>
      <c r="AC29" s="1506">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25"/>
      <c r="Q30" s="715" t="str">
        <f t="shared" si="11"/>
        <v>项目建筑规模</v>
      </c>
      <c r="R30" s="716" t="s">
        <v>17</v>
      </c>
      <c r="S30" s="717" t="e">
        <f t="shared" si="12"/>
        <v>#N/A</v>
      </c>
      <c r="T30" s="716" t="s">
        <v>17</v>
      </c>
      <c r="U30" s="717" t="e">
        <f t="shared" si="13"/>
        <v>#N/A</v>
      </c>
      <c r="V30" s="716" t="s">
        <v>17</v>
      </c>
      <c r="W30" s="717" t="e">
        <f t="shared" si="14"/>
        <v>#N/A</v>
      </c>
      <c r="X30" s="718"/>
      <c r="Y30" s="3425"/>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25"/>
      <c r="Q31" s="1505" t="str">
        <f t="shared" si="11"/>
        <v>建筑结构</v>
      </c>
      <c r="R31" s="713" t="s">
        <v>17</v>
      </c>
      <c r="S31" s="714">
        <f t="shared" si="12"/>
        <v>100</v>
      </c>
      <c r="T31" s="713" t="s">
        <v>17</v>
      </c>
      <c r="U31" s="714">
        <f t="shared" si="13"/>
        <v>100</v>
      </c>
      <c r="V31" s="713" t="s">
        <v>17</v>
      </c>
      <c r="W31" s="714">
        <f t="shared" si="14"/>
        <v>100</v>
      </c>
      <c r="X31" s="1508"/>
      <c r="Y31" s="3425"/>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25"/>
      <c r="Q32" s="1505" t="str">
        <f t="shared" si="11"/>
        <v>公共部分装修</v>
      </c>
      <c r="R32" s="713" t="s">
        <v>17</v>
      </c>
      <c r="S32" s="714">
        <f t="shared" si="12"/>
        <v>100</v>
      </c>
      <c r="T32" s="713" t="s">
        <v>17</v>
      </c>
      <c r="U32" s="714">
        <f t="shared" si="13"/>
        <v>100</v>
      </c>
      <c r="V32" s="713" t="s">
        <v>17</v>
      </c>
      <c r="W32" s="714">
        <f t="shared" si="14"/>
        <v>100</v>
      </c>
      <c r="X32" s="1508"/>
      <c r="Y32" s="3425"/>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25"/>
      <c r="Q33" s="1505" t="str">
        <f t="shared" si="11"/>
        <v>成新度</v>
      </c>
      <c r="R33" s="713" t="s">
        <v>17</v>
      </c>
      <c r="S33" s="714" t="e">
        <f t="shared" si="12"/>
        <v>#N/A</v>
      </c>
      <c r="T33" s="713" t="s">
        <v>17</v>
      </c>
      <c r="U33" s="714" t="e">
        <f t="shared" si="13"/>
        <v>#N/A</v>
      </c>
      <c r="V33" s="713" t="s">
        <v>17</v>
      </c>
      <c r="W33" s="714" t="e">
        <f t="shared" si="14"/>
        <v>#N/A</v>
      </c>
      <c r="X33" s="1508"/>
      <c r="Y33" s="3425"/>
      <c r="Z33" s="1509" t="str">
        <f t="shared" si="15"/>
        <v>成新度</v>
      </c>
      <c r="AA33" s="1506" t="e">
        <f t="shared" si="3"/>
        <v>#N/A</v>
      </c>
      <c r="AB33" s="1506" t="e">
        <f t="shared" si="4"/>
        <v>#N/A</v>
      </c>
      <c r="AC33" s="1506" t="e">
        <f t="shared" si="5"/>
        <v>#N/A</v>
      </c>
    </row>
    <row r="34" spans="1:29" s="112"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25"/>
      <c r="Q34" s="1496" t="str">
        <f t="shared" si="11"/>
        <v>物业管理</v>
      </c>
      <c r="R34" s="709" t="s">
        <v>17</v>
      </c>
      <c r="S34" s="710">
        <f t="shared" si="12"/>
        <v>100</v>
      </c>
      <c r="T34" s="709" t="s">
        <v>17</v>
      </c>
      <c r="U34" s="710">
        <f t="shared" si="13"/>
        <v>100</v>
      </c>
      <c r="V34" s="709" t="s">
        <v>17</v>
      </c>
      <c r="W34" s="710">
        <f t="shared" si="14"/>
        <v>100</v>
      </c>
      <c r="X34" s="711"/>
      <c r="Y34" s="3425"/>
      <c r="Z34" s="54"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25" t="s">
        <v>2326</v>
      </c>
      <c r="Q35" s="1505" t="str">
        <f t="shared" si="11"/>
        <v>市政基础设施</v>
      </c>
      <c r="R35" s="713" t="s">
        <v>17</v>
      </c>
      <c r="S35" s="714">
        <f t="shared" si="12"/>
        <v>100</v>
      </c>
      <c r="T35" s="713" t="s">
        <v>17</v>
      </c>
      <c r="U35" s="714">
        <f t="shared" si="13"/>
        <v>100</v>
      </c>
      <c r="V35" s="713" t="s">
        <v>17</v>
      </c>
      <c r="W35" s="714">
        <f t="shared" si="14"/>
        <v>100</v>
      </c>
      <c r="X35" s="1508"/>
      <c r="Y35" s="3425"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25"/>
      <c r="Q36" s="1505" t="str">
        <f t="shared" si="11"/>
        <v>内部装修</v>
      </c>
      <c r="R36" s="713" t="s">
        <v>17</v>
      </c>
      <c r="S36" s="714">
        <f t="shared" si="12"/>
        <v>100</v>
      </c>
      <c r="T36" s="713" t="s">
        <v>17</v>
      </c>
      <c r="U36" s="714">
        <f t="shared" si="13"/>
        <v>100</v>
      </c>
      <c r="V36" s="713" t="s">
        <v>17</v>
      </c>
      <c r="W36" s="714">
        <f t="shared" si="14"/>
        <v>100</v>
      </c>
      <c r="X36" s="1508"/>
      <c r="Y36" s="3425"/>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25"/>
      <c r="Q37" s="1505" t="str">
        <f t="shared" si="11"/>
        <v>内部装修状况</v>
      </c>
      <c r="R37" s="713" t="s">
        <v>17</v>
      </c>
      <c r="S37" s="714">
        <f t="shared" si="12"/>
        <v>100</v>
      </c>
      <c r="T37" s="713" t="s">
        <v>17</v>
      </c>
      <c r="U37" s="714">
        <f t="shared" si="13"/>
        <v>100</v>
      </c>
      <c r="V37" s="713" t="s">
        <v>17</v>
      </c>
      <c r="W37" s="714">
        <f t="shared" si="14"/>
        <v>100</v>
      </c>
      <c r="X37" s="1508"/>
      <c r="Y37" s="3425"/>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25"/>
      <c r="Q38" s="715">
        <f t="shared" si="11"/>
        <v>111</v>
      </c>
      <c r="R38" s="716" t="s">
        <v>17</v>
      </c>
      <c r="S38" s="717">
        <f t="shared" si="12"/>
        <v>100</v>
      </c>
      <c r="T38" s="716" t="s">
        <v>17</v>
      </c>
      <c r="U38" s="717">
        <f t="shared" si="13"/>
        <v>100</v>
      </c>
      <c r="V38" s="716" t="s">
        <v>17</v>
      </c>
      <c r="W38" s="717">
        <f t="shared" si="14"/>
        <v>100</v>
      </c>
      <c r="X38" s="718"/>
      <c r="Y38" s="3425"/>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25"/>
      <c r="Q39" s="1505">
        <f t="shared" si="11"/>
        <v>111</v>
      </c>
      <c r="R39" s="713" t="s">
        <v>17</v>
      </c>
      <c r="S39" s="714">
        <f t="shared" si="12"/>
        <v>100</v>
      </c>
      <c r="T39" s="713" t="s">
        <v>17</v>
      </c>
      <c r="U39" s="714">
        <f t="shared" si="13"/>
        <v>100</v>
      </c>
      <c r="V39" s="713" t="s">
        <v>17</v>
      </c>
      <c r="W39" s="714">
        <f t="shared" si="14"/>
        <v>100</v>
      </c>
      <c r="X39" s="1508"/>
      <c r="Y39" s="3425"/>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494"/>
      <c r="Q40" s="1505">
        <f t="shared" si="11"/>
        <v>111</v>
      </c>
      <c r="R40" s="713" t="s">
        <v>17</v>
      </c>
      <c r="S40" s="714">
        <f t="shared" si="12"/>
        <v>100</v>
      </c>
      <c r="T40" s="713" t="s">
        <v>17</v>
      </c>
      <c r="U40" s="714">
        <f t="shared" si="13"/>
        <v>100</v>
      </c>
      <c r="V40" s="713" t="s">
        <v>17</v>
      </c>
      <c r="W40" s="714">
        <f t="shared" si="14"/>
        <v>100</v>
      </c>
      <c r="X40" s="1508"/>
      <c r="Y40" s="3494"/>
      <c r="Z40" s="1509">
        <f t="shared" si="15"/>
        <v>111</v>
      </c>
      <c r="AA40" s="1506">
        <f t="shared" si="3"/>
        <v>1</v>
      </c>
      <c r="AB40" s="1506">
        <f t="shared" si="4"/>
        <v>1</v>
      </c>
      <c r="AC40" s="1506">
        <f t="shared" si="5"/>
        <v>1</v>
      </c>
    </row>
    <row r="41" spans="1:29" ht="15">
      <c r="A41" s="437" t="s">
        <v>2338</v>
      </c>
      <c r="B41" s="438"/>
      <c r="C41" s="1287" t="s">
        <v>1</v>
      </c>
      <c r="D41" s="1288"/>
      <c r="E41" s="1289"/>
      <c r="F41" s="1290"/>
      <c r="G41" s="1291"/>
      <c r="H41" s="1292"/>
      <c r="I41" s="1289"/>
      <c r="J41" s="1292"/>
      <c r="K41" s="722"/>
      <c r="L41" s="1056"/>
      <c r="M41" s="1057"/>
      <c r="N41" s="1044"/>
      <c r="O41" s="1057"/>
      <c r="P41" s="3419" t="str">
        <f>A41</f>
        <v>成交单价（元/平方米）</v>
      </c>
      <c r="Q41" s="3419"/>
      <c r="R41" s="3490">
        <f>E41</f>
        <v>0</v>
      </c>
      <c r="S41" s="3490"/>
      <c r="T41" s="3490">
        <f>G41</f>
        <v>0</v>
      </c>
      <c r="U41" s="3490"/>
      <c r="V41" s="3490">
        <f>I41</f>
        <v>0</v>
      </c>
      <c r="W41" s="3490"/>
      <c r="X41" s="698"/>
      <c r="Y41" s="720"/>
      <c r="Z41" s="698"/>
      <c r="AA41" s="698"/>
      <c r="AB41" s="698"/>
      <c r="AC41" s="698"/>
    </row>
    <row r="42" spans="1:29" ht="15.75" thickBot="1">
      <c r="A42" s="444" t="s">
        <v>2430</v>
      </c>
      <c r="B42" s="445"/>
      <c r="C42" s="1293" t="e">
        <f>R43</f>
        <v>#DIV/0!</v>
      </c>
      <c r="D42" s="2507" t="s">
        <v>2818</v>
      </c>
      <c r="E42" s="1294" t="e">
        <f>R42</f>
        <v>#DIV/0!</v>
      </c>
      <c r="F42" s="2508"/>
      <c r="G42" s="1293" t="e">
        <f>T42</f>
        <v>#DIV/0!</v>
      </c>
      <c r="H42" s="2508"/>
      <c r="I42" s="1294" t="e">
        <f>V42</f>
        <v>#DIV/0!</v>
      </c>
      <c r="J42" s="2508"/>
      <c r="K42" s="2510">
        <f>F42+H42+J42</f>
        <v>0</v>
      </c>
      <c r="L42" s="1056"/>
      <c r="M42" s="1057"/>
      <c r="N42" s="1044"/>
      <c r="O42" s="1057"/>
      <c r="P42" s="3419" t="str">
        <f>A42</f>
        <v>比较价值（元/平方米）</v>
      </c>
      <c r="Q42" s="341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416" t="str">
        <f>A43</f>
        <v>估价对象XX用房的比较价值（楼面单价，元/平方米）</v>
      </c>
      <c r="Q43" s="3417"/>
      <c r="R43" s="3489" t="e">
        <f>IF(F1="售价",ROUND(IF(D42="简单平均",AVERAGE(R42:V42),R42*F42+T42*H42+V42*J42),0),ROUND(IF(D42="简单平均",AVERAGE(R42:V42),R42*F42+T42*H42+V42*J42),1))</f>
        <v>#DIV/0!</v>
      </c>
      <c r="S43" s="3489"/>
      <c r="T43" s="3489"/>
      <c r="U43" s="3489"/>
      <c r="V43" s="3489"/>
      <c r="W43" s="3489"/>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c r="A47" s="2921"/>
      <c r="B47" s="2921"/>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c r="A48" s="2924"/>
      <c r="B48" s="2924"/>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7" t="str">
        <f>YEAR(C7)&amp;"-"&amp;MONTH(C7)</f>
        <v>2022-1</v>
      </c>
      <c r="D52" s="1318">
        <f>EDATE(C52,-1)</f>
        <v>44531</v>
      </c>
      <c r="E52" s="1318">
        <f t="shared" ref="E52:O52" si="16">EDATE(D52,-1)</f>
        <v>44501</v>
      </c>
      <c r="F52" s="1318">
        <f t="shared" si="16"/>
        <v>44470</v>
      </c>
      <c r="G52" s="1318">
        <f t="shared" si="16"/>
        <v>44440</v>
      </c>
      <c r="H52" s="1318">
        <f t="shared" si="16"/>
        <v>44409</v>
      </c>
      <c r="I52" s="1318">
        <f t="shared" si="16"/>
        <v>44378</v>
      </c>
      <c r="J52" s="1318">
        <f t="shared" si="16"/>
        <v>44348</v>
      </c>
      <c r="K52" s="1318">
        <f t="shared" si="16"/>
        <v>44317</v>
      </c>
      <c r="L52" s="1318">
        <f t="shared" si="16"/>
        <v>44287</v>
      </c>
      <c r="M52" s="1318">
        <f t="shared" si="16"/>
        <v>44256</v>
      </c>
      <c r="N52" s="1318">
        <f t="shared" si="16"/>
        <v>44228</v>
      </c>
      <c r="O52" s="1318">
        <f t="shared" si="16"/>
        <v>44197</v>
      </c>
      <c r="P52" s="463"/>
    </row>
    <row r="53" spans="1:17" s="112" customFormat="1" ht="15">
      <c r="A53" s="465"/>
      <c r="B53" s="466"/>
      <c r="C53" s="1316">
        <v>100</v>
      </c>
      <c r="D53" s="468"/>
      <c r="E53" s="468"/>
      <c r="F53" s="468"/>
      <c r="G53" s="468"/>
      <c r="H53" s="468"/>
      <c r="I53" s="468"/>
      <c r="J53" s="468"/>
      <c r="K53" s="468"/>
      <c r="L53" s="468"/>
      <c r="M53" s="469"/>
      <c r="N53" s="468"/>
      <c r="O53" s="470"/>
      <c r="P53" s="460"/>
    </row>
    <row r="54" spans="1:17" s="112" customFormat="1" ht="15.75" thickBot="1">
      <c r="A54" s="471" t="s">
        <v>2346</v>
      </c>
      <c r="B54" s="472"/>
      <c r="C54" s="473"/>
      <c r="D54" s="474"/>
      <c r="E54" s="474"/>
      <c r="F54" s="474"/>
      <c r="G54" s="474"/>
      <c r="H54" s="474"/>
      <c r="I54" s="474"/>
      <c r="J54" s="474"/>
      <c r="K54" s="474"/>
      <c r="L54" s="474"/>
      <c r="M54" s="475"/>
      <c r="N54" s="2966"/>
      <c r="O54" s="2967"/>
      <c r="P54" s="460"/>
      <c r="Q54" s="460"/>
    </row>
    <row r="55" spans="1:17" s="112" customFormat="1" ht="15">
      <c r="A55" s="477" t="s">
        <v>2311</v>
      </c>
      <c r="B55" s="466"/>
      <c r="C55" s="478" t="s">
        <v>2413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083"/>
      <c r="B87" s="525"/>
      <c r="C87" s="526"/>
      <c r="D87" s="526"/>
      <c r="E87" s="526"/>
      <c r="F87" s="526"/>
      <c r="G87" s="547"/>
      <c r="H87" s="547"/>
      <c r="I87" s="547"/>
      <c r="J87" s="547"/>
      <c r="K87" s="547"/>
      <c r="L87" s="547"/>
      <c r="M87" s="548"/>
      <c r="N87" s="1064"/>
      <c r="O87" s="1064"/>
      <c r="P87" s="44"/>
      <c r="Q87" s="460"/>
    </row>
    <row r="88" spans="1:17">
      <c r="A88" s="483" t="s">
        <v>2324</v>
      </c>
      <c r="B88" s="484" t="s">
        <v>2373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2381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083"/>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28.5" customHeight="1" thickTop="1">
      <c r="A2" s="1360" t="s">
        <v>2088</v>
      </c>
      <c r="B2" s="1297" t="e">
        <f ca="1">IF(C2="——",IF(B37="元/平方米",ROUND(C39*D3/10000,0),ROUND(F3*C39/10000,0)),IF(B37="元/平方米",ROUND(C39*D3/10000,0),ROUND(F3*C39/10000,0))-D2)</f>
        <v>#DIV/0!</v>
      </c>
      <c r="C2" s="2036"/>
      <c r="D2" s="1037" t="e">
        <f ca="1">SUMIF(INDIRECT("'"&amp;F2&amp;"'"&amp;"!A:A"),"承租人权益价值",INDIRECT("'"&amp;F2&amp;"'"&amp;"!c:c"))</f>
        <v>#REF!</v>
      </c>
      <c r="E2" s="2037" t="s">
        <v>2089</v>
      </c>
      <c r="F2" s="2038"/>
      <c r="G2" s="1038"/>
      <c r="H2" s="1038"/>
      <c r="I2" s="1038"/>
      <c r="J2" s="1038"/>
      <c r="K2" s="1040"/>
      <c r="L2" s="2930"/>
      <c r="M2" s="2931"/>
      <c r="N2" s="2931"/>
      <c r="O2" s="2931"/>
      <c r="P2" s="1298"/>
      <c r="Q2" s="707"/>
      <c r="R2" s="707"/>
      <c r="S2" s="707"/>
      <c r="T2" s="707"/>
      <c r="U2" s="707"/>
      <c r="V2" s="707"/>
      <c r="W2" s="707"/>
      <c r="X2" s="707"/>
      <c r="Y2" s="707"/>
      <c r="Z2" s="707"/>
      <c r="AA2" s="707"/>
      <c r="AB2" s="707"/>
      <c r="AC2" s="708"/>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0"/>
      <c r="M3" s="2931"/>
      <c r="N3" s="2931"/>
      <c r="O3" s="2931"/>
      <c r="P3" s="1298"/>
      <c r="Q3" s="707"/>
      <c r="R3" s="707"/>
      <c r="S3" s="707"/>
      <c r="T3" s="707"/>
      <c r="U3" s="707"/>
      <c r="V3" s="707"/>
      <c r="W3" s="707"/>
      <c r="X3" s="707"/>
      <c r="Y3" s="707"/>
      <c r="Z3" s="707"/>
      <c r="AA3" s="707"/>
      <c r="AB3" s="724"/>
      <c r="AC3" s="721"/>
    </row>
    <row r="4" spans="1:29" ht="15">
      <c r="A4" s="360" t="s">
        <v>2406</v>
      </c>
      <c r="B4" s="361"/>
      <c r="C4" s="3429" t="s">
        <v>2407</v>
      </c>
      <c r="D4" s="3430"/>
      <c r="E4" s="3431" t="s">
        <v>2408</v>
      </c>
      <c r="F4" s="3432"/>
      <c r="G4" s="3429" t="s">
        <v>2409</v>
      </c>
      <c r="H4" s="3430"/>
      <c r="I4" s="3429" t="s">
        <v>2410</v>
      </c>
      <c r="J4" s="3430"/>
      <c r="K4" s="566" t="s">
        <v>2411</v>
      </c>
      <c r="L4" s="2911"/>
      <c r="M4" s="2912"/>
      <c r="N4" s="2912"/>
      <c r="O4" s="2912"/>
      <c r="P4" s="3433" t="s">
        <v>2412</v>
      </c>
      <c r="Q4" s="3434"/>
      <c r="R4" s="3446" t="s">
        <v>2408</v>
      </c>
      <c r="S4" s="3447"/>
      <c r="T4" s="3446" t="s">
        <v>2409</v>
      </c>
      <c r="U4" s="3447"/>
      <c r="V4" s="3421" t="s">
        <v>2410</v>
      </c>
      <c r="W4" s="3421"/>
      <c r="X4" s="1508"/>
      <c r="Y4" s="3446" t="s">
        <v>2412</v>
      </c>
      <c r="Z4" s="3447"/>
      <c r="AA4" s="3426" t="s">
        <v>2408</v>
      </c>
      <c r="AB4" s="3427" t="s">
        <v>2409</v>
      </c>
      <c r="AC4" s="3426" t="s">
        <v>2410</v>
      </c>
    </row>
    <row r="5" spans="1:29" ht="15">
      <c r="A5" s="363"/>
      <c r="B5" s="364"/>
      <c r="C5" s="3450" t="s">
        <v>2303</v>
      </c>
      <c r="D5" s="3451"/>
      <c r="E5" s="3439" t="s">
        <v>2304</v>
      </c>
      <c r="F5" s="3440"/>
      <c r="G5" s="3450" t="s">
        <v>2305</v>
      </c>
      <c r="H5" s="3451"/>
      <c r="I5" s="3450" t="s">
        <v>2306</v>
      </c>
      <c r="J5" s="3451"/>
      <c r="K5" s="566"/>
      <c r="L5" s="2911"/>
      <c r="M5" s="2912"/>
      <c r="N5" s="2912"/>
      <c r="O5" s="2912"/>
      <c r="P5" s="3435"/>
      <c r="Q5" s="3436"/>
      <c r="R5" s="3448"/>
      <c r="S5" s="3449"/>
      <c r="T5" s="3448"/>
      <c r="U5" s="3449"/>
      <c r="V5" s="3421"/>
      <c r="W5" s="3421"/>
      <c r="X5" s="1508"/>
      <c r="Y5" s="3448"/>
      <c r="Z5" s="3449"/>
      <c r="AA5" s="3427"/>
      <c r="AB5" s="3427"/>
      <c r="AC5" s="3427"/>
    </row>
    <row r="6" spans="1:29" ht="15.75" thickBot="1">
      <c r="A6" s="365"/>
      <c r="B6" s="366"/>
      <c r="C6" s="3485" t="s">
        <v>2307</v>
      </c>
      <c r="D6" s="3486"/>
      <c r="E6" s="3487" t="s">
        <v>2307</v>
      </c>
      <c r="F6" s="3488"/>
      <c r="G6" s="3485" t="s">
        <v>2307</v>
      </c>
      <c r="H6" s="3486"/>
      <c r="I6" s="3485" t="s">
        <v>2307</v>
      </c>
      <c r="J6" s="3486"/>
      <c r="K6" s="566" t="s">
        <v>2308</v>
      </c>
      <c r="L6" s="2911"/>
      <c r="M6" s="2912"/>
      <c r="N6" s="2912"/>
      <c r="O6" s="2912"/>
      <c r="P6" s="3437"/>
      <c r="Q6" s="3438"/>
      <c r="R6" s="3448"/>
      <c r="S6" s="3449"/>
      <c r="T6" s="3457"/>
      <c r="U6" s="3458"/>
      <c r="V6" s="3421"/>
      <c r="W6" s="3421"/>
      <c r="X6" s="1508"/>
      <c r="Y6" s="3457"/>
      <c r="Z6" s="3458"/>
      <c r="AA6" s="3428"/>
      <c r="AB6" s="3428"/>
      <c r="AC6" s="3428"/>
    </row>
    <row r="7" spans="1:29" s="112" customFormat="1" ht="15.75" thickBot="1">
      <c r="A7" s="367" t="s">
        <v>2309</v>
      </c>
      <c r="B7" s="368"/>
      <c r="C7" s="369">
        <f>'数据-取费表'!B2</f>
        <v>44582</v>
      </c>
      <c r="D7" s="370">
        <v>100</v>
      </c>
      <c r="E7" s="371"/>
      <c r="F7" s="372">
        <f>SUMIF(48:48,YEAR(E7)&amp;"-"&amp;MONTH(E7),49:49)</f>
        <v>0</v>
      </c>
      <c r="G7" s="371"/>
      <c r="H7" s="370">
        <f>SUMIF(48:48,YEAR(G7)&amp;"-"&amp;MONTH(G7),49:49)</f>
        <v>0</v>
      </c>
      <c r="I7" s="371"/>
      <c r="J7" s="370">
        <f>SUMIF(48:48,YEAR(I7)&amp;"-"&amp;MONTH(I7),49:49)</f>
        <v>0</v>
      </c>
      <c r="K7" s="567"/>
      <c r="L7" s="2913"/>
      <c r="M7" s="2914"/>
      <c r="N7" s="2914"/>
      <c r="O7" s="2914"/>
      <c r="P7" s="3441" t="s">
        <v>2310</v>
      </c>
      <c r="Q7" s="3454"/>
      <c r="R7" s="709" t="s">
        <v>17</v>
      </c>
      <c r="S7" s="710">
        <f t="shared" ref="S7:S14" si="0">F7</f>
        <v>0</v>
      </c>
      <c r="T7" s="709" t="s">
        <v>17</v>
      </c>
      <c r="U7" s="710">
        <f t="shared" ref="U7:U14" si="1">H7</f>
        <v>0</v>
      </c>
      <c r="V7" s="709" t="s">
        <v>17</v>
      </c>
      <c r="W7" s="710">
        <f t="shared" ref="W7:W14" si="2">J7</f>
        <v>0</v>
      </c>
      <c r="X7" s="711"/>
      <c r="Y7" s="3441" t="s">
        <v>2310</v>
      </c>
      <c r="Z7" s="3442"/>
      <c r="AA7" s="712" t="e">
        <f>D7/F7</f>
        <v>#DIV/0!</v>
      </c>
      <c r="AB7" s="712" t="e">
        <f>D7/H7</f>
        <v>#DIV/0!</v>
      </c>
      <c r="AC7" s="712" t="e">
        <f>D7/J7</f>
        <v>#DIV/0!</v>
      </c>
    </row>
    <row r="8" spans="1:29" s="112"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3"/>
      <c r="M8" s="2914"/>
      <c r="N8" s="2914"/>
      <c r="O8" s="2914"/>
      <c r="P8" s="3441" t="s">
        <v>2313</v>
      </c>
      <c r="Q8" s="3442"/>
      <c r="R8" s="709" t="s">
        <v>17</v>
      </c>
      <c r="S8" s="710">
        <f t="shared" si="0"/>
        <v>0</v>
      </c>
      <c r="T8" s="709" t="s">
        <v>17</v>
      </c>
      <c r="U8" s="710">
        <f t="shared" si="1"/>
        <v>0</v>
      </c>
      <c r="V8" s="709" t="s">
        <v>17</v>
      </c>
      <c r="W8" s="710">
        <f t="shared" si="2"/>
        <v>0</v>
      </c>
      <c r="X8" s="711"/>
      <c r="Y8" s="3441" t="s">
        <v>2313</v>
      </c>
      <c r="Z8" s="3442"/>
      <c r="AA8" s="712" t="e">
        <f t="shared" ref="AA8:AA36" si="3">D8/F8</f>
        <v>#DIV/0!</v>
      </c>
      <c r="AB8" s="712" t="e">
        <f t="shared" ref="AB8:AB36" si="4">D8/H8</f>
        <v>#DIV/0!</v>
      </c>
      <c r="AC8" s="712" t="e">
        <f t="shared" ref="AC8:AC36" si="5">D8/J8</f>
        <v>#DIV/0!</v>
      </c>
    </row>
    <row r="9" spans="1:29" s="112" customFormat="1">
      <c r="A9" s="63"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3"/>
      <c r="M9" s="2914"/>
      <c r="N9" s="2914"/>
      <c r="O9" s="2914"/>
      <c r="P9" s="3419" t="s">
        <v>2316</v>
      </c>
      <c r="Q9" s="1496" t="str">
        <f t="shared" ref="Q9:Q14" si="6">B9</f>
        <v>用途</v>
      </c>
      <c r="R9" s="709" t="s">
        <v>17</v>
      </c>
      <c r="S9" s="710">
        <f t="shared" si="0"/>
        <v>100</v>
      </c>
      <c r="T9" s="709" t="s">
        <v>17</v>
      </c>
      <c r="U9" s="710">
        <f t="shared" si="1"/>
        <v>100</v>
      </c>
      <c r="V9" s="709" t="s">
        <v>17</v>
      </c>
      <c r="W9" s="710">
        <f t="shared" si="2"/>
        <v>100</v>
      </c>
      <c r="X9" s="711"/>
      <c r="Y9" s="3389" t="s">
        <v>2317</v>
      </c>
      <c r="Z9" s="54" t="str">
        <f t="shared" ref="Z9:Z14" si="7">Q9</f>
        <v>用途</v>
      </c>
      <c r="AA9" s="712">
        <f t="shared" si="3"/>
        <v>1</v>
      </c>
      <c r="AB9" s="712">
        <f t="shared" si="4"/>
        <v>1</v>
      </c>
      <c r="AC9" s="712">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5"/>
      <c r="M10" s="2916"/>
      <c r="N10" s="2916"/>
      <c r="O10" s="2916"/>
      <c r="P10" s="3419"/>
      <c r="Q10" s="1496" t="str">
        <f t="shared" si="6"/>
        <v>土地使用年限（年）</v>
      </c>
      <c r="R10" s="709" t="s">
        <v>17</v>
      </c>
      <c r="S10" s="710">
        <f t="shared" si="0"/>
        <v>100</v>
      </c>
      <c r="T10" s="709" t="s">
        <v>17</v>
      </c>
      <c r="U10" s="710">
        <f t="shared" si="1"/>
        <v>100</v>
      </c>
      <c r="V10" s="709" t="s">
        <v>17</v>
      </c>
      <c r="W10" s="710">
        <f t="shared" si="2"/>
        <v>100</v>
      </c>
      <c r="X10" s="711"/>
      <c r="Y10" s="3389"/>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7"/>
      <c r="M11" s="2912"/>
      <c r="N11" s="2912"/>
      <c r="O11" s="2912"/>
      <c r="P11" s="3419"/>
      <c r="Q11" s="1496">
        <f t="shared" si="6"/>
        <v>111</v>
      </c>
      <c r="R11" s="709" t="s">
        <v>17</v>
      </c>
      <c r="S11" s="710">
        <f t="shared" si="0"/>
        <v>100</v>
      </c>
      <c r="T11" s="709" t="s">
        <v>17</v>
      </c>
      <c r="U11" s="710">
        <f t="shared" si="1"/>
        <v>100</v>
      </c>
      <c r="V11" s="709" t="s">
        <v>17</v>
      </c>
      <c r="W11" s="710">
        <f t="shared" si="2"/>
        <v>100</v>
      </c>
      <c r="X11" s="711"/>
      <c r="Y11" s="3389"/>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3"/>
      <c r="M12" s="2914"/>
      <c r="N12" s="2914"/>
      <c r="O12" s="2914"/>
      <c r="P12" s="3419"/>
      <c r="Q12" s="1496">
        <f t="shared" si="6"/>
        <v>111</v>
      </c>
      <c r="R12" s="709" t="s">
        <v>17</v>
      </c>
      <c r="S12" s="710">
        <f t="shared" si="0"/>
        <v>100</v>
      </c>
      <c r="T12" s="709" t="s">
        <v>17</v>
      </c>
      <c r="U12" s="710">
        <f t="shared" si="1"/>
        <v>100</v>
      </c>
      <c r="V12" s="709" t="s">
        <v>17</v>
      </c>
      <c r="W12" s="710">
        <f t="shared" si="2"/>
        <v>100</v>
      </c>
      <c r="X12" s="711"/>
      <c r="Y12" s="3389"/>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8"/>
      <c r="M13" s="2912"/>
      <c r="N13" s="2912"/>
      <c r="O13" s="2912"/>
      <c r="P13" s="3419"/>
      <c r="Q13" s="1496">
        <f t="shared" si="6"/>
        <v>111</v>
      </c>
      <c r="R13" s="709" t="s">
        <v>17</v>
      </c>
      <c r="S13" s="710">
        <f t="shared" si="0"/>
        <v>100</v>
      </c>
      <c r="T13" s="709" t="s">
        <v>17</v>
      </c>
      <c r="U13" s="710">
        <f t="shared" si="1"/>
        <v>100</v>
      </c>
      <c r="V13" s="709" t="s">
        <v>17</v>
      </c>
      <c r="W13" s="710">
        <f t="shared" si="2"/>
        <v>100</v>
      </c>
      <c r="X13" s="711"/>
      <c r="Y13" s="3389"/>
      <c r="Z13" s="54">
        <f t="shared" si="7"/>
        <v>111</v>
      </c>
      <c r="AA13" s="712">
        <f t="shared" si="3"/>
        <v>1</v>
      </c>
      <c r="AB13" s="712">
        <f t="shared" si="4"/>
        <v>1</v>
      </c>
      <c r="AC13" s="712">
        <f t="shared" si="5"/>
        <v>1</v>
      </c>
    </row>
    <row r="14" spans="1:29" ht="15">
      <c r="A14" s="360" t="s">
        <v>2320</v>
      </c>
      <c r="B14" s="584" t="s">
        <v>2470</v>
      </c>
      <c r="C14" s="2126">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18"/>
      <c r="M14" s="2912"/>
      <c r="N14" s="2912"/>
      <c r="O14" s="2912"/>
      <c r="P14" s="3422" t="s">
        <v>2321</v>
      </c>
      <c r="Q14" s="1505" t="str">
        <f t="shared" si="6"/>
        <v>交通便捷度</v>
      </c>
      <c r="R14" s="713" t="s">
        <v>17</v>
      </c>
      <c r="S14" s="714">
        <f t="shared" si="0"/>
        <v>100</v>
      </c>
      <c r="T14" s="713" t="s">
        <v>17</v>
      </c>
      <c r="U14" s="714">
        <f t="shared" si="1"/>
        <v>100</v>
      </c>
      <c r="V14" s="713" t="s">
        <v>17</v>
      </c>
      <c r="W14" s="714">
        <f t="shared" si="2"/>
        <v>100</v>
      </c>
      <c r="X14" s="1508"/>
      <c r="Y14" s="3422" t="s">
        <v>2321</v>
      </c>
      <c r="Z14" s="1509" t="str">
        <f t="shared" si="7"/>
        <v>交通便捷度</v>
      </c>
      <c r="AA14" s="1506">
        <f t="shared" si="3"/>
        <v>1</v>
      </c>
      <c r="AB14" s="1506">
        <f t="shared" si="4"/>
        <v>1</v>
      </c>
      <c r="AC14" s="1506">
        <f t="shared" si="5"/>
        <v>1</v>
      </c>
    </row>
    <row r="15" spans="1:29" ht="15">
      <c r="A15" s="363"/>
      <c r="B15" s="602"/>
      <c r="C15" s="405"/>
      <c r="D15" s="406"/>
      <c r="E15" s="405"/>
      <c r="F15" s="407"/>
      <c r="G15" s="405"/>
      <c r="H15" s="408"/>
      <c r="I15" s="405"/>
      <c r="J15" s="406"/>
      <c r="K15" s="571"/>
      <c r="L15" s="2918"/>
      <c r="M15" s="2912"/>
      <c r="N15" s="2912"/>
      <c r="O15" s="2912"/>
      <c r="P15" s="3423"/>
      <c r="Q15" s="1505"/>
      <c r="R15" s="713"/>
      <c r="S15" s="714"/>
      <c r="T15" s="713"/>
      <c r="U15" s="714"/>
      <c r="V15" s="713"/>
      <c r="W15" s="714"/>
      <c r="X15" s="1508"/>
      <c r="Y15" s="3423"/>
      <c r="Z15" s="1509"/>
      <c r="AA15" s="1506">
        <v>1</v>
      </c>
      <c r="AB15" s="1506">
        <v>1</v>
      </c>
      <c r="AC15" s="1506">
        <v>1</v>
      </c>
    </row>
    <row r="16" spans="1:29" ht="15">
      <c r="A16" s="363"/>
      <c r="B16" s="586" t="s">
        <v>2449</v>
      </c>
      <c r="C16" s="2055">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18"/>
      <c r="M16" s="2912"/>
      <c r="N16" s="2912"/>
      <c r="O16" s="2912"/>
      <c r="P16" s="3423"/>
      <c r="Q16" s="1505" t="str">
        <f>B16</f>
        <v>公共配套设施</v>
      </c>
      <c r="R16" s="713" t="s">
        <v>17</v>
      </c>
      <c r="S16" s="714">
        <f>F16</f>
        <v>100</v>
      </c>
      <c r="T16" s="713" t="s">
        <v>17</v>
      </c>
      <c r="U16" s="714">
        <f>H16</f>
        <v>100</v>
      </c>
      <c r="V16" s="713" t="s">
        <v>17</v>
      </c>
      <c r="W16" s="714">
        <f>J16</f>
        <v>100</v>
      </c>
      <c r="X16" s="1508"/>
      <c r="Y16" s="3423"/>
      <c r="Z16" s="1509" t="str">
        <f>Q16</f>
        <v>公共配套设施</v>
      </c>
      <c r="AA16" s="1506">
        <f t="shared" si="3"/>
        <v>1</v>
      </c>
      <c r="AB16" s="1506">
        <f t="shared" si="4"/>
        <v>1</v>
      </c>
      <c r="AC16" s="1506">
        <f t="shared" si="5"/>
        <v>1</v>
      </c>
    </row>
    <row r="17" spans="1:29" ht="15">
      <c r="A17" s="363"/>
      <c r="B17" s="587"/>
      <c r="C17" s="2056"/>
      <c r="D17" s="406"/>
      <c r="E17" s="405"/>
      <c r="F17" s="407"/>
      <c r="G17" s="405"/>
      <c r="H17" s="406"/>
      <c r="I17" s="405"/>
      <c r="J17" s="406"/>
      <c r="K17" s="571"/>
      <c r="L17" s="2918"/>
      <c r="M17" s="2912"/>
      <c r="N17" s="2912"/>
      <c r="O17" s="2912"/>
      <c r="P17" s="3423"/>
      <c r="Q17" s="1505"/>
      <c r="R17" s="713"/>
      <c r="S17" s="714"/>
      <c r="T17" s="713"/>
      <c r="U17" s="714"/>
      <c r="V17" s="713"/>
      <c r="W17" s="714"/>
      <c r="X17" s="1508"/>
      <c r="Y17" s="3423"/>
      <c r="Z17" s="1509"/>
      <c r="AA17" s="1506">
        <v>1</v>
      </c>
      <c r="AB17" s="1506">
        <v>1</v>
      </c>
      <c r="AC17" s="1506">
        <v>1</v>
      </c>
    </row>
    <row r="18" spans="1:29" ht="15">
      <c r="A18" s="363"/>
      <c r="B18" s="588" t="s">
        <v>2450</v>
      </c>
      <c r="C18" s="2055">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18"/>
      <c r="M18" s="2912"/>
      <c r="N18" s="2912"/>
      <c r="O18" s="2912"/>
      <c r="P18" s="3423"/>
      <c r="Q18" s="1505" t="str">
        <f>B18</f>
        <v>基础设施水平</v>
      </c>
      <c r="R18" s="713" t="s">
        <v>17</v>
      </c>
      <c r="S18" s="714">
        <f>F18</f>
        <v>100</v>
      </c>
      <c r="T18" s="713" t="s">
        <v>17</v>
      </c>
      <c r="U18" s="714">
        <f>H18</f>
        <v>100</v>
      </c>
      <c r="V18" s="713" t="s">
        <v>17</v>
      </c>
      <c r="W18" s="714">
        <f>J18</f>
        <v>100</v>
      </c>
      <c r="X18" s="1508"/>
      <c r="Y18" s="3423"/>
      <c r="Z18" s="1509" t="str">
        <f>Q18</f>
        <v>基础设施水平</v>
      </c>
      <c r="AA18" s="1506">
        <f t="shared" ref="AA18" si="8">D18/F18</f>
        <v>1</v>
      </c>
      <c r="AB18" s="1506">
        <f t="shared" ref="AB18" si="9">D18/H18</f>
        <v>1</v>
      </c>
      <c r="AC18" s="1506">
        <f t="shared" ref="AC18" si="10">D18/J18</f>
        <v>1</v>
      </c>
    </row>
    <row r="19" spans="1:29" ht="15">
      <c r="A19" s="363"/>
      <c r="B19" s="588"/>
      <c r="C19" s="2056"/>
      <c r="D19" s="408"/>
      <c r="E19" s="2056"/>
      <c r="F19" s="411"/>
      <c r="G19" s="2056"/>
      <c r="H19" s="406"/>
      <c r="I19" s="405"/>
      <c r="J19" s="406"/>
      <c r="K19" s="1263"/>
      <c r="L19" s="2918"/>
      <c r="M19" s="2912"/>
      <c r="N19" s="2912"/>
      <c r="O19" s="2912"/>
      <c r="P19" s="3423"/>
      <c r="Q19" s="1505"/>
      <c r="R19" s="713"/>
      <c r="S19" s="714"/>
      <c r="T19" s="713"/>
      <c r="U19" s="714"/>
      <c r="V19" s="713"/>
      <c r="W19" s="714"/>
      <c r="X19" s="1508"/>
      <c r="Y19" s="3423"/>
      <c r="Z19" s="1509"/>
      <c r="AA19" s="1506">
        <v>1</v>
      </c>
      <c r="AB19" s="1506">
        <v>1</v>
      </c>
      <c r="AC19" s="1506">
        <v>1</v>
      </c>
    </row>
    <row r="20" spans="1:29" ht="15">
      <c r="A20" s="363"/>
      <c r="B20" s="586" t="s">
        <v>2471</v>
      </c>
      <c r="C20" s="2055">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18"/>
      <c r="M20" s="2912"/>
      <c r="N20" s="2912"/>
      <c r="O20" s="2912"/>
      <c r="P20" s="3423"/>
      <c r="Q20" s="1505" t="str">
        <f>B20</f>
        <v>自然及人文环境</v>
      </c>
      <c r="R20" s="713" t="s">
        <v>17</v>
      </c>
      <c r="S20" s="714">
        <f>F20</f>
        <v>100</v>
      </c>
      <c r="T20" s="713" t="s">
        <v>17</v>
      </c>
      <c r="U20" s="714">
        <f>H20</f>
        <v>100</v>
      </c>
      <c r="V20" s="713" t="s">
        <v>17</v>
      </c>
      <c r="W20" s="714">
        <f>J20</f>
        <v>100</v>
      </c>
      <c r="X20" s="1508"/>
      <c r="Y20" s="3423"/>
      <c r="Z20" s="1509" t="str">
        <f>Q20</f>
        <v>自然及人文环境</v>
      </c>
      <c r="AA20" s="1506">
        <f t="shared" si="3"/>
        <v>1</v>
      </c>
      <c r="AB20" s="1506">
        <f t="shared" si="4"/>
        <v>1</v>
      </c>
      <c r="AC20" s="1506">
        <f t="shared" si="5"/>
        <v>1</v>
      </c>
    </row>
    <row r="21" spans="1:29" ht="15">
      <c r="A21" s="363"/>
      <c r="B21" s="587"/>
      <c r="C21" s="405"/>
      <c r="D21" s="406"/>
      <c r="E21" s="405"/>
      <c r="F21" s="407"/>
      <c r="G21" s="405"/>
      <c r="H21" s="406"/>
      <c r="I21" s="405"/>
      <c r="J21" s="406"/>
      <c r="K21" s="571"/>
      <c r="L21" s="2918"/>
      <c r="M21" s="2912"/>
      <c r="N21" s="2912"/>
      <c r="O21" s="2912"/>
      <c r="P21" s="3423"/>
      <c r="Q21" s="1505"/>
      <c r="R21" s="713"/>
      <c r="S21" s="714"/>
      <c r="T21" s="713"/>
      <c r="U21" s="714"/>
      <c r="V21" s="713"/>
      <c r="W21" s="714"/>
      <c r="X21" s="1508"/>
      <c r="Y21" s="3423"/>
      <c r="Z21" s="1509"/>
      <c r="AA21" s="1506">
        <v>1</v>
      </c>
      <c r="AB21" s="1506">
        <v>1</v>
      </c>
      <c r="AC21" s="1506">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8"/>
      <c r="M22" s="2912"/>
      <c r="N22" s="2912"/>
      <c r="O22" s="2912"/>
      <c r="P22" s="3423"/>
      <c r="Q22" s="1505" t="str">
        <f>B22</f>
        <v>楼层</v>
      </c>
      <c r="R22" s="713" t="s">
        <v>17</v>
      </c>
      <c r="S22" s="714">
        <f>F22</f>
        <v>100</v>
      </c>
      <c r="T22" s="713" t="s">
        <v>17</v>
      </c>
      <c r="U22" s="714">
        <f>H22</f>
        <v>100</v>
      </c>
      <c r="V22" s="713" t="s">
        <v>17</v>
      </c>
      <c r="W22" s="714">
        <f>J22</f>
        <v>100</v>
      </c>
      <c r="X22" s="1508"/>
      <c r="Y22" s="3423"/>
      <c r="Z22" s="1509" t="str">
        <f>Q22</f>
        <v>楼层</v>
      </c>
      <c r="AA22" s="1506">
        <f t="shared" si="3"/>
        <v>1</v>
      </c>
      <c r="AB22" s="1506">
        <f t="shared" si="4"/>
        <v>1</v>
      </c>
      <c r="AC22" s="150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423"/>
      <c r="Q23" s="1505">
        <f>B23</f>
        <v>111</v>
      </c>
      <c r="R23" s="713" t="s">
        <v>17</v>
      </c>
      <c r="S23" s="714">
        <f>F23</f>
        <v>100</v>
      </c>
      <c r="T23" s="713" t="s">
        <v>17</v>
      </c>
      <c r="U23" s="714">
        <f>H23</f>
        <v>100</v>
      </c>
      <c r="V23" s="713" t="s">
        <v>17</v>
      </c>
      <c r="W23" s="714">
        <f>J23</f>
        <v>100</v>
      </c>
      <c r="X23" s="1508"/>
      <c r="Y23" s="3423"/>
      <c r="Z23" s="1509">
        <f>Q23</f>
        <v>111</v>
      </c>
      <c r="AA23" s="1506">
        <f t="shared" si="3"/>
        <v>1</v>
      </c>
      <c r="AB23" s="1506">
        <f t="shared" si="4"/>
        <v>1</v>
      </c>
      <c r="AC23" s="150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423"/>
      <c r="Q24" s="1505">
        <f t="shared" ref="Q24:Q36" si="11">B24</f>
        <v>111</v>
      </c>
      <c r="R24" s="713" t="s">
        <v>17</v>
      </c>
      <c r="S24" s="714">
        <f>F24</f>
        <v>100</v>
      </c>
      <c r="T24" s="713" t="s">
        <v>17</v>
      </c>
      <c r="U24" s="714">
        <f>H24</f>
        <v>100</v>
      </c>
      <c r="V24" s="713" t="s">
        <v>17</v>
      </c>
      <c r="W24" s="714">
        <f>J24</f>
        <v>100</v>
      </c>
      <c r="X24" s="1508"/>
      <c r="Y24" s="3423"/>
      <c r="Z24" s="1509">
        <f>Q24</f>
        <v>111</v>
      </c>
      <c r="AA24" s="1506">
        <f t="shared" si="3"/>
        <v>1</v>
      </c>
      <c r="AB24" s="1506">
        <f t="shared" si="4"/>
        <v>1</v>
      </c>
      <c r="AC24" s="150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423"/>
      <c r="Q25" s="1496">
        <f t="shared" si="11"/>
        <v>111</v>
      </c>
      <c r="R25" s="709" t="s">
        <v>17</v>
      </c>
      <c r="S25" s="710">
        <f>F25</f>
        <v>100</v>
      </c>
      <c r="T25" s="709" t="s">
        <v>17</v>
      </c>
      <c r="U25" s="710">
        <f>H25</f>
        <v>100</v>
      </c>
      <c r="V25" s="709" t="s">
        <v>17</v>
      </c>
      <c r="W25" s="710">
        <f>J25</f>
        <v>100</v>
      </c>
      <c r="X25" s="711"/>
      <c r="Y25" s="3423"/>
      <c r="Z25" s="54">
        <f>Q25</f>
        <v>111</v>
      </c>
      <c r="AA25" s="1506">
        <f>D25/F25</f>
        <v>1</v>
      </c>
      <c r="AB25" s="1506">
        <f>D25/H25</f>
        <v>1</v>
      </c>
      <c r="AC25" s="1506">
        <f>D25/J25</f>
        <v>1</v>
      </c>
    </row>
    <row r="26" spans="1:29" ht="28.5">
      <c r="A26" s="607" t="s">
        <v>2324</v>
      </c>
      <c r="B26" s="65" t="s">
        <v>2473</v>
      </c>
      <c r="C26" s="2127">
        <f>B1</f>
        <v>0</v>
      </c>
      <c r="D26" s="406">
        <v>100</v>
      </c>
      <c r="E26" s="405"/>
      <c r="F26" s="407">
        <f>SUMIF(79:79,E26,80:80)-SUMIF(79:79,C26,80:80)+100</f>
        <v>100</v>
      </c>
      <c r="G26" s="405"/>
      <c r="H26" s="406">
        <f>SUMIF(79:79,G26,80:80)-SUMIF(79:79,C26,80:80)+100</f>
        <v>100</v>
      </c>
      <c r="I26" s="405"/>
      <c r="J26" s="406">
        <f>SUMIF(79:79,I26,80:80)-SUMIF(79:79,C26,80:80)+100</f>
        <v>100</v>
      </c>
      <c r="K26" s="568"/>
      <c r="L26" s="2918"/>
      <c r="M26" s="2912"/>
      <c r="N26" s="2912"/>
      <c r="O26" s="2912"/>
      <c r="P26" s="3424"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425" t="s">
        <v>2326</v>
      </c>
      <c r="Z26" s="1509" t="str">
        <f t="shared" ref="Z26:Z36" si="15">Q26</f>
        <v>配套类型</v>
      </c>
      <c r="AA26" s="1506">
        <f t="shared" si="3"/>
        <v>1</v>
      </c>
      <c r="AB26" s="1506">
        <f t="shared" si="4"/>
        <v>1</v>
      </c>
      <c r="AC26" s="1506">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7"/>
      <c r="M27" s="2919"/>
      <c r="N27" s="2919"/>
      <c r="O27" s="2919"/>
      <c r="P27" s="3425"/>
      <c r="Q27" s="715" t="str">
        <f t="shared" si="11"/>
        <v>项目停车位配比</v>
      </c>
      <c r="R27" s="716" t="s">
        <v>17</v>
      </c>
      <c r="S27" s="717">
        <f t="shared" si="12"/>
        <v>100</v>
      </c>
      <c r="T27" s="716" t="s">
        <v>17</v>
      </c>
      <c r="U27" s="717">
        <f t="shared" si="13"/>
        <v>100</v>
      </c>
      <c r="V27" s="716" t="s">
        <v>17</v>
      </c>
      <c r="W27" s="717">
        <f t="shared" si="14"/>
        <v>100</v>
      </c>
      <c r="X27" s="718"/>
      <c r="Y27" s="3425"/>
      <c r="Z27" s="719" t="str">
        <f t="shared" si="15"/>
        <v>项目停车位配比</v>
      </c>
      <c r="AA27" s="1506">
        <f t="shared" si="3"/>
        <v>1</v>
      </c>
      <c r="AB27" s="1506">
        <f t="shared" si="4"/>
        <v>1</v>
      </c>
      <c r="AC27" s="1506">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8"/>
      <c r="M28" s="2912"/>
      <c r="N28" s="2912"/>
      <c r="O28" s="2912"/>
      <c r="P28" s="3425"/>
      <c r="Q28" s="1505" t="str">
        <f t="shared" si="11"/>
        <v>公共部分装修</v>
      </c>
      <c r="R28" s="713" t="s">
        <v>17</v>
      </c>
      <c r="S28" s="714">
        <f t="shared" si="12"/>
        <v>100</v>
      </c>
      <c r="T28" s="713" t="s">
        <v>17</v>
      </c>
      <c r="U28" s="714">
        <f t="shared" si="13"/>
        <v>100</v>
      </c>
      <c r="V28" s="713" t="s">
        <v>17</v>
      </c>
      <c r="W28" s="714">
        <f t="shared" si="14"/>
        <v>100</v>
      </c>
      <c r="X28" s="1508"/>
      <c r="Y28" s="3425"/>
      <c r="Z28" s="1509" t="str">
        <f t="shared" si="15"/>
        <v>公共部分装修</v>
      </c>
      <c r="AA28" s="1506">
        <f t="shared" si="3"/>
        <v>1</v>
      </c>
      <c r="AB28" s="1506">
        <f t="shared" si="4"/>
        <v>1</v>
      </c>
      <c r="AC28" s="1506">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8"/>
      <c r="M29" s="2912"/>
      <c r="N29" s="2912"/>
      <c r="O29" s="2912"/>
      <c r="P29" s="3425"/>
      <c r="Q29" s="1505" t="str">
        <f t="shared" si="11"/>
        <v>成新率</v>
      </c>
      <c r="R29" s="713" t="s">
        <v>17</v>
      </c>
      <c r="S29" s="714" t="e">
        <f t="shared" si="12"/>
        <v>#N/A</v>
      </c>
      <c r="T29" s="713" t="s">
        <v>17</v>
      </c>
      <c r="U29" s="714" t="e">
        <f t="shared" si="13"/>
        <v>#N/A</v>
      </c>
      <c r="V29" s="713" t="s">
        <v>17</v>
      </c>
      <c r="W29" s="714" t="e">
        <f t="shared" si="14"/>
        <v>#N/A</v>
      </c>
      <c r="X29" s="1508"/>
      <c r="Y29" s="3425"/>
      <c r="Z29" s="1509" t="str">
        <f t="shared" si="15"/>
        <v>成新率</v>
      </c>
      <c r="AA29" s="1506" t="e">
        <f t="shared" si="3"/>
        <v>#N/A</v>
      </c>
      <c r="AB29" s="1506" t="e">
        <f t="shared" si="4"/>
        <v>#N/A</v>
      </c>
      <c r="AC29" s="1506"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8"/>
      <c r="M30" s="2912"/>
      <c r="N30" s="2912"/>
      <c r="O30" s="2912"/>
      <c r="P30" s="3425"/>
      <c r="Q30" s="1505" t="str">
        <f t="shared" si="11"/>
        <v>物业等级</v>
      </c>
      <c r="R30" s="713" t="s">
        <v>17</v>
      </c>
      <c r="S30" s="714">
        <f t="shared" si="12"/>
        <v>100</v>
      </c>
      <c r="T30" s="713" t="s">
        <v>17</v>
      </c>
      <c r="U30" s="714">
        <f t="shared" si="13"/>
        <v>100</v>
      </c>
      <c r="V30" s="713" t="s">
        <v>17</v>
      </c>
      <c r="W30" s="714">
        <f t="shared" si="14"/>
        <v>100</v>
      </c>
      <c r="X30" s="1508"/>
      <c r="Y30" s="3425"/>
      <c r="Z30" s="1509" t="str">
        <f t="shared" si="15"/>
        <v>物业等级</v>
      </c>
      <c r="AA30" s="1506">
        <f t="shared" si="3"/>
        <v>1</v>
      </c>
      <c r="AB30" s="1506">
        <f t="shared" si="4"/>
        <v>1</v>
      </c>
      <c r="AC30" s="1506">
        <f t="shared" si="5"/>
        <v>1</v>
      </c>
    </row>
    <row r="31" spans="1:29" s="112"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3"/>
      <c r="M31" s="2914"/>
      <c r="N31" s="2914"/>
      <c r="O31" s="2914"/>
      <c r="P31" s="3425"/>
      <c r="Q31" s="1496" t="str">
        <f t="shared" si="11"/>
        <v>停车位面积</v>
      </c>
      <c r="R31" s="709" t="s">
        <v>17</v>
      </c>
      <c r="S31" s="710" t="e">
        <f t="shared" si="12"/>
        <v>#N/A</v>
      </c>
      <c r="T31" s="709" t="s">
        <v>17</v>
      </c>
      <c r="U31" s="710" t="e">
        <f t="shared" si="13"/>
        <v>#N/A</v>
      </c>
      <c r="V31" s="709" t="s">
        <v>17</v>
      </c>
      <c r="W31" s="710" t="e">
        <f t="shared" si="14"/>
        <v>#N/A</v>
      </c>
      <c r="X31" s="711"/>
      <c r="Y31" s="3425"/>
      <c r="Z31" s="54" t="str">
        <f t="shared" si="15"/>
        <v>停车位面积</v>
      </c>
      <c r="AA31" s="712" t="e">
        <f t="shared" si="3"/>
        <v>#N/A</v>
      </c>
      <c r="AB31" s="712" t="e">
        <f t="shared" si="4"/>
        <v>#N/A</v>
      </c>
      <c r="AC31" s="712"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8"/>
      <c r="M32" s="2912"/>
      <c r="N32" s="2912"/>
      <c r="O32" s="2912"/>
      <c r="P32" s="3425" t="s">
        <v>2326</v>
      </c>
      <c r="Q32" s="1505" t="str">
        <f t="shared" si="11"/>
        <v>车位类型</v>
      </c>
      <c r="R32" s="713" t="s">
        <v>17</v>
      </c>
      <c r="S32" s="714">
        <f t="shared" si="12"/>
        <v>100</v>
      </c>
      <c r="T32" s="713" t="s">
        <v>17</v>
      </c>
      <c r="U32" s="714">
        <f t="shared" si="13"/>
        <v>100</v>
      </c>
      <c r="V32" s="713" t="s">
        <v>17</v>
      </c>
      <c r="W32" s="714">
        <f t="shared" si="14"/>
        <v>100</v>
      </c>
      <c r="X32" s="1508"/>
      <c r="Y32" s="3425" t="s">
        <v>2326</v>
      </c>
      <c r="Z32" s="1509" t="str">
        <f t="shared" si="15"/>
        <v>车位类型</v>
      </c>
      <c r="AA32" s="1506">
        <f t="shared" si="3"/>
        <v>1</v>
      </c>
      <c r="AB32" s="1506">
        <f t="shared" si="4"/>
        <v>1</v>
      </c>
      <c r="AC32" s="1506">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425"/>
      <c r="Q33" s="1505" t="str">
        <f t="shared" si="11"/>
        <v>是否直接入户</v>
      </c>
      <c r="R33" s="713" t="s">
        <v>17</v>
      </c>
      <c r="S33" s="714">
        <f t="shared" si="12"/>
        <v>100</v>
      </c>
      <c r="T33" s="713" t="s">
        <v>17</v>
      </c>
      <c r="U33" s="714">
        <f t="shared" si="13"/>
        <v>100</v>
      </c>
      <c r="V33" s="713" t="s">
        <v>17</v>
      </c>
      <c r="W33" s="714">
        <f t="shared" si="14"/>
        <v>100</v>
      </c>
      <c r="X33" s="1508"/>
      <c r="Y33" s="3425"/>
      <c r="Z33" s="1509" t="str">
        <f t="shared" si="15"/>
        <v>是否直接入户</v>
      </c>
      <c r="AA33" s="1506">
        <f t="shared" si="3"/>
        <v>1</v>
      </c>
      <c r="AB33" s="1506">
        <f t="shared" si="4"/>
        <v>1</v>
      </c>
      <c r="AC33" s="150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8"/>
      <c r="M34" s="2912"/>
      <c r="N34" s="2912"/>
      <c r="O34" s="2912"/>
      <c r="P34" s="3425"/>
      <c r="Q34" s="1505">
        <f t="shared" si="11"/>
        <v>111</v>
      </c>
      <c r="R34" s="713" t="s">
        <v>17</v>
      </c>
      <c r="S34" s="714">
        <f t="shared" si="12"/>
        <v>100</v>
      </c>
      <c r="T34" s="713" t="s">
        <v>17</v>
      </c>
      <c r="U34" s="714">
        <f t="shared" si="13"/>
        <v>100</v>
      </c>
      <c r="V34" s="713" t="s">
        <v>17</v>
      </c>
      <c r="W34" s="714">
        <f t="shared" si="14"/>
        <v>100</v>
      </c>
      <c r="X34" s="1508"/>
      <c r="Y34" s="3425"/>
      <c r="Z34" s="1509">
        <f t="shared" si="15"/>
        <v>111</v>
      </c>
      <c r="AA34" s="1506">
        <f t="shared" si="3"/>
        <v>1</v>
      </c>
      <c r="AB34" s="1506">
        <f t="shared" si="4"/>
        <v>1</v>
      </c>
      <c r="AC34" s="150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425"/>
      <c r="Q35" s="715">
        <f t="shared" si="11"/>
        <v>111</v>
      </c>
      <c r="R35" s="716" t="s">
        <v>17</v>
      </c>
      <c r="S35" s="717">
        <f t="shared" si="12"/>
        <v>100</v>
      </c>
      <c r="T35" s="716" t="s">
        <v>17</v>
      </c>
      <c r="U35" s="717">
        <f t="shared" si="13"/>
        <v>100</v>
      </c>
      <c r="V35" s="716" t="s">
        <v>17</v>
      </c>
      <c r="W35" s="717">
        <f t="shared" si="14"/>
        <v>100</v>
      </c>
      <c r="X35" s="718"/>
      <c r="Y35" s="3425"/>
      <c r="Z35" s="719">
        <f t="shared" si="15"/>
        <v>111</v>
      </c>
      <c r="AA35" s="1506">
        <f t="shared" si="3"/>
        <v>1</v>
      </c>
      <c r="AB35" s="1506">
        <f t="shared" si="4"/>
        <v>1</v>
      </c>
      <c r="AC35" s="150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425"/>
      <c r="Q36" s="1505">
        <f t="shared" si="11"/>
        <v>111</v>
      </c>
      <c r="R36" s="713" t="s">
        <v>17</v>
      </c>
      <c r="S36" s="714">
        <f t="shared" si="12"/>
        <v>100</v>
      </c>
      <c r="T36" s="713" t="s">
        <v>17</v>
      </c>
      <c r="U36" s="714">
        <f t="shared" si="13"/>
        <v>100</v>
      </c>
      <c r="V36" s="713" t="s">
        <v>17</v>
      </c>
      <c r="W36" s="714">
        <f t="shared" si="14"/>
        <v>100</v>
      </c>
      <c r="X36" s="1508"/>
      <c r="Y36" s="3425"/>
      <c r="Z36" s="1509">
        <f t="shared" si="15"/>
        <v>111</v>
      </c>
      <c r="AA36" s="1506">
        <f t="shared" si="3"/>
        <v>1</v>
      </c>
      <c r="AB36" s="1506">
        <f t="shared" si="4"/>
        <v>1</v>
      </c>
      <c r="AC36" s="1506">
        <f t="shared" si="5"/>
        <v>1</v>
      </c>
    </row>
    <row r="37" spans="1:29" ht="15">
      <c r="A37" s="437" t="s">
        <v>2481</v>
      </c>
      <c r="B37" s="2128" t="s">
        <v>2482</v>
      </c>
      <c r="C37" s="1287" t="s">
        <v>1</v>
      </c>
      <c r="D37" s="1288"/>
      <c r="E37" s="1289"/>
      <c r="F37" s="1290"/>
      <c r="G37" s="1291"/>
      <c r="H37" s="1292"/>
      <c r="I37" s="1289"/>
      <c r="J37" s="1292"/>
      <c r="K37" s="575"/>
      <c r="L37" s="2920"/>
      <c r="M37" s="2921"/>
      <c r="N37" s="2912"/>
      <c r="O37" s="2921"/>
      <c r="P37" s="3419" t="str">
        <f>A37</f>
        <v>成交单价</v>
      </c>
      <c r="Q37" s="3419"/>
      <c r="R37" s="3490">
        <f>E37</f>
        <v>0</v>
      </c>
      <c r="S37" s="3490"/>
      <c r="T37" s="3490">
        <f>G37</f>
        <v>0</v>
      </c>
      <c r="U37" s="3490"/>
      <c r="V37" s="3490">
        <f>I37</f>
        <v>0</v>
      </c>
      <c r="W37" s="3490"/>
      <c r="X37" s="698"/>
      <c r="Y37" s="720"/>
      <c r="Z37" s="698"/>
      <c r="AA37" s="698"/>
      <c r="AB37" s="698"/>
      <c r="AC37" s="698"/>
    </row>
    <row r="38" spans="1:29" ht="15.75" thickBot="1">
      <c r="A38" s="444" t="s">
        <v>2483</v>
      </c>
      <c r="B38" s="445" t="str">
        <f>B37</f>
        <v>元/车位</v>
      </c>
      <c r="C38" s="1293" t="e">
        <f>R39</f>
        <v>#DIV/0!</v>
      </c>
      <c r="D38" s="2507" t="s">
        <v>2818</v>
      </c>
      <c r="E38" s="1294" t="e">
        <f>R38</f>
        <v>#DIV/0!</v>
      </c>
      <c r="F38" s="2508"/>
      <c r="G38" s="1293" t="e">
        <f>T38</f>
        <v>#DIV/0!</v>
      </c>
      <c r="H38" s="2508"/>
      <c r="I38" s="1294" t="e">
        <f>V38</f>
        <v>#DIV/0!</v>
      </c>
      <c r="J38" s="2508"/>
      <c r="K38" s="2510">
        <f>F38+H38+J38</f>
        <v>0</v>
      </c>
      <c r="L38" s="2920"/>
      <c r="M38" s="2921"/>
      <c r="N38" s="2921"/>
      <c r="O38" s="2921"/>
      <c r="P38" s="3419" t="str">
        <f>A38</f>
        <v>比较价值（元/平方米）</v>
      </c>
      <c r="Q38" s="341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8"/>
      <c r="Y38" s="698"/>
      <c r="Z38" s="698"/>
      <c r="AA38" s="698"/>
      <c r="AB38" s="698"/>
      <c r="AC38" s="698"/>
    </row>
    <row r="39" spans="1:29" ht="15.75" thickBot="1">
      <c r="A39" s="448" t="s">
        <v>2484</v>
      </c>
      <c r="B39" s="449"/>
      <c r="C39" s="1296" t="e">
        <f>R39</f>
        <v>#DIV/0!</v>
      </c>
      <c r="D39" s="1296"/>
      <c r="E39" s="1296"/>
      <c r="F39" s="1296"/>
      <c r="G39" s="1296"/>
      <c r="H39" s="1296"/>
      <c r="I39" s="1296"/>
      <c r="J39" s="1296"/>
      <c r="K39" s="576"/>
      <c r="L39" s="2920"/>
      <c r="M39" s="2921"/>
      <c r="N39" s="2921"/>
      <c r="O39" s="2921"/>
      <c r="P39" s="3416" t="str">
        <f>A39</f>
        <v>估价对象XX用房的比较价值（楼面单价，元/平方米）</v>
      </c>
      <c r="Q39" s="3417"/>
      <c r="R39" s="3512" t="e">
        <f>IF(F1="售价",ROUND(IF(D38="简单平均",AVERAGE(R38:W38),R38*F38+T38*H38+V38*J38),0),ROUND(IF(D38="简单平均",AVERAGE(R38:V38),R38*F38+T38*H38+V38*J38),1))</f>
        <v>#DIV/0!</v>
      </c>
      <c r="S39" s="3512"/>
      <c r="T39" s="3512"/>
      <c r="U39" s="3512"/>
      <c r="V39" s="3512"/>
      <c r="W39" s="3512"/>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c r="A44" s="2924"/>
      <c r="B44" s="2924"/>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9" t="s">
        <v>2488</v>
      </c>
      <c r="B47" s="1057"/>
      <c r="C47" s="1070"/>
      <c r="D47" s="1070"/>
      <c r="E47" s="1070"/>
      <c r="F47" s="1300"/>
      <c r="G47" s="1300"/>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ht="15">
      <c r="A48" s="461" t="s">
        <v>2489</v>
      </c>
      <c r="B48" s="462"/>
      <c r="C48" s="1317" t="str">
        <f>YEAR(C7)&amp;"-"&amp;MONTH(C7)</f>
        <v>2022-1</v>
      </c>
      <c r="D48" s="1318">
        <f>EDATE(C48,-1)</f>
        <v>44531</v>
      </c>
      <c r="E48" s="1318">
        <f t="shared" ref="E48:O48" si="16">EDATE(D48,-1)</f>
        <v>44501</v>
      </c>
      <c r="F48" s="1318">
        <f t="shared" si="16"/>
        <v>44470</v>
      </c>
      <c r="G48" s="1318">
        <f t="shared" si="16"/>
        <v>44440</v>
      </c>
      <c r="H48" s="1318">
        <f t="shared" si="16"/>
        <v>44409</v>
      </c>
      <c r="I48" s="1318">
        <f t="shared" si="16"/>
        <v>44378</v>
      </c>
      <c r="J48" s="1318">
        <f t="shared" si="16"/>
        <v>44348</v>
      </c>
      <c r="K48" s="1318">
        <f t="shared" si="16"/>
        <v>44317</v>
      </c>
      <c r="L48" s="1318">
        <f t="shared" si="16"/>
        <v>44287</v>
      </c>
      <c r="M48" s="1318">
        <f t="shared" si="16"/>
        <v>44256</v>
      </c>
      <c r="N48" s="1318">
        <f t="shared" si="16"/>
        <v>44228</v>
      </c>
      <c r="O48" s="1318">
        <f t="shared" si="16"/>
        <v>44197</v>
      </c>
      <c r="P48" s="2955"/>
      <c r="Q48" s="2937"/>
      <c r="R48" s="2937"/>
      <c r="S48" s="2937"/>
      <c r="T48" s="2937"/>
      <c r="U48" s="2937"/>
      <c r="V48" s="2937"/>
      <c r="W48" s="2937"/>
      <c r="X48" s="2937"/>
      <c r="Y48" s="2937"/>
      <c r="Z48" s="2937"/>
      <c r="AA48" s="2937"/>
      <c r="AB48" s="2937"/>
      <c r="AC48" s="2937"/>
    </row>
    <row r="49" spans="1:29" s="112" customFormat="1" ht="15">
      <c r="A49" s="465"/>
      <c r="B49" s="466"/>
      <c r="C49" s="1310">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2" customFormat="1" ht="15.75" thickBot="1">
      <c r="A50" s="471" t="s">
        <v>2346</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2" customFormat="1" ht="15">
      <c r="A51" s="477" t="s">
        <v>2311</v>
      </c>
      <c r="B51" s="466"/>
      <c r="C51" s="478" t="s">
        <v>2413</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2" customFormat="1" ht="15.75" thickBot="1">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c r="A53" s="483" t="s">
        <v>2349</v>
      </c>
      <c r="B53" s="484" t="s">
        <v>2315</v>
      </c>
      <c r="C53" s="485">
        <f>C9</f>
        <v>0</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5.75" thickBot="1">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5.75" thickTop="1">
      <c r="A57" s="490"/>
      <c r="B57" s="615">
        <f>B11</f>
        <v>111</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5.75" thickBot="1">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5.75" thickTop="1">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5.75" thickBot="1">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5.75" thickTop="1">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5.75" thickBot="1">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75" thickTop="1">
      <c r="A65" s="490"/>
      <c r="B65" s="494" t="s">
        <v>2364</v>
      </c>
      <c r="C65" s="534" t="s">
        <v>2358</v>
      </c>
      <c r="D65" s="534" t="s">
        <v>2359</v>
      </c>
      <c r="E65" s="534" t="s">
        <v>2360</v>
      </c>
      <c r="F65" s="534" t="s">
        <v>2361</v>
      </c>
      <c r="G65" s="534" t="s">
        <v>2362</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75" thickTop="1">
      <c r="A67" s="490"/>
      <c r="B67" s="502" t="s">
        <v>2450</v>
      </c>
      <c r="C67" s="615" t="s">
        <v>2436</v>
      </c>
      <c r="D67" s="615" t="s">
        <v>2437</v>
      </c>
      <c r="E67" s="615" t="s">
        <v>2438</v>
      </c>
      <c r="F67" s="615" t="s">
        <v>2439</v>
      </c>
      <c r="G67" s="615" t="s">
        <v>2440</v>
      </c>
      <c r="H67" s="495"/>
      <c r="I67" s="495"/>
      <c r="J67" s="495"/>
      <c r="K67" s="495"/>
      <c r="L67" s="495"/>
      <c r="M67" s="1262"/>
      <c r="N67" s="2950"/>
      <c r="O67" s="2950"/>
      <c r="P67" s="2958"/>
      <c r="Q67" s="2935"/>
      <c r="R67" s="2921"/>
      <c r="S67" s="2921"/>
      <c r="T67" s="2921"/>
      <c r="U67" s="2921"/>
      <c r="V67" s="2921"/>
      <c r="W67" s="2921"/>
      <c r="X67" s="2921"/>
      <c r="Y67" s="2921"/>
      <c r="Z67" s="2921"/>
      <c r="AA67" s="2921"/>
      <c r="AB67" s="2921"/>
      <c r="AC67" s="292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75" thickTop="1">
      <c r="A69" s="490"/>
      <c r="B69" s="494" t="s">
        <v>2370</v>
      </c>
      <c r="C69" s="534" t="s">
        <v>2358</v>
      </c>
      <c r="D69" s="534" t="s">
        <v>2359</v>
      </c>
      <c r="E69" s="534" t="s">
        <v>2360</v>
      </c>
      <c r="F69" s="534" t="s">
        <v>2361</v>
      </c>
      <c r="G69" s="534" t="s">
        <v>2362</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75" thickTop="1">
      <c r="A71" s="490"/>
      <c r="B71" s="494" t="s">
        <v>2490</v>
      </c>
      <c r="C71" s="510"/>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2" customFormat="1" ht="15.75" thickTop="1">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2" customFormat="1" ht="15.75" thickBot="1">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2" customFormat="1" ht="15.75" thickTop="1">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2" customFormat="1" ht="15.75" thickBot="1">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5.75" thickTop="1">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5.75" thickBot="1">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7.75" thickTop="1">
      <c r="A79" s="483" t="s">
        <v>2324</v>
      </c>
      <c r="B79" s="484" t="s">
        <v>2491</v>
      </c>
      <c r="C79" s="485">
        <f>C26</f>
        <v>0</v>
      </c>
      <c r="D79" s="486"/>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0"/>
      <c r="B81" s="494" t="s">
        <v>2492</v>
      </c>
      <c r="C81" s="616"/>
      <c r="D81" s="616"/>
      <c r="E81" s="616"/>
      <c r="F81" s="616"/>
      <c r="G81" s="616"/>
      <c r="H81" s="616"/>
      <c r="I81" s="61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5.75" thickBot="1">
      <c r="A82" s="509"/>
      <c r="B82" s="499"/>
      <c r="C82" s="516"/>
      <c r="D82" s="492"/>
      <c r="E82" s="492"/>
      <c r="F82" s="492"/>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c r="A83" s="555"/>
      <c r="B83" s="494" t="s">
        <v>2377</v>
      </c>
      <c r="C83" s="510"/>
      <c r="D83" s="510"/>
      <c r="E83" s="539"/>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5"/>
      <c r="B88" s="502" t="s">
        <v>2494</v>
      </c>
      <c r="C88" s="486"/>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0"/>
      <c r="O89" s="2950"/>
      <c r="P89" s="2958"/>
      <c r="Q89" s="2935"/>
      <c r="R89" s="2921"/>
      <c r="S89" s="2921"/>
      <c r="T89" s="2921"/>
      <c r="U89" s="2921"/>
      <c r="V89" s="2921"/>
      <c r="W89" s="2921"/>
      <c r="X89" s="2921"/>
      <c r="Y89" s="2921"/>
      <c r="Z89" s="2921"/>
      <c r="AA89" s="2921"/>
      <c r="AB89" s="2921"/>
      <c r="AC89" s="2921"/>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c r="A91" s="549"/>
      <c r="B91" s="502"/>
      <c r="C91" s="551"/>
      <c r="D91" s="551"/>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16"/>
      <c r="D92" s="492"/>
      <c r="E92" s="492"/>
      <c r="F92" s="492"/>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c r="A93" s="555"/>
      <c r="B93" s="494" t="s">
        <v>2496</v>
      </c>
      <c r="C93" s="510"/>
      <c r="D93" s="510"/>
      <c r="E93" s="539"/>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5"/>
      <c r="B95" s="494" t="s">
        <v>2497</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5" thickTop="1">
      <c r="A97" s="555"/>
      <c r="B97" s="591">
        <f>B34</f>
        <v>111</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5.75" thickBot="1">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5" thickTop="1">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5.75" thickBot="1">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5" thickTop="1">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2406</v>
      </c>
      <c r="B4" s="361"/>
      <c r="C4" s="3429" t="s">
        <v>2407</v>
      </c>
      <c r="D4" s="3430"/>
      <c r="E4" s="3431" t="s">
        <v>2408</v>
      </c>
      <c r="F4" s="3432"/>
      <c r="G4" s="3429" t="s">
        <v>2409</v>
      </c>
      <c r="H4" s="3430"/>
      <c r="I4" s="3429" t="s">
        <v>2410</v>
      </c>
      <c r="J4" s="3430"/>
      <c r="K4" s="566" t="s">
        <v>2411</v>
      </c>
      <c r="L4" s="2911"/>
      <c r="M4" s="2912"/>
      <c r="N4" s="2912"/>
      <c r="O4" s="2912"/>
      <c r="P4" s="3433" t="s">
        <v>2412</v>
      </c>
      <c r="Q4" s="3434"/>
      <c r="R4" s="3446" t="s">
        <v>2408</v>
      </c>
      <c r="S4" s="3447"/>
      <c r="T4" s="3446" t="s">
        <v>2409</v>
      </c>
      <c r="U4" s="3447"/>
      <c r="V4" s="3421" t="s">
        <v>2410</v>
      </c>
      <c r="W4" s="3421"/>
      <c r="X4" s="1508"/>
      <c r="Y4" s="3446" t="s">
        <v>2412</v>
      </c>
      <c r="Z4" s="3447"/>
      <c r="AA4" s="3426" t="s">
        <v>2408</v>
      </c>
      <c r="AB4" s="3427" t="s">
        <v>2409</v>
      </c>
      <c r="AC4" s="3426" t="s">
        <v>2410</v>
      </c>
    </row>
    <row r="5" spans="1:29" ht="15">
      <c r="A5" s="363"/>
      <c r="B5" s="364"/>
      <c r="C5" s="3450" t="s">
        <v>2303</v>
      </c>
      <c r="D5" s="3451"/>
      <c r="E5" s="3439" t="s">
        <v>2304</v>
      </c>
      <c r="F5" s="3440"/>
      <c r="G5" s="3450" t="s">
        <v>2305</v>
      </c>
      <c r="H5" s="3451"/>
      <c r="I5" s="3450" t="s">
        <v>2306</v>
      </c>
      <c r="J5" s="3451"/>
      <c r="K5" s="566"/>
      <c r="L5" s="2911"/>
      <c r="M5" s="2912"/>
      <c r="N5" s="2912"/>
      <c r="O5" s="2912"/>
      <c r="P5" s="3435"/>
      <c r="Q5" s="3436"/>
      <c r="R5" s="3448"/>
      <c r="S5" s="3449"/>
      <c r="T5" s="3448"/>
      <c r="U5" s="3449"/>
      <c r="V5" s="3421"/>
      <c r="W5" s="3421"/>
      <c r="X5" s="1508"/>
      <c r="Y5" s="3448"/>
      <c r="Z5" s="3449"/>
      <c r="AA5" s="3427"/>
      <c r="AB5" s="3427"/>
      <c r="AC5" s="3427"/>
    </row>
    <row r="6" spans="1:29" ht="15.75" thickBot="1">
      <c r="A6" s="365"/>
      <c r="B6" s="366"/>
      <c r="C6" s="3485" t="s">
        <v>2307</v>
      </c>
      <c r="D6" s="3486"/>
      <c r="E6" s="3487" t="s">
        <v>2307</v>
      </c>
      <c r="F6" s="3488"/>
      <c r="G6" s="3485" t="s">
        <v>2307</v>
      </c>
      <c r="H6" s="3486"/>
      <c r="I6" s="3485" t="s">
        <v>2307</v>
      </c>
      <c r="J6" s="3486"/>
      <c r="K6" s="566" t="s">
        <v>2308</v>
      </c>
      <c r="L6" s="2911"/>
      <c r="M6" s="2912"/>
      <c r="N6" s="2912"/>
      <c r="O6" s="2912"/>
      <c r="P6" s="3437"/>
      <c r="Q6" s="3438"/>
      <c r="R6" s="3448"/>
      <c r="S6" s="3449"/>
      <c r="T6" s="3457"/>
      <c r="U6" s="3458"/>
      <c r="V6" s="3421"/>
      <c r="W6" s="3421"/>
      <c r="X6" s="1508"/>
      <c r="Y6" s="3457"/>
      <c r="Z6" s="3458"/>
      <c r="AA6" s="3428"/>
      <c r="AB6" s="3428"/>
      <c r="AC6" s="3428"/>
    </row>
    <row r="7" spans="1:29" s="112" customFormat="1" ht="15.75" thickBot="1">
      <c r="A7" s="367" t="s">
        <v>2309</v>
      </c>
      <c r="B7" s="368"/>
      <c r="C7" s="369">
        <f>'数据-取费表'!B2</f>
        <v>44582</v>
      </c>
      <c r="D7" s="370">
        <v>100</v>
      </c>
      <c r="E7" s="371"/>
      <c r="F7" s="372">
        <f>SUMIF(46:46,YEAR(E7)&amp;"-"&amp;MONTH(E7),47:47)</f>
        <v>0</v>
      </c>
      <c r="G7" s="2129"/>
      <c r="H7" s="370">
        <f>SUMIF(46:46,YEAR(G7)&amp;"-"&amp;MONTH(G7),47:47)</f>
        <v>0</v>
      </c>
      <c r="I7" s="371"/>
      <c r="J7" s="370">
        <f>SUMIF(46:46,YEAR(I7)&amp;"-"&amp;MONTH(I7),47:47)</f>
        <v>0</v>
      </c>
      <c r="K7" s="567"/>
      <c r="L7" s="2913"/>
      <c r="M7" s="2914"/>
      <c r="N7" s="2914"/>
      <c r="O7" s="2914"/>
      <c r="P7" s="3441" t="s">
        <v>2310</v>
      </c>
      <c r="Q7" s="3454"/>
      <c r="R7" s="709" t="s">
        <v>17</v>
      </c>
      <c r="S7" s="710">
        <f t="shared" ref="S7:S14" si="0">F7</f>
        <v>0</v>
      </c>
      <c r="T7" s="709" t="s">
        <v>17</v>
      </c>
      <c r="U7" s="710">
        <f t="shared" ref="U7:U14" si="1">H7</f>
        <v>0</v>
      </c>
      <c r="V7" s="709" t="s">
        <v>17</v>
      </c>
      <c r="W7" s="710">
        <f t="shared" ref="W7:W14" si="2">J7</f>
        <v>0</v>
      </c>
      <c r="X7" s="711"/>
      <c r="Y7" s="3441" t="s">
        <v>2310</v>
      </c>
      <c r="Z7" s="3442"/>
      <c r="AA7" s="712" t="e">
        <f>D7/F7</f>
        <v>#DIV/0!</v>
      </c>
      <c r="AB7" s="712" t="e">
        <f>D7/H7</f>
        <v>#DIV/0!</v>
      </c>
      <c r="AC7" s="712" t="e">
        <f>D7/J7</f>
        <v>#DIV/0!</v>
      </c>
    </row>
    <row r="8" spans="1:29" s="112"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441" t="s">
        <v>2313</v>
      </c>
      <c r="Q8" s="3442"/>
      <c r="R8" s="709" t="s">
        <v>17</v>
      </c>
      <c r="S8" s="710">
        <f t="shared" si="0"/>
        <v>0</v>
      </c>
      <c r="T8" s="709" t="s">
        <v>17</v>
      </c>
      <c r="U8" s="710">
        <f t="shared" si="1"/>
        <v>0</v>
      </c>
      <c r="V8" s="709" t="s">
        <v>17</v>
      </c>
      <c r="W8" s="710">
        <f t="shared" si="2"/>
        <v>0</v>
      </c>
      <c r="X8" s="711"/>
      <c r="Y8" s="3441" t="s">
        <v>2313</v>
      </c>
      <c r="Z8" s="3442"/>
      <c r="AA8" s="712" t="e">
        <f t="shared" ref="AA8:AA34" si="3">D8/F8</f>
        <v>#DIV/0!</v>
      </c>
      <c r="AB8" s="712" t="e">
        <f t="shared" ref="AB8:AB34" si="4">D8/H8</f>
        <v>#DIV/0!</v>
      </c>
      <c r="AC8" s="712" t="e">
        <f t="shared" ref="AC8:AC34" si="5">D8/J8</f>
        <v>#DIV/0!</v>
      </c>
    </row>
    <row r="9" spans="1:29" s="112" customFormat="1">
      <c r="A9" s="374" t="s">
        <v>2314</v>
      </c>
      <c r="B9" s="66" t="s">
        <v>2315</v>
      </c>
      <c r="C9" s="375"/>
      <c r="D9" s="130">
        <v>100</v>
      </c>
      <c r="E9" s="378"/>
      <c r="F9" s="377">
        <f>SUMIF(51:51,E9,52:52)-SUMIF(51:51,C9,52:52)+100</f>
        <v>100</v>
      </c>
      <c r="G9" s="378"/>
      <c r="H9" s="130">
        <f>SUMIF(51:51,G9,52:52)-SUMIF(51:51,C9,52:52)+100</f>
        <v>100</v>
      </c>
      <c r="I9" s="378"/>
      <c r="J9" s="130">
        <f>SUMIF(51:51,I9,52:52)-SUMIF(51:51,C9,52:52)+100</f>
        <v>100</v>
      </c>
      <c r="K9" s="567"/>
      <c r="L9" s="2913"/>
      <c r="M9" s="2914"/>
      <c r="N9" s="2914"/>
      <c r="O9" s="2968"/>
      <c r="P9" s="3419" t="s">
        <v>2316</v>
      </c>
      <c r="Q9" s="1496" t="str">
        <f t="shared" ref="Q9:Q14" si="6">B9</f>
        <v>用途</v>
      </c>
      <c r="R9" s="709" t="s">
        <v>17</v>
      </c>
      <c r="S9" s="710">
        <f t="shared" si="0"/>
        <v>100</v>
      </c>
      <c r="T9" s="709" t="s">
        <v>17</v>
      </c>
      <c r="U9" s="710">
        <f t="shared" si="1"/>
        <v>100</v>
      </c>
      <c r="V9" s="709" t="s">
        <v>17</v>
      </c>
      <c r="W9" s="710">
        <f t="shared" si="2"/>
        <v>100</v>
      </c>
      <c r="X9" s="711"/>
      <c r="Y9" s="3389" t="s">
        <v>2317</v>
      </c>
      <c r="Z9" s="54" t="str">
        <f t="shared" ref="Z9:Z14" si="7">Q9</f>
        <v>用途</v>
      </c>
      <c r="AA9" s="712">
        <f t="shared" si="3"/>
        <v>1</v>
      </c>
      <c r="AB9" s="712">
        <f t="shared" si="4"/>
        <v>1</v>
      </c>
      <c r="AC9" s="712">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5"/>
      <c r="M10" s="2916"/>
      <c r="N10" s="2916"/>
      <c r="O10" s="2969"/>
      <c r="P10" s="3419"/>
      <c r="Q10" s="1496" t="str">
        <f t="shared" si="6"/>
        <v>土地使用年限（年）</v>
      </c>
      <c r="R10" s="709" t="s">
        <v>17</v>
      </c>
      <c r="S10" s="710">
        <f t="shared" si="0"/>
        <v>100</v>
      </c>
      <c r="T10" s="709" t="s">
        <v>17</v>
      </c>
      <c r="U10" s="710">
        <f t="shared" si="1"/>
        <v>100</v>
      </c>
      <c r="V10" s="709" t="s">
        <v>17</v>
      </c>
      <c r="W10" s="710">
        <f t="shared" si="2"/>
        <v>100</v>
      </c>
      <c r="X10" s="711"/>
      <c r="Y10" s="3389"/>
      <c r="Z10" s="54" t="str">
        <f t="shared" si="7"/>
        <v>土地使用年限（年）</v>
      </c>
      <c r="AA10" s="712">
        <f t="shared" si="3"/>
        <v>1</v>
      </c>
      <c r="AB10" s="712">
        <f t="shared" si="4"/>
        <v>1</v>
      </c>
      <c r="AC10" s="712">
        <f t="shared" si="5"/>
        <v>1</v>
      </c>
    </row>
    <row r="11" spans="1:29" ht="15">
      <c r="A11" s="386"/>
      <c r="B11" s="2048">
        <v>111</v>
      </c>
      <c r="C11" s="390"/>
      <c r="D11" s="131">
        <v>100</v>
      </c>
      <c r="E11" s="427"/>
      <c r="F11" s="383">
        <f>SUMIF(55:55,E11,56:56)-SUMIF(55:55,C11,56:56)+100</f>
        <v>100</v>
      </c>
      <c r="G11" s="427"/>
      <c r="H11" s="131">
        <f>SUMIF(55:55,G11,56:56)-SUMIF(55:55,C11,56:56)+100</f>
        <v>100</v>
      </c>
      <c r="I11" s="427"/>
      <c r="J11" s="131">
        <f>SUMIF(55:55,I11,56:56)-SUMIF(55:55,C11,56:56)+100</f>
        <v>100</v>
      </c>
      <c r="K11" s="569"/>
      <c r="L11" s="2917"/>
      <c r="M11" s="2912"/>
      <c r="N11" s="2912"/>
      <c r="O11" s="2970"/>
      <c r="P11" s="3419"/>
      <c r="Q11" s="1496">
        <f t="shared" si="6"/>
        <v>111</v>
      </c>
      <c r="R11" s="709" t="s">
        <v>17</v>
      </c>
      <c r="S11" s="710">
        <f t="shared" si="0"/>
        <v>100</v>
      </c>
      <c r="T11" s="709" t="s">
        <v>17</v>
      </c>
      <c r="U11" s="710">
        <f t="shared" si="1"/>
        <v>100</v>
      </c>
      <c r="V11" s="709" t="s">
        <v>17</v>
      </c>
      <c r="W11" s="710">
        <f t="shared" si="2"/>
        <v>100</v>
      </c>
      <c r="X11" s="711"/>
      <c r="Y11" s="3389"/>
      <c r="Z11" s="54">
        <f t="shared" si="7"/>
        <v>111</v>
      </c>
      <c r="AA11" s="712">
        <f t="shared" si="3"/>
        <v>1</v>
      </c>
      <c r="AB11" s="712">
        <f t="shared" si="4"/>
        <v>1</v>
      </c>
      <c r="AC11" s="712">
        <f t="shared" si="5"/>
        <v>1</v>
      </c>
    </row>
    <row r="12" spans="1:29" s="112" customFormat="1" ht="15">
      <c r="A12" s="389"/>
      <c r="B12" s="2048">
        <v>111</v>
      </c>
      <c r="C12" s="390"/>
      <c r="D12" s="391">
        <v>100</v>
      </c>
      <c r="E12" s="427"/>
      <c r="F12" s="383">
        <f>SUMIF(57:57,E12,58:58)-SUMIF(57:57,C12,58:58)+100</f>
        <v>100</v>
      </c>
      <c r="G12" s="427"/>
      <c r="H12" s="131">
        <f>SUMIF(57:57,G12,58:58)-SUMIF(57:57,C12,58:58)+100</f>
        <v>100</v>
      </c>
      <c r="I12" s="427"/>
      <c r="J12" s="131">
        <f>SUMIF(57:57,I12,58:58)-SUMIF(57:57,C12,58:58)+100</f>
        <v>100</v>
      </c>
      <c r="K12" s="569"/>
      <c r="L12" s="2913"/>
      <c r="M12" s="2914"/>
      <c r="N12" s="2914"/>
      <c r="O12" s="2968"/>
      <c r="P12" s="3419"/>
      <c r="Q12" s="1496">
        <f t="shared" si="6"/>
        <v>111</v>
      </c>
      <c r="R12" s="709" t="s">
        <v>17</v>
      </c>
      <c r="S12" s="710">
        <f t="shared" si="0"/>
        <v>100</v>
      </c>
      <c r="T12" s="709" t="s">
        <v>17</v>
      </c>
      <c r="U12" s="710">
        <f t="shared" si="1"/>
        <v>100</v>
      </c>
      <c r="V12" s="709" t="s">
        <v>17</v>
      </c>
      <c r="W12" s="710">
        <f t="shared" si="2"/>
        <v>100</v>
      </c>
      <c r="X12" s="711"/>
      <c r="Y12" s="3389"/>
      <c r="Z12" s="54">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18"/>
      <c r="M13" s="2912"/>
      <c r="N13" s="2912"/>
      <c r="O13" s="2970"/>
      <c r="P13" s="3419"/>
      <c r="Q13" s="1496">
        <f t="shared" si="6"/>
        <v>111</v>
      </c>
      <c r="R13" s="709" t="s">
        <v>17</v>
      </c>
      <c r="S13" s="710">
        <f t="shared" si="0"/>
        <v>100</v>
      </c>
      <c r="T13" s="709" t="s">
        <v>17</v>
      </c>
      <c r="U13" s="710">
        <f t="shared" si="1"/>
        <v>100</v>
      </c>
      <c r="V13" s="709" t="s">
        <v>17</v>
      </c>
      <c r="W13" s="710">
        <f t="shared" si="2"/>
        <v>100</v>
      </c>
      <c r="X13" s="711"/>
      <c r="Y13" s="3389"/>
      <c r="Z13" s="54">
        <f t="shared" si="7"/>
        <v>111</v>
      </c>
      <c r="AA13" s="712">
        <f t="shared" si="3"/>
        <v>1</v>
      </c>
      <c r="AB13" s="712">
        <f t="shared" si="4"/>
        <v>1</v>
      </c>
      <c r="AC13" s="712">
        <f t="shared" si="5"/>
        <v>1</v>
      </c>
    </row>
    <row r="14" spans="1:29" ht="15">
      <c r="A14" s="398" t="s">
        <v>2320</v>
      </c>
      <c r="B14" s="64" t="s">
        <v>2470</v>
      </c>
      <c r="C14" s="2126">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422" t="s">
        <v>2321</v>
      </c>
      <c r="Q14" s="1505" t="str">
        <f t="shared" si="6"/>
        <v>交通便捷度</v>
      </c>
      <c r="R14" s="713" t="s">
        <v>17</v>
      </c>
      <c r="S14" s="714">
        <f t="shared" si="0"/>
        <v>100</v>
      </c>
      <c r="T14" s="713" t="s">
        <v>17</v>
      </c>
      <c r="U14" s="714">
        <f t="shared" si="1"/>
        <v>100</v>
      </c>
      <c r="V14" s="713" t="s">
        <v>17</v>
      </c>
      <c r="W14" s="714">
        <f t="shared" si="2"/>
        <v>100</v>
      </c>
      <c r="X14" s="1508"/>
      <c r="Y14" s="3422"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18"/>
      <c r="M15" s="2912"/>
      <c r="N15" s="2912"/>
      <c r="O15" s="2970"/>
      <c r="P15" s="3423"/>
      <c r="Q15" s="1505"/>
      <c r="R15" s="713"/>
      <c r="S15" s="714"/>
      <c r="T15" s="713"/>
      <c r="U15" s="714"/>
      <c r="V15" s="713"/>
      <c r="W15" s="714"/>
      <c r="X15" s="1508"/>
      <c r="Y15" s="3423"/>
      <c r="Z15" s="1509"/>
      <c r="AA15" s="1506">
        <v>1</v>
      </c>
      <c r="AB15" s="1506">
        <v>1</v>
      </c>
      <c r="AC15" s="1506">
        <v>1</v>
      </c>
    </row>
    <row r="16" spans="1:29" ht="15">
      <c r="A16" s="386"/>
      <c r="B16" s="409" t="s">
        <v>2449</v>
      </c>
      <c r="C16" s="2055">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423"/>
      <c r="Q16" s="1505" t="str">
        <f>B16</f>
        <v>公共配套设施</v>
      </c>
      <c r="R16" s="713" t="s">
        <v>17</v>
      </c>
      <c r="S16" s="714">
        <f>F16</f>
        <v>100</v>
      </c>
      <c r="T16" s="713" t="s">
        <v>17</v>
      </c>
      <c r="U16" s="714">
        <f>H16</f>
        <v>100</v>
      </c>
      <c r="V16" s="713" t="s">
        <v>17</v>
      </c>
      <c r="W16" s="714">
        <f>J16</f>
        <v>100</v>
      </c>
      <c r="X16" s="1508"/>
      <c r="Y16" s="3423"/>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18"/>
      <c r="M17" s="2912"/>
      <c r="N17" s="2912"/>
      <c r="O17" s="2970"/>
      <c r="P17" s="3423"/>
      <c r="Q17" s="1505"/>
      <c r="R17" s="713"/>
      <c r="S17" s="714"/>
      <c r="T17" s="713"/>
      <c r="U17" s="714"/>
      <c r="V17" s="713"/>
      <c r="W17" s="714"/>
      <c r="X17" s="1508"/>
      <c r="Y17" s="3423"/>
      <c r="Z17" s="1509"/>
      <c r="AA17" s="1506">
        <v>1</v>
      </c>
      <c r="AB17" s="1506">
        <v>1</v>
      </c>
      <c r="AC17" s="1506">
        <v>1</v>
      </c>
    </row>
    <row r="18" spans="1:29" ht="15">
      <c r="A18" s="386"/>
      <c r="B18" s="1264" t="s">
        <v>2450</v>
      </c>
      <c r="C18" s="2055">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423"/>
      <c r="Q18" s="1505" t="str">
        <f>B18</f>
        <v>基础设施水平</v>
      </c>
      <c r="R18" s="713" t="s">
        <v>17</v>
      </c>
      <c r="S18" s="714">
        <f>F18</f>
        <v>100</v>
      </c>
      <c r="T18" s="713" t="s">
        <v>17</v>
      </c>
      <c r="U18" s="714">
        <f>H18</f>
        <v>100</v>
      </c>
      <c r="V18" s="713" t="s">
        <v>17</v>
      </c>
      <c r="W18" s="714">
        <f>J18</f>
        <v>100</v>
      </c>
      <c r="X18" s="1508"/>
      <c r="Y18" s="3423"/>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18"/>
      <c r="M19" s="2912"/>
      <c r="N19" s="2912"/>
      <c r="O19" s="2970"/>
      <c r="P19" s="3423"/>
      <c r="Q19" s="1505"/>
      <c r="R19" s="713"/>
      <c r="S19" s="714"/>
      <c r="T19" s="713"/>
      <c r="U19" s="714"/>
      <c r="V19" s="713"/>
      <c r="W19" s="714"/>
      <c r="X19" s="1508"/>
      <c r="Y19" s="3423"/>
      <c r="Z19" s="1509"/>
      <c r="AA19" s="1506">
        <v>1</v>
      </c>
      <c r="AB19" s="1506">
        <v>1</v>
      </c>
      <c r="AC19" s="1506">
        <v>1</v>
      </c>
    </row>
    <row r="20" spans="1:29" ht="15">
      <c r="A20" s="386"/>
      <c r="B20" s="409" t="s">
        <v>2471</v>
      </c>
      <c r="C20" s="2055">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423"/>
      <c r="Q20" s="1505" t="str">
        <f>B20</f>
        <v>自然及人文环境</v>
      </c>
      <c r="R20" s="713" t="s">
        <v>17</v>
      </c>
      <c r="S20" s="714">
        <f>F20</f>
        <v>100</v>
      </c>
      <c r="T20" s="713" t="s">
        <v>17</v>
      </c>
      <c r="U20" s="714">
        <f>H20</f>
        <v>100</v>
      </c>
      <c r="V20" s="713" t="s">
        <v>17</v>
      </c>
      <c r="W20" s="714">
        <f>J20</f>
        <v>100</v>
      </c>
      <c r="X20" s="1508"/>
      <c r="Y20" s="3423"/>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18"/>
      <c r="M21" s="2912"/>
      <c r="N21" s="2912"/>
      <c r="O21" s="2970"/>
      <c r="P21" s="3423"/>
      <c r="Q21" s="1505"/>
      <c r="R21" s="713"/>
      <c r="S21" s="714"/>
      <c r="T21" s="713"/>
      <c r="U21" s="714"/>
      <c r="V21" s="713"/>
      <c r="W21" s="714"/>
      <c r="X21" s="1508"/>
      <c r="Y21" s="3423"/>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423"/>
      <c r="Q22" s="1505" t="str">
        <f>B22</f>
        <v>楼层</v>
      </c>
      <c r="R22" s="713" t="s">
        <v>17</v>
      </c>
      <c r="S22" s="714">
        <f>F22</f>
        <v>100</v>
      </c>
      <c r="T22" s="713" t="s">
        <v>17</v>
      </c>
      <c r="U22" s="714">
        <f>H22</f>
        <v>100</v>
      </c>
      <c r="V22" s="713" t="s">
        <v>17</v>
      </c>
      <c r="W22" s="714">
        <f>J22</f>
        <v>100</v>
      </c>
      <c r="X22" s="1508"/>
      <c r="Y22" s="3423"/>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423"/>
      <c r="Q23" s="1505">
        <f>B23</f>
        <v>111</v>
      </c>
      <c r="R23" s="713" t="s">
        <v>17</v>
      </c>
      <c r="S23" s="714">
        <f>F23</f>
        <v>100</v>
      </c>
      <c r="T23" s="713" t="s">
        <v>17</v>
      </c>
      <c r="U23" s="714">
        <f>H23</f>
        <v>100</v>
      </c>
      <c r="V23" s="713" t="s">
        <v>17</v>
      </c>
      <c r="W23" s="714">
        <f>J23</f>
        <v>100</v>
      </c>
      <c r="X23" s="1508"/>
      <c r="Y23" s="3423"/>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423"/>
      <c r="Q24" s="1505">
        <f t="shared" ref="Q24:Q34" si="11">B24</f>
        <v>111</v>
      </c>
      <c r="R24" s="713" t="s">
        <v>17</v>
      </c>
      <c r="S24" s="714">
        <f>F24</f>
        <v>100</v>
      </c>
      <c r="T24" s="713" t="s">
        <v>17</v>
      </c>
      <c r="U24" s="714">
        <f>H24</f>
        <v>100</v>
      </c>
      <c r="V24" s="713" t="s">
        <v>17</v>
      </c>
      <c r="W24" s="714">
        <f>J24</f>
        <v>100</v>
      </c>
      <c r="X24" s="1508"/>
      <c r="Y24" s="3423"/>
      <c r="Z24" s="1509">
        <f>Q24</f>
        <v>111</v>
      </c>
      <c r="AA24" s="1506">
        <f t="shared" si="3"/>
        <v>1</v>
      </c>
      <c r="AB24" s="1506">
        <f t="shared" si="4"/>
        <v>1</v>
      </c>
      <c r="AC24" s="1506">
        <f t="shared" si="5"/>
        <v>1</v>
      </c>
    </row>
    <row r="25" spans="1:29" s="112"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3"/>
      <c r="M25" s="2914"/>
      <c r="N25" s="2914"/>
      <c r="O25" s="2968"/>
      <c r="P25" s="3423"/>
      <c r="Q25" s="1496">
        <f t="shared" si="11"/>
        <v>111</v>
      </c>
      <c r="R25" s="709" t="s">
        <v>17</v>
      </c>
      <c r="S25" s="710">
        <f>F25</f>
        <v>100</v>
      </c>
      <c r="T25" s="709" t="s">
        <v>17</v>
      </c>
      <c r="U25" s="710">
        <f>H25</f>
        <v>100</v>
      </c>
      <c r="V25" s="709" t="s">
        <v>17</v>
      </c>
      <c r="W25" s="710">
        <f>J25</f>
        <v>100</v>
      </c>
      <c r="X25" s="711"/>
      <c r="Y25" s="3423"/>
      <c r="Z25" s="54">
        <f>Q25</f>
        <v>111</v>
      </c>
      <c r="AA25" s="1506">
        <f>D25/F25</f>
        <v>1</v>
      </c>
      <c r="AB25" s="1506">
        <f>D25/H25</f>
        <v>1</v>
      </c>
      <c r="AC25" s="1506">
        <f>D25/J25</f>
        <v>1</v>
      </c>
    </row>
    <row r="26" spans="1:29" ht="28.5">
      <c r="A26" s="424" t="s">
        <v>2324</v>
      </c>
      <c r="B26" s="66"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18"/>
      <c r="M26" s="2912"/>
      <c r="N26" s="2912"/>
      <c r="O26" s="2970"/>
      <c r="P26" s="3424"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425"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425"/>
      <c r="Q27" s="715" t="str">
        <f t="shared" si="11"/>
        <v>成新率</v>
      </c>
      <c r="R27" s="716" t="s">
        <v>17</v>
      </c>
      <c r="S27" s="717" t="e">
        <f t="shared" si="12"/>
        <v>#N/A</v>
      </c>
      <c r="T27" s="716" t="s">
        <v>17</v>
      </c>
      <c r="U27" s="717" t="e">
        <f t="shared" si="13"/>
        <v>#N/A</v>
      </c>
      <c r="V27" s="716" t="s">
        <v>17</v>
      </c>
      <c r="W27" s="717" t="e">
        <f t="shared" si="14"/>
        <v>#N/A</v>
      </c>
      <c r="X27" s="718"/>
      <c r="Y27" s="3425"/>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425"/>
      <c r="Q28" s="1505" t="str">
        <f t="shared" si="11"/>
        <v>物业等级</v>
      </c>
      <c r="R28" s="713" t="s">
        <v>17</v>
      </c>
      <c r="S28" s="714">
        <f t="shared" si="12"/>
        <v>100</v>
      </c>
      <c r="T28" s="713" t="s">
        <v>17</v>
      </c>
      <c r="U28" s="714">
        <f t="shared" si="13"/>
        <v>100</v>
      </c>
      <c r="V28" s="713" t="s">
        <v>17</v>
      </c>
      <c r="W28" s="714">
        <f t="shared" si="14"/>
        <v>100</v>
      </c>
      <c r="X28" s="1508"/>
      <c r="Y28" s="3425"/>
      <c r="Z28" s="1509" t="str">
        <f t="shared" si="15"/>
        <v>物业等级</v>
      </c>
      <c r="AA28" s="1506">
        <f t="shared" si="3"/>
        <v>1</v>
      </c>
      <c r="AB28" s="1506">
        <f t="shared" si="4"/>
        <v>1</v>
      </c>
      <c r="AC28" s="1506">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425"/>
      <c r="Q29" s="1505" t="str">
        <f t="shared" si="11"/>
        <v>有无电梯</v>
      </c>
      <c r="R29" s="713" t="s">
        <v>17</v>
      </c>
      <c r="S29" s="714">
        <f t="shared" si="12"/>
        <v>100</v>
      </c>
      <c r="T29" s="713" t="s">
        <v>17</v>
      </c>
      <c r="U29" s="714">
        <f t="shared" si="13"/>
        <v>100</v>
      </c>
      <c r="V29" s="713" t="s">
        <v>17</v>
      </c>
      <c r="W29" s="714">
        <f t="shared" si="14"/>
        <v>100</v>
      </c>
      <c r="X29" s="1508"/>
      <c r="Y29" s="3425"/>
      <c r="Z29" s="1509" t="str">
        <f t="shared" si="15"/>
        <v>有无电梯</v>
      </c>
      <c r="AA29" s="1506">
        <f t="shared" si="3"/>
        <v>1</v>
      </c>
      <c r="AB29" s="1506">
        <f t="shared" si="4"/>
        <v>1</v>
      </c>
      <c r="AC29" s="1506">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425"/>
      <c r="Q30" s="1505" t="str">
        <f t="shared" si="11"/>
        <v>建筑面积</v>
      </c>
      <c r="R30" s="713" t="s">
        <v>17</v>
      </c>
      <c r="S30" s="714" t="e">
        <f t="shared" si="12"/>
        <v>#N/A</v>
      </c>
      <c r="T30" s="713" t="s">
        <v>17</v>
      </c>
      <c r="U30" s="714" t="e">
        <f t="shared" si="13"/>
        <v>#N/A</v>
      </c>
      <c r="V30" s="713" t="s">
        <v>17</v>
      </c>
      <c r="W30" s="714" t="e">
        <f t="shared" si="14"/>
        <v>#N/A</v>
      </c>
      <c r="X30" s="1508"/>
      <c r="Y30" s="3425"/>
      <c r="Z30" s="1509" t="str">
        <f t="shared" si="15"/>
        <v>建筑面积</v>
      </c>
      <c r="AA30" s="1506" t="e">
        <f t="shared" si="3"/>
        <v>#N/A</v>
      </c>
      <c r="AB30" s="1506" t="e">
        <f t="shared" si="4"/>
        <v>#N/A</v>
      </c>
      <c r="AC30" s="1506" t="e">
        <f t="shared" si="5"/>
        <v>#N/A</v>
      </c>
    </row>
    <row r="31" spans="1:29" s="112"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425"/>
      <c r="Q31" s="1496" t="str">
        <f t="shared" si="11"/>
        <v>是否封闭</v>
      </c>
      <c r="R31" s="709" t="s">
        <v>17</v>
      </c>
      <c r="S31" s="710">
        <f t="shared" si="12"/>
        <v>100</v>
      </c>
      <c r="T31" s="709" t="s">
        <v>17</v>
      </c>
      <c r="U31" s="710">
        <f t="shared" si="13"/>
        <v>100</v>
      </c>
      <c r="V31" s="709" t="s">
        <v>17</v>
      </c>
      <c r="W31" s="710">
        <f t="shared" si="14"/>
        <v>100</v>
      </c>
      <c r="X31" s="711"/>
      <c r="Y31" s="3425"/>
      <c r="Z31" s="54"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425" t="s">
        <v>2326</v>
      </c>
      <c r="Q32" s="1505">
        <f t="shared" si="11"/>
        <v>111</v>
      </c>
      <c r="R32" s="713" t="s">
        <v>17</v>
      </c>
      <c r="S32" s="714">
        <f t="shared" si="12"/>
        <v>100</v>
      </c>
      <c r="T32" s="713" t="s">
        <v>17</v>
      </c>
      <c r="U32" s="714">
        <f t="shared" si="13"/>
        <v>100</v>
      </c>
      <c r="V32" s="713" t="s">
        <v>17</v>
      </c>
      <c r="W32" s="714">
        <f t="shared" si="14"/>
        <v>100</v>
      </c>
      <c r="X32" s="1508"/>
      <c r="Y32" s="3425"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425"/>
      <c r="Q33" s="1505">
        <f t="shared" si="11"/>
        <v>111</v>
      </c>
      <c r="R33" s="713" t="s">
        <v>17</v>
      </c>
      <c r="S33" s="714">
        <f t="shared" si="12"/>
        <v>100</v>
      </c>
      <c r="T33" s="713" t="s">
        <v>17</v>
      </c>
      <c r="U33" s="714">
        <f t="shared" si="13"/>
        <v>100</v>
      </c>
      <c r="V33" s="713" t="s">
        <v>17</v>
      </c>
      <c r="W33" s="714">
        <f t="shared" si="14"/>
        <v>100</v>
      </c>
      <c r="X33" s="1508"/>
      <c r="Y33" s="3425"/>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18"/>
      <c r="M34" s="2912"/>
      <c r="N34" s="2912"/>
      <c r="O34" s="2970"/>
      <c r="P34" s="3425"/>
      <c r="Q34" s="1505">
        <f t="shared" si="11"/>
        <v>111</v>
      </c>
      <c r="R34" s="713" t="s">
        <v>17</v>
      </c>
      <c r="S34" s="714">
        <f t="shared" si="12"/>
        <v>100</v>
      </c>
      <c r="T34" s="713" t="s">
        <v>17</v>
      </c>
      <c r="U34" s="714">
        <f t="shared" si="13"/>
        <v>100</v>
      </c>
      <c r="V34" s="713" t="s">
        <v>17</v>
      </c>
      <c r="W34" s="714">
        <f t="shared" si="14"/>
        <v>100</v>
      </c>
      <c r="X34" s="1508"/>
      <c r="Y34" s="3425"/>
      <c r="Z34" s="1509">
        <f t="shared" si="15"/>
        <v>111</v>
      </c>
      <c r="AA34" s="1506">
        <f t="shared" si="3"/>
        <v>1</v>
      </c>
      <c r="AB34" s="1506">
        <f t="shared" si="4"/>
        <v>1</v>
      </c>
      <c r="AC34" s="1506">
        <f t="shared" si="5"/>
        <v>1</v>
      </c>
    </row>
    <row r="35" spans="1:30" ht="15">
      <c r="A35" s="437" t="s">
        <v>2338</v>
      </c>
      <c r="B35" s="438"/>
      <c r="C35" s="1287" t="s">
        <v>1</v>
      </c>
      <c r="D35" s="1288"/>
      <c r="E35" s="1289"/>
      <c r="F35" s="1290"/>
      <c r="G35" s="1291"/>
      <c r="H35" s="1292"/>
      <c r="I35" s="1289"/>
      <c r="J35" s="1292"/>
      <c r="K35" s="722"/>
      <c r="L35" s="2920"/>
      <c r="M35" s="2921"/>
      <c r="N35" s="2912"/>
      <c r="O35" s="2921"/>
      <c r="P35" s="3419" t="str">
        <f>A35</f>
        <v>成交单价（元/平方米）</v>
      </c>
      <c r="Q35" s="3419"/>
      <c r="R35" s="3490">
        <f>E35</f>
        <v>0</v>
      </c>
      <c r="S35" s="3490"/>
      <c r="T35" s="3490">
        <f>G35</f>
        <v>0</v>
      </c>
      <c r="U35" s="3490"/>
      <c r="V35" s="3490">
        <f>I35</f>
        <v>0</v>
      </c>
      <c r="W35" s="3490"/>
      <c r="X35" s="698"/>
      <c r="Y35" s="720"/>
      <c r="Z35" s="698"/>
      <c r="AA35" s="698"/>
      <c r="AB35" s="698"/>
      <c r="AC35" s="698"/>
    </row>
    <row r="36" spans="1:30" ht="15.75" thickBot="1">
      <c r="A36" s="444" t="s">
        <v>2430</v>
      </c>
      <c r="B36" s="445"/>
      <c r="C36" s="1293" t="e">
        <f>R37</f>
        <v>#DIV/0!</v>
      </c>
      <c r="D36" s="2507" t="s">
        <v>2818</v>
      </c>
      <c r="E36" s="1294" t="e">
        <f>R36</f>
        <v>#DIV/0!</v>
      </c>
      <c r="F36" s="2508"/>
      <c r="G36" s="1293" t="e">
        <f>T36</f>
        <v>#DIV/0!</v>
      </c>
      <c r="H36" s="2508"/>
      <c r="I36" s="1294" t="e">
        <f>V36</f>
        <v>#DIV/0!</v>
      </c>
      <c r="J36" s="2508"/>
      <c r="K36" s="2510">
        <f>F36+H36+J36</f>
        <v>0</v>
      </c>
      <c r="L36" s="2920"/>
      <c r="M36" s="2921"/>
      <c r="N36" s="2912"/>
      <c r="O36" s="2921"/>
      <c r="P36" s="3419" t="str">
        <f>A36</f>
        <v>比较价值（元/平方米）</v>
      </c>
      <c r="Q36" s="341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0"/>
      <c r="M37" s="2921"/>
      <c r="N37" s="2921"/>
      <c r="O37" s="2921"/>
      <c r="P37" s="3416" t="str">
        <f>A37</f>
        <v>估价对象XX用房的比较价值（楼面单价，元/平方米）</v>
      </c>
      <c r="Q37" s="3417"/>
      <c r="R37" s="3512" t="e">
        <f>IF(F1="售价",ROUND(IF(D36="简单平均",AVERAGE(R36:W36),R36*F36+T36*H36+V36*J36),0),ROUND(IF(D36="简单平均",AVERAGE(R36:V36),R36*F36+T36*H36+V36*J36),1))</f>
        <v>#DIV/0!</v>
      </c>
      <c r="S37" s="3512"/>
      <c r="T37" s="3512"/>
      <c r="U37" s="3512"/>
      <c r="V37" s="3512"/>
      <c r="W37" s="3512"/>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c r="A42" s="2924"/>
      <c r="B42" s="2924"/>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2" t="s">
        <v>2435</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ht="15">
      <c r="A46" s="461" t="s">
        <v>2309</v>
      </c>
      <c r="B46" s="462"/>
      <c r="C46" s="1317" t="str">
        <f>YEAR(C7)&amp;"-"&amp;MONTH(C7)</f>
        <v>2022-1</v>
      </c>
      <c r="D46" s="1318">
        <f>EDATE(C46,-1)</f>
        <v>44531</v>
      </c>
      <c r="E46" s="1318">
        <f t="shared" ref="E46:O46" si="16">EDATE(D46,-1)</f>
        <v>44501</v>
      </c>
      <c r="F46" s="1318">
        <f t="shared" si="16"/>
        <v>44470</v>
      </c>
      <c r="G46" s="1318">
        <f t="shared" si="16"/>
        <v>44440</v>
      </c>
      <c r="H46" s="1318">
        <f t="shared" si="16"/>
        <v>44409</v>
      </c>
      <c r="I46" s="1318">
        <f t="shared" si="16"/>
        <v>44378</v>
      </c>
      <c r="J46" s="1318">
        <f t="shared" si="16"/>
        <v>44348</v>
      </c>
      <c r="K46" s="1318">
        <f t="shared" si="16"/>
        <v>44317</v>
      </c>
      <c r="L46" s="1318">
        <f t="shared" si="16"/>
        <v>44287</v>
      </c>
      <c r="M46" s="1318">
        <f t="shared" si="16"/>
        <v>44256</v>
      </c>
      <c r="N46" s="1318">
        <f t="shared" si="16"/>
        <v>44228</v>
      </c>
      <c r="O46" s="1318">
        <f t="shared" si="16"/>
        <v>44197</v>
      </c>
      <c r="P46" s="2972"/>
      <c r="Q46" s="2937"/>
      <c r="R46" s="2937"/>
      <c r="S46" s="2937"/>
      <c r="T46" s="2937"/>
      <c r="U46" s="2937"/>
      <c r="V46" s="2937"/>
      <c r="W46" s="2937"/>
      <c r="X46" s="2937"/>
      <c r="Y46" s="2937"/>
      <c r="Z46" s="2937"/>
      <c r="AA46" s="2937"/>
      <c r="AB46" s="2937"/>
      <c r="AC46" s="2937"/>
      <c r="AD46" s="2937"/>
    </row>
    <row r="47" spans="1:30" s="112" customFormat="1" ht="15">
      <c r="A47" s="465"/>
      <c r="B47" s="466"/>
      <c r="C47" s="1316">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2" customFormat="1" ht="15.75" thickBot="1">
      <c r="A48" s="471" t="s">
        <v>2346</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2" customFormat="1" ht="15">
      <c r="A49" s="477" t="s">
        <v>2311</v>
      </c>
      <c r="B49" s="466"/>
      <c r="C49" s="478" t="s">
        <v>2413</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2" customFormat="1" ht="15.75" thickBot="1">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c r="A51" s="483" t="s">
        <v>2349</v>
      </c>
      <c r="B51" s="484" t="s">
        <v>2315</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5.75" thickBot="1">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5.75" thickTop="1">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5.75" thickBot="1">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5.75" thickTop="1">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5.75" thickBot="1">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5.75" thickTop="1">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5.75" thickBot="1">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7.75" thickTop="1">
      <c r="A63" s="490"/>
      <c r="B63" s="494" t="s">
        <v>2501</v>
      </c>
      <c r="C63" s="534" t="s">
        <v>2358</v>
      </c>
      <c r="D63" s="534" t="s">
        <v>2359</v>
      </c>
      <c r="E63" s="534" t="s">
        <v>2360</v>
      </c>
      <c r="F63" s="534" t="s">
        <v>2361</v>
      </c>
      <c r="G63" s="534" t="s">
        <v>2362</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75" thickTop="1">
      <c r="A65" s="490"/>
      <c r="B65" s="502" t="s">
        <v>2450</v>
      </c>
      <c r="C65" s="615" t="s">
        <v>2436</v>
      </c>
      <c r="D65" s="615" t="s">
        <v>2437</v>
      </c>
      <c r="E65" s="615" t="s">
        <v>2438</v>
      </c>
      <c r="F65" s="615" t="s">
        <v>2439</v>
      </c>
      <c r="G65" s="615" t="s">
        <v>2440</v>
      </c>
      <c r="H65" s="495"/>
      <c r="I65" s="495"/>
      <c r="J65" s="495"/>
      <c r="K65" s="495"/>
      <c r="L65" s="495"/>
      <c r="M65" s="1262"/>
      <c r="N65" s="2950"/>
      <c r="O65" s="2950"/>
      <c r="P65" s="2974"/>
      <c r="Q65" s="2935"/>
      <c r="R65" s="2921"/>
      <c r="S65" s="2921"/>
      <c r="T65" s="2921"/>
      <c r="U65" s="2921"/>
      <c r="V65" s="2921"/>
      <c r="W65" s="2921"/>
      <c r="X65" s="2921"/>
      <c r="Y65" s="2921"/>
      <c r="Z65" s="2921"/>
      <c r="AA65" s="2921"/>
      <c r="AB65" s="2921"/>
      <c r="AC65" s="2921"/>
      <c r="AD65" s="292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75" thickTop="1">
      <c r="A67" s="490"/>
      <c r="B67" s="494" t="s">
        <v>2370</v>
      </c>
      <c r="C67" s="534" t="s">
        <v>2358</v>
      </c>
      <c r="D67" s="534" t="s">
        <v>2359</v>
      </c>
      <c r="E67" s="534" t="s">
        <v>2360</v>
      </c>
      <c r="F67" s="534" t="s">
        <v>2361</v>
      </c>
      <c r="G67" s="534" t="s">
        <v>2362</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75" thickTop="1">
      <c r="A69" s="490"/>
      <c r="B69" s="494" t="s">
        <v>2490</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5.75" thickBot="1">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2" customFormat="1" ht="15.75" thickTop="1">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2" customFormat="1" ht="15.75" thickBot="1">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2" customFormat="1" ht="15.75" thickTop="1">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2" customFormat="1" ht="15.75" thickBot="1">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5.75" thickTop="1">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5.75" thickBot="1">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c r="A77" s="483" t="s">
        <v>2324</v>
      </c>
      <c r="B77" s="484" t="s">
        <v>2377</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ht="15">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5"/>
      <c r="B82" s="502" t="s">
        <v>2494</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5"/>
      <c r="B84" s="494" t="s">
        <v>2502</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5.75" thickBot="1">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c r="A89" s="549"/>
      <c r="B89" s="494" t="s">
        <v>2504</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5.75" thickBot="1">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5" thickTop="1">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5.75" thickBot="1">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5" thickTop="1">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5.75" thickBot="1">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5" thickTop="1">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5.75" thickBot="1">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2507</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5">
      <c r="A4" s="360" t="s">
        <v>2406</v>
      </c>
      <c r="B4" s="361"/>
      <c r="C4" s="3429" t="s">
        <v>2407</v>
      </c>
      <c r="D4" s="3430"/>
      <c r="E4" s="3431" t="s">
        <v>2408</v>
      </c>
      <c r="F4" s="3432"/>
      <c r="G4" s="3429" t="s">
        <v>2409</v>
      </c>
      <c r="H4" s="3430"/>
      <c r="I4" s="3429" t="s">
        <v>2410</v>
      </c>
      <c r="J4" s="3430"/>
      <c r="K4" s="566" t="s">
        <v>2411</v>
      </c>
      <c r="L4" s="2911"/>
      <c r="M4" s="2912"/>
      <c r="N4" s="2912"/>
      <c r="O4" s="2912"/>
      <c r="P4" s="3433" t="s">
        <v>2412</v>
      </c>
      <c r="Q4" s="3434"/>
      <c r="R4" s="3446" t="s">
        <v>2408</v>
      </c>
      <c r="S4" s="3447"/>
      <c r="T4" s="3446" t="s">
        <v>2409</v>
      </c>
      <c r="U4" s="3447"/>
      <c r="V4" s="3421" t="s">
        <v>2410</v>
      </c>
      <c r="W4" s="3421"/>
      <c r="X4" s="1508"/>
      <c r="Y4" s="3446" t="s">
        <v>2412</v>
      </c>
      <c r="Z4" s="3447"/>
      <c r="AA4" s="3426" t="s">
        <v>2408</v>
      </c>
      <c r="AB4" s="3427" t="s">
        <v>2409</v>
      </c>
      <c r="AC4" s="3426" t="s">
        <v>2410</v>
      </c>
    </row>
    <row r="5" spans="1:30" ht="15">
      <c r="A5" s="363"/>
      <c r="B5" s="364"/>
      <c r="C5" s="3450" t="s">
        <v>2303</v>
      </c>
      <c r="D5" s="3451"/>
      <c r="E5" s="3439" t="s">
        <v>2304</v>
      </c>
      <c r="F5" s="3440"/>
      <c r="G5" s="3450" t="s">
        <v>2305</v>
      </c>
      <c r="H5" s="3451"/>
      <c r="I5" s="3450" t="s">
        <v>2306</v>
      </c>
      <c r="J5" s="3451"/>
      <c r="K5" s="566"/>
      <c r="L5" s="2911"/>
      <c r="M5" s="2912"/>
      <c r="N5" s="2912"/>
      <c r="O5" s="2912"/>
      <c r="P5" s="3435"/>
      <c r="Q5" s="3436"/>
      <c r="R5" s="3448"/>
      <c r="S5" s="3449"/>
      <c r="T5" s="3448"/>
      <c r="U5" s="3449"/>
      <c r="V5" s="3421"/>
      <c r="W5" s="3421"/>
      <c r="X5" s="1508"/>
      <c r="Y5" s="3448"/>
      <c r="Z5" s="3449"/>
      <c r="AA5" s="3427"/>
      <c r="AB5" s="3427"/>
      <c r="AC5" s="3427"/>
    </row>
    <row r="6" spans="1:30" ht="15.75" thickBot="1">
      <c r="A6" s="365"/>
      <c r="B6" s="366"/>
      <c r="C6" s="3485" t="s">
        <v>2307</v>
      </c>
      <c r="D6" s="3486"/>
      <c r="E6" s="3487" t="s">
        <v>2307</v>
      </c>
      <c r="F6" s="3488"/>
      <c r="G6" s="3485" t="s">
        <v>2307</v>
      </c>
      <c r="H6" s="3486"/>
      <c r="I6" s="3485" t="s">
        <v>2307</v>
      </c>
      <c r="J6" s="3486"/>
      <c r="K6" s="566" t="s">
        <v>2308</v>
      </c>
      <c r="L6" s="2911"/>
      <c r="M6" s="2912"/>
      <c r="N6" s="2912"/>
      <c r="O6" s="2912"/>
      <c r="P6" s="3437"/>
      <c r="Q6" s="3438"/>
      <c r="R6" s="3448"/>
      <c r="S6" s="3449"/>
      <c r="T6" s="3457"/>
      <c r="U6" s="3458"/>
      <c r="V6" s="3421"/>
      <c r="W6" s="3421"/>
      <c r="X6" s="1508"/>
      <c r="Y6" s="3457"/>
      <c r="Z6" s="3458"/>
      <c r="AA6" s="3428"/>
      <c r="AB6" s="3428"/>
      <c r="AC6" s="3428"/>
    </row>
    <row r="7" spans="1:30" s="112" customFormat="1" ht="15.75" thickBot="1">
      <c r="A7" s="367" t="s">
        <v>2309</v>
      </c>
      <c r="B7" s="368"/>
      <c r="C7" s="369">
        <f>'数据-取费表'!B2</f>
        <v>44582</v>
      </c>
      <c r="D7" s="370">
        <v>100</v>
      </c>
      <c r="E7" s="371"/>
      <c r="F7" s="372">
        <f>SUMIF(70:70,YEAR(E7)&amp;"-"&amp;INT((MONTH(E7)+2)/3),71:71)</f>
        <v>0</v>
      </c>
      <c r="G7" s="2129"/>
      <c r="H7" s="370">
        <f>SUMIF(70:70,YEAR(G7)&amp;"-"&amp;INT((MONTH(G7)+2)/3),71:71)</f>
        <v>0</v>
      </c>
      <c r="I7" s="2129"/>
      <c r="J7" s="370">
        <f>SUMIF(70:70,YEAR(I7)&amp;"-"&amp;INT((MONTH(I7)+2)/3),71:71)</f>
        <v>0</v>
      </c>
      <c r="K7" s="567"/>
      <c r="L7" s="2913"/>
      <c r="M7" s="2914"/>
      <c r="N7" s="2914"/>
      <c r="O7" s="2914"/>
      <c r="P7" s="3441" t="s">
        <v>2310</v>
      </c>
      <c r="Q7" s="3454"/>
      <c r="R7" s="709" t="s">
        <v>17</v>
      </c>
      <c r="S7" s="710">
        <f t="shared" ref="S7:S15" si="0">F7</f>
        <v>0</v>
      </c>
      <c r="T7" s="709" t="s">
        <v>17</v>
      </c>
      <c r="U7" s="710">
        <f t="shared" ref="U7:U15" si="1">H7</f>
        <v>0</v>
      </c>
      <c r="V7" s="709" t="s">
        <v>17</v>
      </c>
      <c r="W7" s="710">
        <f t="shared" ref="W7:W15" si="2">J7</f>
        <v>0</v>
      </c>
      <c r="X7" s="711"/>
      <c r="Y7" s="3441" t="s">
        <v>2310</v>
      </c>
      <c r="Z7" s="3442"/>
      <c r="AA7" s="712" t="e">
        <f>D7/F7</f>
        <v>#DIV/0!</v>
      </c>
      <c r="AB7" s="712" t="e">
        <f>D7/H7</f>
        <v>#DIV/0!</v>
      </c>
      <c r="AC7" s="712" t="e">
        <f>D7/J7</f>
        <v>#DIV/0!</v>
      </c>
    </row>
    <row r="8" spans="1:30" s="112"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3"/>
      <c r="M8" s="2914"/>
      <c r="N8" s="2914"/>
      <c r="O8" s="2914"/>
      <c r="P8" s="3441" t="s">
        <v>2313</v>
      </c>
      <c r="Q8" s="3442"/>
      <c r="R8" s="709" t="s">
        <v>17</v>
      </c>
      <c r="S8" s="710">
        <f t="shared" si="0"/>
        <v>0</v>
      </c>
      <c r="T8" s="709" t="s">
        <v>17</v>
      </c>
      <c r="U8" s="710">
        <f t="shared" si="1"/>
        <v>0</v>
      </c>
      <c r="V8" s="709" t="s">
        <v>17</v>
      </c>
      <c r="W8" s="710">
        <f t="shared" si="2"/>
        <v>0</v>
      </c>
      <c r="X8" s="711"/>
      <c r="Y8" s="3441" t="s">
        <v>2313</v>
      </c>
      <c r="Z8" s="3442"/>
      <c r="AA8" s="712" t="e">
        <f t="shared" ref="AA8:AA45" si="3">D8/F8</f>
        <v>#DIV/0!</v>
      </c>
      <c r="AB8" s="712" t="e">
        <f t="shared" ref="AB8:AB45" si="4">D8/H8</f>
        <v>#DIV/0!</v>
      </c>
      <c r="AC8" s="712" t="e">
        <f t="shared" ref="AC8:AC45" si="5">D8/J8</f>
        <v>#DIV/0!</v>
      </c>
    </row>
    <row r="9" spans="1:30" s="112" customFormat="1">
      <c r="A9" s="374" t="s">
        <v>2314</v>
      </c>
      <c r="B9" s="66" t="s">
        <v>2315</v>
      </c>
      <c r="C9" s="2132"/>
      <c r="D9" s="130">
        <v>100</v>
      </c>
      <c r="E9" s="2132"/>
      <c r="F9" s="130">
        <f>SUMIF(75:75,E9,76:76)-SUMIF(75:75,C9,76:76)+100</f>
        <v>100</v>
      </c>
      <c r="G9" s="2132"/>
      <c r="H9" s="130">
        <f>SUMIF(75:75,G9,76:76)-SUMIF(75:75,C9,76:76)+100</f>
        <v>100</v>
      </c>
      <c r="I9" s="2132"/>
      <c r="J9" s="130">
        <f>SUMIF(75:75,I9,76:76)-SUMIF(75:75,C9,76:76)+100</f>
        <v>100</v>
      </c>
      <c r="K9" s="567"/>
      <c r="L9" s="2913"/>
      <c r="M9" s="2914"/>
      <c r="N9" s="2914"/>
      <c r="O9" s="2968"/>
      <c r="P9" s="3419" t="s">
        <v>2316</v>
      </c>
      <c r="Q9" s="1496" t="str">
        <f t="shared" ref="Q9:Q15" si="6">B9</f>
        <v>用途</v>
      </c>
      <c r="R9" s="709" t="s">
        <v>17</v>
      </c>
      <c r="S9" s="710">
        <f t="shared" si="0"/>
        <v>100</v>
      </c>
      <c r="T9" s="709" t="s">
        <v>17</v>
      </c>
      <c r="U9" s="710">
        <f t="shared" si="1"/>
        <v>100</v>
      </c>
      <c r="V9" s="709" t="s">
        <v>17</v>
      </c>
      <c r="W9" s="710">
        <f t="shared" si="2"/>
        <v>100</v>
      </c>
      <c r="X9" s="711"/>
      <c r="Y9" s="3389" t="s">
        <v>2317</v>
      </c>
      <c r="Z9" s="54" t="str">
        <f t="shared" ref="Z9:Z15" si="7">Q9</f>
        <v>用途</v>
      </c>
      <c r="AA9" s="712">
        <f t="shared" si="3"/>
        <v>1</v>
      </c>
      <c r="AB9" s="712">
        <f t="shared" si="4"/>
        <v>1</v>
      </c>
      <c r="AC9" s="712">
        <f t="shared" si="5"/>
        <v>1</v>
      </c>
    </row>
    <row r="10" spans="1:30" s="385" customFormat="1" ht="27">
      <c r="A10" s="379"/>
      <c r="B10" s="380" t="s">
        <v>2318</v>
      </c>
      <c r="C10" s="390"/>
      <c r="D10" s="131">
        <v>100</v>
      </c>
      <c r="E10" s="423"/>
      <c r="F10" s="131">
        <f>ROUND(100/'数据-取费表'!G16,0)</f>
        <v>107</v>
      </c>
      <c r="G10" s="421"/>
      <c r="H10" s="131">
        <f>ROUND(100/'数据-取费表'!G16,0)</f>
        <v>107</v>
      </c>
      <c r="I10" s="421"/>
      <c r="J10" s="131">
        <f>ROUND(100/'数据-取费表'!G16,0)</f>
        <v>107</v>
      </c>
      <c r="K10" s="627"/>
      <c r="L10" s="2915"/>
      <c r="M10" s="2916"/>
      <c r="N10" s="2916"/>
      <c r="O10" s="2969"/>
      <c r="P10" s="3419"/>
      <c r="Q10" s="1496" t="str">
        <f t="shared" si="6"/>
        <v>土地使用年限（年）</v>
      </c>
      <c r="R10" s="709" t="s">
        <v>17</v>
      </c>
      <c r="S10" s="710">
        <f t="shared" si="0"/>
        <v>107</v>
      </c>
      <c r="T10" s="709" t="s">
        <v>17</v>
      </c>
      <c r="U10" s="710">
        <f t="shared" si="1"/>
        <v>107</v>
      </c>
      <c r="V10" s="709" t="s">
        <v>17</v>
      </c>
      <c r="W10" s="710">
        <f t="shared" si="2"/>
        <v>107</v>
      </c>
      <c r="X10" s="711"/>
      <c r="Y10" s="3389"/>
      <c r="Z10" s="54" t="str">
        <f t="shared" si="7"/>
        <v>土地使用年限（年）</v>
      </c>
      <c r="AA10" s="712">
        <f t="shared" si="3"/>
        <v>0.93457943925233644</v>
      </c>
      <c r="AB10" s="712">
        <f t="shared" si="4"/>
        <v>0.93457943925233644</v>
      </c>
      <c r="AC10" s="712">
        <f t="shared" si="5"/>
        <v>0.93457943925233644</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7"/>
      <c r="M11" s="2912"/>
      <c r="N11" s="2912"/>
      <c r="O11" s="2970"/>
      <c r="P11" s="3419"/>
      <c r="Q11" s="1496" t="str">
        <f t="shared" si="6"/>
        <v>容积率</v>
      </c>
      <c r="R11" s="709" t="s">
        <v>17</v>
      </c>
      <c r="S11" s="710" t="e">
        <f t="shared" si="0"/>
        <v>#N/A</v>
      </c>
      <c r="T11" s="709" t="s">
        <v>17</v>
      </c>
      <c r="U11" s="710" t="e">
        <f t="shared" si="1"/>
        <v>#N/A</v>
      </c>
      <c r="V11" s="709" t="s">
        <v>17</v>
      </c>
      <c r="W11" s="710" t="e">
        <f t="shared" si="2"/>
        <v>#N/A</v>
      </c>
      <c r="X11" s="711"/>
      <c r="Y11" s="3389"/>
      <c r="Z11" s="54" t="str">
        <f t="shared" si="7"/>
        <v>容积率</v>
      </c>
      <c r="AA11" s="712" t="e">
        <f t="shared" si="3"/>
        <v>#N/A</v>
      </c>
      <c r="AB11" s="712" t="e">
        <f t="shared" si="4"/>
        <v>#N/A</v>
      </c>
      <c r="AC11" s="712" t="e">
        <f t="shared" si="5"/>
        <v>#N/A</v>
      </c>
    </row>
    <row r="12" spans="1:30" s="112" customFormat="1" ht="15">
      <c r="A12" s="389"/>
      <c r="B12" s="2048" t="s">
        <v>2508</v>
      </c>
      <c r="C12" s="390"/>
      <c r="D12" s="391">
        <v>100</v>
      </c>
      <c r="E12" s="423"/>
      <c r="F12" s="131">
        <f>SUMIF(82:82,E12,83:83)-SUMIF(82:82,C12,83:83)+100</f>
        <v>100</v>
      </c>
      <c r="G12" s="421"/>
      <c r="H12" s="131">
        <f>SUMIF(82:82,G12,83:83)-SUMIF(82:82,C12,83:83)+100</f>
        <v>100</v>
      </c>
      <c r="I12" s="423"/>
      <c r="J12" s="131">
        <f>SUMIF(82:82,I12,83:83)-SUMIF(82:82,C12,83:83)+100</f>
        <v>100</v>
      </c>
      <c r="K12" s="627"/>
      <c r="L12" s="2913"/>
      <c r="M12" s="2914"/>
      <c r="N12" s="2914"/>
      <c r="O12" s="2968"/>
      <c r="P12" s="3419"/>
      <c r="Q12" s="1496" t="str">
        <f t="shared" si="6"/>
        <v>配建</v>
      </c>
      <c r="R12" s="709" t="s">
        <v>17</v>
      </c>
      <c r="S12" s="710">
        <f t="shared" si="0"/>
        <v>100</v>
      </c>
      <c r="T12" s="709" t="s">
        <v>17</v>
      </c>
      <c r="U12" s="710">
        <f t="shared" si="1"/>
        <v>100</v>
      </c>
      <c r="V12" s="709" t="s">
        <v>17</v>
      </c>
      <c r="W12" s="710">
        <f t="shared" si="2"/>
        <v>100</v>
      </c>
      <c r="X12" s="711"/>
      <c r="Y12" s="3389"/>
      <c r="Z12" s="54" t="str">
        <f t="shared" si="7"/>
        <v>配建</v>
      </c>
      <c r="AA12" s="712">
        <f>D12/F12</f>
        <v>1</v>
      </c>
      <c r="AB12" s="712">
        <f>D12/H12</f>
        <v>1</v>
      </c>
      <c r="AC12" s="712">
        <f>D12/J12</f>
        <v>1</v>
      </c>
    </row>
    <row r="13" spans="1:30" ht="15">
      <c r="A13" s="386"/>
      <c r="B13" s="2048">
        <v>111</v>
      </c>
      <c r="C13" s="392"/>
      <c r="D13" s="393">
        <v>100</v>
      </c>
      <c r="E13" s="505"/>
      <c r="F13" s="131">
        <f>SUMIF(84:84,E13,85:85)-SUMIF(84:84,C13,85:85)+100</f>
        <v>100</v>
      </c>
      <c r="G13" s="629"/>
      <c r="H13" s="393">
        <f>SUMIF(84:84,G13,85:85)-SUMIF(84:84,C13,85:85)+100</f>
        <v>100</v>
      </c>
      <c r="I13" s="629"/>
      <c r="J13" s="393">
        <f>SUMIF(84:84,I13,85:85)-SUMIF(84:84,C13,85:85)+100</f>
        <v>100</v>
      </c>
      <c r="K13" s="627"/>
      <c r="L13" s="2918"/>
      <c r="M13" s="2912"/>
      <c r="N13" s="2912"/>
      <c r="O13" s="2970"/>
      <c r="P13" s="3419"/>
      <c r="Q13" s="1496">
        <f t="shared" si="6"/>
        <v>111</v>
      </c>
      <c r="R13" s="709" t="s">
        <v>17</v>
      </c>
      <c r="S13" s="710">
        <f t="shared" si="0"/>
        <v>100</v>
      </c>
      <c r="T13" s="709" t="s">
        <v>17</v>
      </c>
      <c r="U13" s="710">
        <f t="shared" si="1"/>
        <v>100</v>
      </c>
      <c r="V13" s="709" t="s">
        <v>17</v>
      </c>
      <c r="W13" s="710">
        <f t="shared" si="2"/>
        <v>100</v>
      </c>
      <c r="X13" s="711"/>
      <c r="Y13" s="3389"/>
      <c r="Z13" s="54">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419"/>
      <c r="Q14" s="1496">
        <f t="shared" si="6"/>
        <v>111</v>
      </c>
      <c r="R14" s="709" t="s">
        <v>17</v>
      </c>
      <c r="S14" s="710">
        <f t="shared" si="0"/>
        <v>100</v>
      </c>
      <c r="T14" s="709" t="s">
        <v>17</v>
      </c>
      <c r="U14" s="710">
        <f t="shared" si="1"/>
        <v>100</v>
      </c>
      <c r="V14" s="709" t="s">
        <v>17</v>
      </c>
      <c r="W14" s="710">
        <f t="shared" si="2"/>
        <v>100</v>
      </c>
      <c r="X14" s="711"/>
      <c r="Y14" s="3389"/>
      <c r="Z14" s="54">
        <f t="shared" si="7"/>
        <v>111</v>
      </c>
      <c r="AA14" s="712">
        <f>D14/F14</f>
        <v>1</v>
      </c>
      <c r="AB14" s="712">
        <f>D14/H14</f>
        <v>1</v>
      </c>
      <c r="AC14" s="712">
        <f>D14/J14</f>
        <v>1</v>
      </c>
    </row>
    <row r="15" spans="1:30" ht="15">
      <c r="A15" s="398" t="s">
        <v>2320</v>
      </c>
      <c r="B15" s="64" t="s">
        <v>1883</v>
      </c>
      <c r="C15" s="2051">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422" t="s">
        <v>2321</v>
      </c>
      <c r="Q15" s="1505" t="str">
        <f t="shared" si="6"/>
        <v>居住社区成熟度</v>
      </c>
      <c r="R15" s="713" t="s">
        <v>17</v>
      </c>
      <c r="S15" s="714">
        <f t="shared" si="0"/>
        <v>100</v>
      </c>
      <c r="T15" s="713" t="s">
        <v>17</v>
      </c>
      <c r="U15" s="714">
        <f t="shared" si="1"/>
        <v>100</v>
      </c>
      <c r="V15" s="713" t="s">
        <v>17</v>
      </c>
      <c r="W15" s="714">
        <f t="shared" si="2"/>
        <v>100</v>
      </c>
      <c r="X15" s="1508"/>
      <c r="Y15" s="3422"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18"/>
      <c r="M16" s="2912"/>
      <c r="N16" s="2912"/>
      <c r="O16" s="2970"/>
      <c r="P16" s="3423"/>
      <c r="Q16" s="1505"/>
      <c r="R16" s="713"/>
      <c r="S16" s="714"/>
      <c r="T16" s="713"/>
      <c r="U16" s="714"/>
      <c r="V16" s="713"/>
      <c r="W16" s="714"/>
      <c r="X16" s="1508"/>
      <c r="Y16" s="3423"/>
      <c r="Z16" s="1509"/>
      <c r="AA16" s="1506">
        <v>1</v>
      </c>
      <c r="AB16" s="1506">
        <v>1</v>
      </c>
      <c r="AC16" s="1506">
        <v>1</v>
      </c>
    </row>
    <row r="17" spans="1:29" ht="15">
      <c r="A17" s="386"/>
      <c r="B17" s="409" t="s">
        <v>2414</v>
      </c>
      <c r="C17" s="2110">
        <f>估价对象房地状况!C16</f>
        <v>0</v>
      </c>
      <c r="D17" s="408">
        <v>100</v>
      </c>
      <c r="E17" s="410"/>
      <c r="F17" s="408">
        <f>SUMIF(90:90,E18,91:91)-SUMIF(90:90,C18,91:91)+100</f>
        <v>100</v>
      </c>
      <c r="G17" s="410"/>
      <c r="H17" s="413">
        <f>SUMIF(90:90,G18,91:91)-SUMIF(90:90,C18,91:91)+100</f>
        <v>100</v>
      </c>
      <c r="I17" s="412"/>
      <c r="J17" s="413">
        <f>SUMIF(90:90,I18,91:91)-SUMIF(90:90,C18,91:91)+100</f>
        <v>100</v>
      </c>
      <c r="K17" s="628"/>
      <c r="L17" s="2918"/>
      <c r="M17" s="2912"/>
      <c r="N17" s="2912"/>
      <c r="O17" s="2970"/>
      <c r="P17" s="3423"/>
      <c r="Q17" s="1505" t="str">
        <f>B17</f>
        <v>商业繁华度</v>
      </c>
      <c r="R17" s="713" t="s">
        <v>17</v>
      </c>
      <c r="S17" s="714">
        <f>F17</f>
        <v>100</v>
      </c>
      <c r="T17" s="713" t="s">
        <v>17</v>
      </c>
      <c r="U17" s="714">
        <f>H17</f>
        <v>100</v>
      </c>
      <c r="V17" s="713" t="s">
        <v>17</v>
      </c>
      <c r="W17" s="714">
        <f>J17</f>
        <v>100</v>
      </c>
      <c r="X17" s="1508"/>
      <c r="Y17" s="3423"/>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18"/>
      <c r="M18" s="2912"/>
      <c r="N18" s="2912"/>
      <c r="O18" s="2970"/>
      <c r="P18" s="3423"/>
      <c r="Q18" s="1505"/>
      <c r="R18" s="713"/>
      <c r="S18" s="714"/>
      <c r="T18" s="713"/>
      <c r="U18" s="714"/>
      <c r="V18" s="713"/>
      <c r="W18" s="714"/>
      <c r="X18" s="1508"/>
      <c r="Y18" s="3423"/>
      <c r="Z18" s="1509"/>
      <c r="AA18" s="1506">
        <v>1</v>
      </c>
      <c r="AB18" s="1506">
        <v>1</v>
      </c>
      <c r="AC18" s="1506">
        <v>1</v>
      </c>
    </row>
    <row r="19" spans="1:29" ht="15">
      <c r="A19" s="386"/>
      <c r="B19" s="409" t="s">
        <v>2448</v>
      </c>
      <c r="C19" s="2110">
        <f>估价对象房地状况!C17</f>
        <v>0</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423"/>
      <c r="Q19" s="1505" t="str">
        <f>B19</f>
        <v>办公集聚程度</v>
      </c>
      <c r="R19" s="713" t="s">
        <v>17</v>
      </c>
      <c r="S19" s="714">
        <f>F19</f>
        <v>100</v>
      </c>
      <c r="T19" s="713" t="s">
        <v>17</v>
      </c>
      <c r="U19" s="714">
        <f>H19</f>
        <v>100</v>
      </c>
      <c r="V19" s="713" t="s">
        <v>17</v>
      </c>
      <c r="W19" s="714">
        <f>J19</f>
        <v>100</v>
      </c>
      <c r="X19" s="1508"/>
      <c r="Y19" s="3423"/>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18"/>
      <c r="M20" s="2912"/>
      <c r="N20" s="2912"/>
      <c r="O20" s="2970"/>
      <c r="P20" s="3423"/>
      <c r="Q20" s="1505"/>
      <c r="R20" s="713"/>
      <c r="S20" s="714"/>
      <c r="T20" s="713"/>
      <c r="U20" s="714"/>
      <c r="V20" s="713"/>
      <c r="W20" s="714"/>
      <c r="X20" s="1508"/>
      <c r="Y20" s="3423"/>
      <c r="Z20" s="1509"/>
      <c r="AA20" s="1506">
        <v>1</v>
      </c>
      <c r="AB20" s="1506">
        <v>1</v>
      </c>
      <c r="AC20" s="1506">
        <v>1</v>
      </c>
    </row>
    <row r="21" spans="1:29" ht="15">
      <c r="A21" s="386"/>
      <c r="B21" s="409" t="s">
        <v>2470</v>
      </c>
      <c r="C21" s="2055">
        <f>估价对象房地状况!C18</f>
        <v>0</v>
      </c>
      <c r="D21" s="408">
        <v>100</v>
      </c>
      <c r="E21" s="410"/>
      <c r="F21" s="413">
        <f>SUMIF(94:94,E22,95:95)-SUMIF(94:94,C22,95:95)+100</f>
        <v>100</v>
      </c>
      <c r="G21" s="410"/>
      <c r="H21" s="408">
        <f>SUMIF(94:94,G22,95:95)-SUMIF(94:94,C22,95:95)+100</f>
        <v>100</v>
      </c>
      <c r="I21" s="412"/>
      <c r="J21" s="408">
        <f>SUMIF(94:94,I22,95:95)-SUMIF(94:94,C22,95:95)+100</f>
        <v>100</v>
      </c>
      <c r="K21" s="628"/>
      <c r="L21" s="2918"/>
      <c r="M21" s="2912"/>
      <c r="N21" s="2912"/>
      <c r="O21" s="2970"/>
      <c r="P21" s="3423"/>
      <c r="Q21" s="1505" t="str">
        <f>B21</f>
        <v>交通便捷度</v>
      </c>
      <c r="R21" s="713" t="s">
        <v>17</v>
      </c>
      <c r="S21" s="714">
        <f>F21</f>
        <v>100</v>
      </c>
      <c r="T21" s="713" t="s">
        <v>17</v>
      </c>
      <c r="U21" s="714">
        <f>H21</f>
        <v>100</v>
      </c>
      <c r="V21" s="713" t="s">
        <v>17</v>
      </c>
      <c r="W21" s="714">
        <f>J21</f>
        <v>100</v>
      </c>
      <c r="X21" s="1508"/>
      <c r="Y21" s="3423"/>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18"/>
      <c r="M22" s="2912"/>
      <c r="N22" s="2912"/>
      <c r="O22" s="2970"/>
      <c r="P22" s="3423"/>
      <c r="Q22" s="1505"/>
      <c r="R22" s="713"/>
      <c r="S22" s="714"/>
      <c r="T22" s="713"/>
      <c r="U22" s="714"/>
      <c r="V22" s="713"/>
      <c r="W22" s="714"/>
      <c r="X22" s="1508"/>
      <c r="Y22" s="3423"/>
      <c r="Z22" s="1509"/>
      <c r="AA22" s="1506">
        <v>1</v>
      </c>
      <c r="AB22" s="1506">
        <v>1</v>
      </c>
      <c r="AC22" s="1506">
        <v>1</v>
      </c>
    </row>
    <row r="23" spans="1:29" ht="15">
      <c r="A23" s="363"/>
      <c r="B23" s="409" t="s">
        <v>2509</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8"/>
      <c r="M23" s="2912"/>
      <c r="N23" s="2912"/>
      <c r="O23" s="2970"/>
      <c r="P23" s="3423"/>
      <c r="Q23" s="1505" t="str">
        <f t="shared" ref="Q23:Q37" si="8">B23</f>
        <v>区域土地利用方向</v>
      </c>
      <c r="R23" s="713" t="s">
        <v>17</v>
      </c>
      <c r="S23" s="714">
        <f>F23</f>
        <v>100</v>
      </c>
      <c r="T23" s="713" t="s">
        <v>17</v>
      </c>
      <c r="U23" s="714">
        <f>H23</f>
        <v>100</v>
      </c>
      <c r="V23" s="713" t="s">
        <v>17</v>
      </c>
      <c r="W23" s="714">
        <f>J23</f>
        <v>100</v>
      </c>
      <c r="X23" s="1508"/>
      <c r="Y23" s="3423"/>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18"/>
      <c r="M24" s="2912"/>
      <c r="N24" s="2912"/>
      <c r="O24" s="2970"/>
      <c r="P24" s="3423"/>
      <c r="Q24" s="1505"/>
      <c r="R24" s="713"/>
      <c r="S24" s="714"/>
      <c r="T24" s="713"/>
      <c r="U24" s="714"/>
      <c r="V24" s="713"/>
      <c r="W24" s="714"/>
      <c r="X24" s="1508"/>
      <c r="Y24" s="3423"/>
      <c r="Z24" s="1509"/>
      <c r="AA24" s="1506"/>
      <c r="AB24" s="1506"/>
      <c r="AC24" s="1506"/>
    </row>
    <row r="25" spans="1:29" ht="27">
      <c r="A25" s="363"/>
      <c r="B25" s="1264" t="s">
        <v>2510</v>
      </c>
      <c r="C25" s="2110">
        <f>估价对象房地状况!C20</f>
        <v>0</v>
      </c>
      <c r="D25" s="408">
        <v>100</v>
      </c>
      <c r="E25" s="410"/>
      <c r="F25" s="408">
        <f>SUMIF(98:98,E26,99:99)-SUMIF(98:98,C26,99:99)+100</f>
        <v>100</v>
      </c>
      <c r="G25" s="410"/>
      <c r="H25" s="408">
        <f>SUMIF(98:98,G26,99:99)-SUMIF(98:98,C26,99:99)+100</f>
        <v>100</v>
      </c>
      <c r="I25" s="412"/>
      <c r="J25" s="408">
        <f>SUMIF(98:98,I26,99:99)-SUMIF(98:98,C26,99:99)+100</f>
        <v>100</v>
      </c>
      <c r="K25" s="628"/>
      <c r="L25" s="2918"/>
      <c r="M25" s="2912"/>
      <c r="N25" s="2912"/>
      <c r="O25" s="2970"/>
      <c r="P25" s="3423"/>
      <c r="Q25" s="1505" t="str">
        <f t="shared" si="8"/>
        <v>自然及人文环境状况</v>
      </c>
      <c r="R25" s="713" t="s">
        <v>17</v>
      </c>
      <c r="S25" s="714">
        <f>F25</f>
        <v>100</v>
      </c>
      <c r="T25" s="713" t="s">
        <v>17</v>
      </c>
      <c r="U25" s="714">
        <f>H25</f>
        <v>100</v>
      </c>
      <c r="V25" s="713" t="s">
        <v>17</v>
      </c>
      <c r="W25" s="714">
        <f>J25</f>
        <v>100</v>
      </c>
      <c r="X25" s="1508"/>
      <c r="Y25" s="3423"/>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18"/>
      <c r="M26" s="2912"/>
      <c r="N26" s="2912"/>
      <c r="O26" s="2970"/>
      <c r="P26" s="3423"/>
      <c r="Q26" s="1505"/>
      <c r="R26" s="713"/>
      <c r="S26" s="714"/>
      <c r="T26" s="713"/>
      <c r="U26" s="714"/>
      <c r="V26" s="713"/>
      <c r="W26" s="714"/>
      <c r="X26" s="1508"/>
      <c r="Y26" s="3423"/>
      <c r="Z26" s="1509"/>
      <c r="AA26" s="1506">
        <v>1</v>
      </c>
      <c r="AB26" s="1506">
        <v>1</v>
      </c>
      <c r="AC26" s="1506">
        <v>1</v>
      </c>
    </row>
    <row r="27" spans="1:29" s="112" customFormat="1" ht="15">
      <c r="A27" s="604"/>
      <c r="B27" s="1264" t="s">
        <v>2415</v>
      </c>
      <c r="C27" s="2055">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3"/>
      <c r="M27" s="2914"/>
      <c r="N27" s="2914"/>
      <c r="O27" s="2968"/>
      <c r="P27" s="3423"/>
      <c r="Q27" s="1496" t="str">
        <f t="shared" si="8"/>
        <v>公共配套设施</v>
      </c>
      <c r="R27" s="709" t="s">
        <v>17</v>
      </c>
      <c r="S27" s="710">
        <f>F27</f>
        <v>100</v>
      </c>
      <c r="T27" s="709" t="s">
        <v>17</v>
      </c>
      <c r="U27" s="710">
        <f>H27</f>
        <v>100</v>
      </c>
      <c r="V27" s="709" t="s">
        <v>17</v>
      </c>
      <c r="W27" s="710">
        <f>J27</f>
        <v>100</v>
      </c>
      <c r="X27" s="711"/>
      <c r="Y27" s="3423"/>
      <c r="Z27" s="54" t="str">
        <f>Q27</f>
        <v>公共配套设施</v>
      </c>
      <c r="AA27" s="1506">
        <f>D27/F27</f>
        <v>1</v>
      </c>
      <c r="AB27" s="1506">
        <f>D27/H27</f>
        <v>1</v>
      </c>
      <c r="AC27" s="1506">
        <f>D27/J27</f>
        <v>1</v>
      </c>
    </row>
    <row r="28" spans="1:29" s="112" customFormat="1" ht="15">
      <c r="A28" s="604"/>
      <c r="B28" s="414"/>
      <c r="C28" s="2133"/>
      <c r="D28" s="406"/>
      <c r="E28" s="2059"/>
      <c r="F28" s="406"/>
      <c r="G28" s="2059"/>
      <c r="H28" s="406"/>
      <c r="I28" s="405"/>
      <c r="J28" s="406"/>
      <c r="K28" s="627"/>
      <c r="L28" s="2913"/>
      <c r="M28" s="2914"/>
      <c r="N28" s="2914"/>
      <c r="O28" s="2968"/>
      <c r="P28" s="3423"/>
      <c r="Q28" s="1496"/>
      <c r="R28" s="709"/>
      <c r="S28" s="710"/>
      <c r="T28" s="709"/>
      <c r="U28" s="710"/>
      <c r="V28" s="709"/>
      <c r="W28" s="710"/>
      <c r="X28" s="711"/>
      <c r="Y28" s="3423"/>
      <c r="Z28" s="54"/>
      <c r="AA28" s="1506">
        <v>1</v>
      </c>
      <c r="AB28" s="1506">
        <v>1</v>
      </c>
      <c r="AC28" s="1506">
        <v>1</v>
      </c>
    </row>
    <row r="29" spans="1:29" s="112" customFormat="1" ht="15">
      <c r="A29" s="604"/>
      <c r="B29" s="1264" t="s">
        <v>2416</v>
      </c>
      <c r="C29" s="2055">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3"/>
      <c r="M29" s="2914"/>
      <c r="N29" s="2914"/>
      <c r="O29" s="2968"/>
      <c r="P29" s="3423"/>
      <c r="Q29" s="1496" t="str">
        <f t="shared" ref="Q29" si="9">B29</f>
        <v>基础设施水平</v>
      </c>
      <c r="R29" s="709" t="s">
        <v>17</v>
      </c>
      <c r="S29" s="710">
        <f>F29</f>
        <v>100</v>
      </c>
      <c r="T29" s="709" t="s">
        <v>17</v>
      </c>
      <c r="U29" s="710">
        <f>H29</f>
        <v>100</v>
      </c>
      <c r="V29" s="709" t="s">
        <v>17</v>
      </c>
      <c r="W29" s="710">
        <f>J29</f>
        <v>100</v>
      </c>
      <c r="X29" s="711"/>
      <c r="Y29" s="3423"/>
      <c r="Z29" s="54" t="str">
        <f>Q29</f>
        <v>基础设施水平</v>
      </c>
      <c r="AA29" s="1506">
        <f>D29/F29</f>
        <v>1</v>
      </c>
      <c r="AB29" s="1506">
        <f>D29/H29</f>
        <v>1</v>
      </c>
      <c r="AC29" s="1506">
        <f>D29/J29</f>
        <v>1</v>
      </c>
    </row>
    <row r="30" spans="1:29" s="112" customFormat="1" ht="15">
      <c r="A30" s="604"/>
      <c r="B30" s="414"/>
      <c r="C30" s="2133"/>
      <c r="D30" s="406"/>
      <c r="E30" s="2134"/>
      <c r="F30" s="406"/>
      <c r="G30" s="2134"/>
      <c r="H30" s="406"/>
      <c r="I30" s="2134"/>
      <c r="J30" s="406"/>
      <c r="K30" s="627"/>
      <c r="L30" s="2913"/>
      <c r="M30" s="2914"/>
      <c r="N30" s="2914"/>
      <c r="O30" s="2968"/>
      <c r="P30" s="3423"/>
      <c r="Q30" s="1496"/>
      <c r="R30" s="709"/>
      <c r="S30" s="710"/>
      <c r="T30" s="709"/>
      <c r="U30" s="710"/>
      <c r="V30" s="709"/>
      <c r="W30" s="710"/>
      <c r="X30" s="711"/>
      <c r="Y30" s="3423"/>
      <c r="Z30" s="54"/>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8"/>
      <c r="M31" s="2912"/>
      <c r="N31" s="2912"/>
      <c r="O31" s="2970"/>
      <c r="P31" s="3423"/>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423"/>
      <c r="Z31" s="1509" t="str">
        <f t="shared" ref="Z31:Z45" si="13">Q31</f>
        <v>临街状况</v>
      </c>
      <c r="AA31" s="1506">
        <f t="shared" si="3"/>
        <v>1</v>
      </c>
      <c r="AB31" s="1506">
        <f t="shared" si="4"/>
        <v>1</v>
      </c>
      <c r="AC31" s="1506">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8"/>
      <c r="M32" s="2912"/>
      <c r="N32" s="2912"/>
      <c r="O32" s="2970"/>
      <c r="P32" s="3423"/>
      <c r="Q32" s="1505" t="str">
        <f t="shared" si="8"/>
        <v>毗邻道路的类型与等级</v>
      </c>
      <c r="R32" s="713" t="s">
        <v>17</v>
      </c>
      <c r="S32" s="714">
        <f t="shared" si="10"/>
        <v>100</v>
      </c>
      <c r="T32" s="713" t="s">
        <v>17</v>
      </c>
      <c r="U32" s="714">
        <f t="shared" si="11"/>
        <v>100</v>
      </c>
      <c r="V32" s="713" t="s">
        <v>17</v>
      </c>
      <c r="W32" s="714">
        <f t="shared" si="12"/>
        <v>100</v>
      </c>
      <c r="X32" s="1508"/>
      <c r="Y32" s="3423"/>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18"/>
      <c r="M33" s="2912"/>
      <c r="N33" s="2912"/>
      <c r="O33" s="2970"/>
      <c r="P33" s="3423"/>
      <c r="Q33" s="1505"/>
      <c r="R33" s="713"/>
      <c r="S33" s="714"/>
      <c r="T33" s="713"/>
      <c r="U33" s="714"/>
      <c r="V33" s="713"/>
      <c r="W33" s="714"/>
      <c r="X33" s="1508"/>
      <c r="Y33" s="3423"/>
      <c r="Z33" s="1509"/>
      <c r="AA33" s="1506">
        <v>1</v>
      </c>
      <c r="AB33" s="1506">
        <v>1</v>
      </c>
      <c r="AC33" s="1506">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423"/>
      <c r="Q34" s="1505" t="str">
        <f t="shared" si="8"/>
        <v>土地级别</v>
      </c>
      <c r="R34" s="713" t="s">
        <v>17</v>
      </c>
      <c r="S34" s="714">
        <f t="shared" si="10"/>
        <v>100</v>
      </c>
      <c r="T34" s="713" t="s">
        <v>17</v>
      </c>
      <c r="U34" s="714">
        <f t="shared" si="11"/>
        <v>100</v>
      </c>
      <c r="V34" s="713" t="s">
        <v>17</v>
      </c>
      <c r="W34" s="714">
        <f t="shared" si="12"/>
        <v>100</v>
      </c>
      <c r="X34" s="1508"/>
      <c r="Y34" s="3423"/>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423"/>
      <c r="Q35" s="1505">
        <f t="shared" si="8"/>
        <v>111</v>
      </c>
      <c r="R35" s="713" t="s">
        <v>17</v>
      </c>
      <c r="S35" s="714">
        <f t="shared" si="10"/>
        <v>100</v>
      </c>
      <c r="T35" s="713" t="s">
        <v>17</v>
      </c>
      <c r="U35" s="714">
        <f t="shared" si="11"/>
        <v>100</v>
      </c>
      <c r="V35" s="713" t="s">
        <v>17</v>
      </c>
      <c r="W35" s="714">
        <f t="shared" si="12"/>
        <v>100</v>
      </c>
      <c r="X35" s="1508"/>
      <c r="Y35" s="3423"/>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424" t="s">
        <v>2326</v>
      </c>
      <c r="Q36" s="1505">
        <f t="shared" si="8"/>
        <v>111</v>
      </c>
      <c r="R36" s="713" t="s">
        <v>17</v>
      </c>
      <c r="S36" s="714">
        <f t="shared" si="10"/>
        <v>100</v>
      </c>
      <c r="T36" s="713" t="s">
        <v>17</v>
      </c>
      <c r="U36" s="714">
        <f t="shared" si="11"/>
        <v>100</v>
      </c>
      <c r="V36" s="713" t="s">
        <v>17</v>
      </c>
      <c r="W36" s="714">
        <f t="shared" si="12"/>
        <v>100</v>
      </c>
      <c r="X36" s="1508"/>
      <c r="Y36" s="3425" t="s">
        <v>2326</v>
      </c>
      <c r="Z36" s="1509">
        <f t="shared" si="13"/>
        <v>111</v>
      </c>
      <c r="AA36" s="1506">
        <f t="shared" si="3"/>
        <v>1</v>
      </c>
      <c r="AB36" s="1506">
        <f t="shared" si="4"/>
        <v>1</v>
      </c>
      <c r="AC36" s="1506">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425"/>
      <c r="Q37" s="1505">
        <f t="shared" si="8"/>
        <v>111</v>
      </c>
      <c r="R37" s="716" t="s">
        <v>17</v>
      </c>
      <c r="S37" s="717">
        <f t="shared" si="10"/>
        <v>100</v>
      </c>
      <c r="T37" s="716" t="s">
        <v>17</v>
      </c>
      <c r="U37" s="717">
        <f t="shared" si="11"/>
        <v>100</v>
      </c>
      <c r="V37" s="716" t="s">
        <v>17</v>
      </c>
      <c r="W37" s="717">
        <f t="shared" si="12"/>
        <v>100</v>
      </c>
      <c r="X37" s="718"/>
      <c r="Y37" s="3425"/>
      <c r="Z37" s="719">
        <f t="shared" si="13"/>
        <v>111</v>
      </c>
      <c r="AA37" s="1506">
        <f t="shared" si="3"/>
        <v>1</v>
      </c>
      <c r="AB37" s="1506">
        <f t="shared" si="4"/>
        <v>1</v>
      </c>
      <c r="AC37" s="1506">
        <f t="shared" si="5"/>
        <v>1</v>
      </c>
    </row>
    <row r="38" spans="1:29" ht="15">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8"/>
      <c r="M38" s="2912"/>
      <c r="N38" s="2912"/>
      <c r="O38" s="2970"/>
      <c r="P38" s="3425"/>
      <c r="Q38" s="1505" t="str">
        <f>B38</f>
        <v>宗地面积</v>
      </c>
      <c r="R38" s="713" t="s">
        <v>17</v>
      </c>
      <c r="S38" s="714" t="e">
        <f t="shared" si="10"/>
        <v>#N/A</v>
      </c>
      <c r="T38" s="713" t="s">
        <v>17</v>
      </c>
      <c r="U38" s="714" t="e">
        <f t="shared" si="11"/>
        <v>#N/A</v>
      </c>
      <c r="V38" s="713" t="s">
        <v>17</v>
      </c>
      <c r="W38" s="714" t="e">
        <f t="shared" si="12"/>
        <v>#N/A</v>
      </c>
      <c r="X38" s="1508"/>
      <c r="Y38" s="3425"/>
      <c r="Z38" s="1509" t="str">
        <f t="shared" si="13"/>
        <v>宗地面积</v>
      </c>
      <c r="AA38" s="1506" t="e">
        <f t="shared" si="3"/>
        <v>#N/A</v>
      </c>
      <c r="AB38" s="1506" t="e">
        <f t="shared" si="4"/>
        <v>#N/A</v>
      </c>
      <c r="AC38" s="1506" t="e">
        <f t="shared" si="5"/>
        <v>#N/A</v>
      </c>
    </row>
    <row r="39" spans="1:29" ht="15">
      <c r="A39" s="430"/>
      <c r="B39" s="380" t="s">
        <v>2513</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18"/>
      <c r="M39" s="2912"/>
      <c r="N39" s="2912"/>
      <c r="O39" s="2970"/>
      <c r="P39" s="3425"/>
      <c r="Q39" s="1505" t="str">
        <f t="shared" ref="Q39:Q45" si="14">B39</f>
        <v>宗地形状</v>
      </c>
      <c r="R39" s="713" t="s">
        <v>17</v>
      </c>
      <c r="S39" s="714">
        <f t="shared" si="10"/>
        <v>100</v>
      </c>
      <c r="T39" s="713" t="s">
        <v>17</v>
      </c>
      <c r="U39" s="714">
        <f t="shared" si="11"/>
        <v>100</v>
      </c>
      <c r="V39" s="713" t="s">
        <v>17</v>
      </c>
      <c r="W39" s="714">
        <f t="shared" si="12"/>
        <v>100</v>
      </c>
      <c r="X39" s="1508"/>
      <c r="Y39" s="3425"/>
      <c r="Z39" s="1509" t="str">
        <f t="shared" si="13"/>
        <v>宗地形状</v>
      </c>
      <c r="AA39" s="1506">
        <f t="shared" si="3"/>
        <v>1</v>
      </c>
      <c r="AB39" s="1506">
        <f t="shared" si="4"/>
        <v>1</v>
      </c>
      <c r="AC39" s="1506">
        <f t="shared" si="5"/>
        <v>1</v>
      </c>
    </row>
    <row r="40" spans="1:29" ht="15">
      <c r="A40" s="430"/>
      <c r="B40" s="380" t="s">
        <v>2514</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18"/>
      <c r="M40" s="2912"/>
      <c r="N40" s="2912"/>
      <c r="O40" s="2970"/>
      <c r="P40" s="3425"/>
      <c r="Q40" s="1505" t="str">
        <f t="shared" si="14"/>
        <v>临街宽度及深度</v>
      </c>
      <c r="R40" s="713" t="s">
        <v>17</v>
      </c>
      <c r="S40" s="714">
        <f t="shared" si="10"/>
        <v>100</v>
      </c>
      <c r="T40" s="713" t="s">
        <v>17</v>
      </c>
      <c r="U40" s="714">
        <f t="shared" si="11"/>
        <v>100</v>
      </c>
      <c r="V40" s="713" t="s">
        <v>17</v>
      </c>
      <c r="W40" s="714">
        <f t="shared" si="12"/>
        <v>100</v>
      </c>
      <c r="X40" s="1508"/>
      <c r="Y40" s="3425"/>
      <c r="Z40" s="1509" t="str">
        <f t="shared" si="13"/>
        <v>临街宽度及深度</v>
      </c>
      <c r="AA40" s="1506">
        <f t="shared" si="3"/>
        <v>1</v>
      </c>
      <c r="AB40" s="1506">
        <f t="shared" si="4"/>
        <v>1</v>
      </c>
      <c r="AC40" s="1506">
        <f t="shared" si="5"/>
        <v>1</v>
      </c>
    </row>
    <row r="41" spans="1:29" s="112" customFormat="1" ht="15">
      <c r="A41" s="431"/>
      <c r="B41" s="380" t="s">
        <v>2515</v>
      </c>
      <c r="C41" s="2135"/>
      <c r="D41" s="131">
        <v>100</v>
      </c>
      <c r="E41" s="2135"/>
      <c r="F41" s="393">
        <f>SUMIF(123:123,E41,124:124)-SUMIF(123:123,C41,124:124)+100</f>
        <v>100</v>
      </c>
      <c r="G41" s="2135"/>
      <c r="H41" s="393">
        <f>SUMIF(123:123,G41,124:124)-SUMIF(123:123,C41,124:124)+100</f>
        <v>100</v>
      </c>
      <c r="I41" s="2135"/>
      <c r="J41" s="393">
        <f>SUMIF(123:123,I41,124:124)-SUMIF(123:123,C41,124:124)+100</f>
        <v>100</v>
      </c>
      <c r="K41" s="568"/>
      <c r="L41" s="2913"/>
      <c r="M41" s="2914"/>
      <c r="N41" s="2914"/>
      <c r="O41" s="2968"/>
      <c r="P41" s="3425"/>
      <c r="Q41" s="1505" t="str">
        <f t="shared" si="14"/>
        <v>宗地开发程度</v>
      </c>
      <c r="R41" s="709" t="s">
        <v>17</v>
      </c>
      <c r="S41" s="710">
        <f t="shared" si="10"/>
        <v>100</v>
      </c>
      <c r="T41" s="709" t="s">
        <v>17</v>
      </c>
      <c r="U41" s="710">
        <f t="shared" si="11"/>
        <v>100</v>
      </c>
      <c r="V41" s="709" t="s">
        <v>17</v>
      </c>
      <c r="W41" s="710">
        <f t="shared" si="12"/>
        <v>100</v>
      </c>
      <c r="X41" s="711"/>
      <c r="Y41" s="3425"/>
      <c r="Z41" s="54" t="str">
        <f t="shared" si="13"/>
        <v>宗地开发程度</v>
      </c>
      <c r="AA41" s="712">
        <f t="shared" si="3"/>
        <v>1</v>
      </c>
      <c r="AB41" s="712">
        <f t="shared" si="4"/>
        <v>1</v>
      </c>
      <c r="AC41" s="712">
        <f t="shared" si="5"/>
        <v>1</v>
      </c>
    </row>
    <row r="42" spans="1:29" ht="15">
      <c r="A42" s="430"/>
      <c r="B42" s="380" t="s">
        <v>2516</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18"/>
      <c r="M42" s="2912"/>
      <c r="N42" s="2912"/>
      <c r="O42" s="2970"/>
      <c r="P42" s="3425" t="s">
        <v>2326</v>
      </c>
      <c r="Q42" s="1505" t="str">
        <f t="shared" si="14"/>
        <v>工程地质条件</v>
      </c>
      <c r="R42" s="713" t="s">
        <v>17</v>
      </c>
      <c r="S42" s="714">
        <f t="shared" si="10"/>
        <v>100</v>
      </c>
      <c r="T42" s="713" t="s">
        <v>17</v>
      </c>
      <c r="U42" s="714">
        <f t="shared" si="11"/>
        <v>100</v>
      </c>
      <c r="V42" s="713" t="s">
        <v>17</v>
      </c>
      <c r="W42" s="714">
        <f t="shared" si="12"/>
        <v>100</v>
      </c>
      <c r="X42" s="1508"/>
      <c r="Y42" s="3425"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425"/>
      <c r="Q43" s="1505">
        <f t="shared" si="14"/>
        <v>111</v>
      </c>
      <c r="R43" s="713" t="s">
        <v>17</v>
      </c>
      <c r="S43" s="714">
        <f t="shared" si="10"/>
        <v>100</v>
      </c>
      <c r="T43" s="713" t="s">
        <v>17</v>
      </c>
      <c r="U43" s="714">
        <f t="shared" si="11"/>
        <v>100</v>
      </c>
      <c r="V43" s="713" t="s">
        <v>17</v>
      </c>
      <c r="W43" s="714">
        <f t="shared" si="12"/>
        <v>100</v>
      </c>
      <c r="X43" s="1508"/>
      <c r="Y43" s="3425"/>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425"/>
      <c r="Q44" s="1505">
        <f t="shared" si="14"/>
        <v>111</v>
      </c>
      <c r="R44" s="713" t="s">
        <v>17</v>
      </c>
      <c r="S44" s="714">
        <f t="shared" si="10"/>
        <v>100</v>
      </c>
      <c r="T44" s="713" t="s">
        <v>17</v>
      </c>
      <c r="U44" s="714">
        <f t="shared" si="11"/>
        <v>100</v>
      </c>
      <c r="V44" s="713" t="s">
        <v>17</v>
      </c>
      <c r="W44" s="714">
        <f t="shared" si="12"/>
        <v>100</v>
      </c>
      <c r="X44" s="1508"/>
      <c r="Y44" s="3425"/>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425"/>
      <c r="Q45" s="1505">
        <f t="shared" si="14"/>
        <v>111</v>
      </c>
      <c r="R45" s="716" t="s">
        <v>17</v>
      </c>
      <c r="S45" s="717">
        <f t="shared" si="10"/>
        <v>100</v>
      </c>
      <c r="T45" s="716" t="s">
        <v>17</v>
      </c>
      <c r="U45" s="717">
        <f t="shared" si="11"/>
        <v>100</v>
      </c>
      <c r="V45" s="716" t="s">
        <v>17</v>
      </c>
      <c r="W45" s="717">
        <f t="shared" si="12"/>
        <v>100</v>
      </c>
      <c r="X45" s="718"/>
      <c r="Y45" s="3425"/>
      <c r="Z45" s="719">
        <f t="shared" si="13"/>
        <v>111</v>
      </c>
      <c r="AA45" s="1506">
        <f t="shared" si="3"/>
        <v>1</v>
      </c>
      <c r="AB45" s="1506">
        <f t="shared" si="4"/>
        <v>1</v>
      </c>
      <c r="AC45" s="1506">
        <f t="shared" si="5"/>
        <v>1</v>
      </c>
    </row>
    <row r="46" spans="1:29" ht="15">
      <c r="A46" s="437" t="s">
        <v>2481</v>
      </c>
      <c r="B46" s="2137" t="s">
        <v>2517</v>
      </c>
      <c r="C46" s="637" t="s">
        <v>1</v>
      </c>
      <c r="D46" s="439"/>
      <c r="E46" s="440"/>
      <c r="F46" s="441"/>
      <c r="G46" s="442"/>
      <c r="H46" s="443"/>
      <c r="I46" s="440"/>
      <c r="J46" s="443"/>
      <c r="K46" s="722"/>
      <c r="L46" s="2920"/>
      <c r="M46" s="2921"/>
      <c r="N46" s="2912"/>
      <c r="O46" s="2921"/>
      <c r="P46" s="3419" t="str">
        <f>A46</f>
        <v>成交单价</v>
      </c>
      <c r="Q46" s="3419"/>
      <c r="R46" s="3421">
        <f>E46</f>
        <v>0</v>
      </c>
      <c r="S46" s="3421"/>
      <c r="T46" s="3421">
        <f>G46</f>
        <v>0</v>
      </c>
      <c r="U46" s="3421"/>
      <c r="V46" s="3421">
        <f>I46</f>
        <v>0</v>
      </c>
      <c r="W46" s="3421"/>
      <c r="X46" s="698"/>
      <c r="Y46" s="720"/>
      <c r="Z46" s="698"/>
      <c r="AA46" s="698"/>
      <c r="AB46" s="698"/>
      <c r="AC46" s="698"/>
    </row>
    <row r="47" spans="1:29" ht="15.75" thickBot="1">
      <c r="A47" s="444" t="s">
        <v>2430</v>
      </c>
      <c r="B47" s="638"/>
      <c r="C47" s="447" t="e">
        <f>R48</f>
        <v>#DIV/0!</v>
      </c>
      <c r="D47" s="2507" t="s">
        <v>2818</v>
      </c>
      <c r="E47" s="447" t="e">
        <f>R47</f>
        <v>#DIV/0!</v>
      </c>
      <c r="F47" s="2508"/>
      <c r="G47" s="446" t="e">
        <f>T47</f>
        <v>#DIV/0!</v>
      </c>
      <c r="H47" s="2508"/>
      <c r="I47" s="447" t="e">
        <f>V47</f>
        <v>#DIV/0!</v>
      </c>
      <c r="J47" s="2508"/>
      <c r="K47" s="2510">
        <f>F47+H47+J47</f>
        <v>0</v>
      </c>
      <c r="L47" s="2920"/>
      <c r="M47" s="2921"/>
      <c r="N47" s="2921"/>
      <c r="O47" s="2921"/>
      <c r="P47" s="3419" t="str">
        <f>A47</f>
        <v>比较价值（元/平方米）</v>
      </c>
      <c r="Q47" s="3419"/>
      <c r="R47" s="3420" t="e">
        <f>ROUND(PRODUCT(R46,AA7:AA45),0)</f>
        <v>#DIV/0!</v>
      </c>
      <c r="S47" s="3420"/>
      <c r="T47" s="3420" t="e">
        <f>ROUND(PRODUCT(T46,AB7:AB45),0)</f>
        <v>#DIV/0!</v>
      </c>
      <c r="U47" s="3420"/>
      <c r="V47" s="3420" t="e">
        <f>ROUND(PRODUCT(V46,AC7:AC45),0)</f>
        <v>#DIV/0!</v>
      </c>
      <c r="W47" s="3420"/>
      <c r="X47" s="698"/>
      <c r="Y47" s="698"/>
      <c r="Z47" s="698"/>
      <c r="AA47" s="698"/>
      <c r="AB47" s="698"/>
      <c r="AC47" s="698"/>
    </row>
    <row r="48" spans="1:29" ht="15.75" thickBot="1">
      <c r="A48" s="448" t="s">
        <v>2518</v>
      </c>
      <c r="B48" s="449"/>
      <c r="C48" s="450" t="e">
        <f>R48</f>
        <v>#DIV/0!</v>
      </c>
      <c r="D48" s="450"/>
      <c r="E48" s="450"/>
      <c r="F48" s="450"/>
      <c r="G48" s="450"/>
      <c r="H48" s="450"/>
      <c r="I48" s="450"/>
      <c r="J48" s="450"/>
      <c r="K48" s="723"/>
      <c r="L48" s="2920"/>
      <c r="M48" s="2921"/>
      <c r="N48" s="2921"/>
      <c r="O48" s="2921"/>
      <c r="P48" s="3416" t="str">
        <f>A48</f>
        <v>估价对象XX用房的比较价值（楼面单价，元/平方米）</v>
      </c>
      <c r="Q48" s="3417"/>
      <c r="R48" s="3418" t="e">
        <f>ROUND(IF(D47="简单平均",AVERAGE(R47:W47),R47*F47+T47*H47+V47*J47),0)</f>
        <v>#DIV/0!</v>
      </c>
      <c r="S48" s="3418"/>
      <c r="T48" s="3418"/>
      <c r="U48" s="3418"/>
      <c r="V48" s="3418"/>
      <c r="W48" s="3418"/>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c r="A53" s="2924"/>
      <c r="B53" s="2924"/>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5"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39" t="s">
        <v>2519</v>
      </c>
      <c r="B55" s="640" t="s">
        <v>2520</v>
      </c>
      <c r="C55" s="2138" t="s">
        <v>2521</v>
      </c>
      <c r="D55" s="2139" t="s">
        <v>2522</v>
      </c>
      <c r="E55" s="641" t="s">
        <v>2523</v>
      </c>
      <c r="F55" s="1020" t="s">
        <v>2524</v>
      </c>
      <c r="G55" s="3429" t="s">
        <v>2525</v>
      </c>
      <c r="H55" s="3443"/>
      <c r="I55" s="139" t="s">
        <v>2526</v>
      </c>
      <c r="J55" s="2140">
        <f>项目基本情况!F35</f>
        <v>0</v>
      </c>
      <c r="K55" s="2141" t="s">
        <v>2527</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c r="A56" s="643" t="s">
        <v>2528</v>
      </c>
      <c r="B56" s="644" t="e">
        <f>C48</f>
        <v>#DIV/0!</v>
      </c>
      <c r="C56" s="645">
        <v>1</v>
      </c>
      <c r="D56" s="1074">
        <v>1</v>
      </c>
      <c r="E56" s="645">
        <f>'数据-汇总表'!E8+'数据-汇总表'!E9</f>
        <v>14258.11</v>
      </c>
      <c r="F56" s="1016" t="e">
        <f t="shared" ref="F56:F65" si="15">ROUND(B56*E56/10000,0)</f>
        <v>#DIV/0!</v>
      </c>
      <c r="G56" s="3444"/>
      <c r="H56" s="3419"/>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c r="A57" s="648" t="s">
        <v>2529</v>
      </c>
      <c r="B57" s="223" t="e">
        <f>ROUND($C$48*C57*D57,0)</f>
        <v>#DIV/0!</v>
      </c>
      <c r="C57" s="175">
        <f t="shared" ref="C57:C65" si="16">IF($C$55="北京市系数",I57,J57)</f>
        <v>0</v>
      </c>
      <c r="D57" s="1075">
        <v>0.25</v>
      </c>
      <c r="E57" s="649"/>
      <c r="F57" s="1016" t="e">
        <f t="shared" si="15"/>
        <v>#DIV/0!</v>
      </c>
      <c r="G57" s="3445" t="s">
        <v>2530</v>
      </c>
      <c r="H57" s="1017">
        <f>项目基本情况!B37</f>
        <v>0</v>
      </c>
      <c r="I57" s="1021">
        <f>SUMIF(修正!A45:A56,H57,修正!B45:B56)</f>
        <v>0</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c r="A58" s="648" t="s">
        <v>2531</v>
      </c>
      <c r="B58" s="223" t="e">
        <f t="shared" ref="B58:B65" si="17">ROUND($C$48*C58*D58,0)</f>
        <v>#DIV/0!</v>
      </c>
      <c r="C58" s="175">
        <f t="shared" si="16"/>
        <v>0</v>
      </c>
      <c r="D58" s="1075">
        <v>0.25</v>
      </c>
      <c r="E58" s="649"/>
      <c r="F58" s="1016" t="e">
        <f t="shared" si="15"/>
        <v>#DIV/0!</v>
      </c>
      <c r="G58" s="3445"/>
      <c r="H58" s="1017">
        <f>项目基本情况!B37</f>
        <v>0</v>
      </c>
      <c r="I58" s="1021">
        <f>SUMIF(修正!A45:A56,H58,修正!C45:C56)</f>
        <v>0</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c r="A59" s="648" t="s">
        <v>2532</v>
      </c>
      <c r="B59" s="223" t="e">
        <f t="shared" si="17"/>
        <v>#DIV/0!</v>
      </c>
      <c r="C59" s="175">
        <f t="shared" si="16"/>
        <v>0</v>
      </c>
      <c r="D59" s="1075">
        <v>0.25</v>
      </c>
      <c r="E59" s="649"/>
      <c r="F59" s="1016" t="e">
        <f t="shared" si="15"/>
        <v>#DIV/0!</v>
      </c>
      <c r="G59" s="3445"/>
      <c r="H59" s="1017">
        <f>项目基本情况!B37</f>
        <v>0</v>
      </c>
      <c r="I59" s="1021">
        <f>SUMIF(修正!A45:A56,H59,修正!D45:D56)</f>
        <v>0</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c r="A60" s="648" t="s">
        <v>2533</v>
      </c>
      <c r="B60" s="223" t="e">
        <f t="shared" si="17"/>
        <v>#DIV/0!</v>
      </c>
      <c r="C60" s="175">
        <f t="shared" si="16"/>
        <v>0</v>
      </c>
      <c r="D60" s="1075">
        <v>0.25</v>
      </c>
      <c r="E60" s="649"/>
      <c r="F60" s="1016" t="e">
        <f t="shared" si="15"/>
        <v>#DIV/0!</v>
      </c>
      <c r="G60" s="3445"/>
      <c r="H60" s="1017">
        <f>项目基本情况!B37</f>
        <v>0</v>
      </c>
      <c r="I60" s="1021">
        <f>SUMIF(修正!A45:A56,H60,修正!E45:E56)</f>
        <v>0</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c r="A61" s="648" t="s">
        <v>2534</v>
      </c>
      <c r="B61" s="223" t="e">
        <f t="shared" si="17"/>
        <v>#DIV/0!</v>
      </c>
      <c r="C61" s="175">
        <f t="shared" si="16"/>
        <v>0</v>
      </c>
      <c r="D61" s="1075">
        <v>0.25</v>
      </c>
      <c r="E61" s="222">
        <f>'数据-汇总表'!E11</f>
        <v>0</v>
      </c>
      <c r="F61" s="1016" t="e">
        <f t="shared" si="15"/>
        <v>#DIV/0!</v>
      </c>
      <c r="G61" s="2142" t="s">
        <v>2535</v>
      </c>
      <c r="H61" s="1017">
        <f>项目基本情况!C37</f>
        <v>0</v>
      </c>
      <c r="I61" s="1021">
        <f>SUMIF(修正!A45:A56,H61,修正!F45:F56)</f>
        <v>0</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c r="A62" s="648" t="s">
        <v>2536</v>
      </c>
      <c r="B62" s="223" t="e">
        <f t="shared" si="17"/>
        <v>#DIV/0!</v>
      </c>
      <c r="C62" s="175">
        <f t="shared" si="16"/>
        <v>0</v>
      </c>
      <c r="D62" s="1075">
        <v>0.25</v>
      </c>
      <c r="E62" s="222">
        <f>'数据-汇总表'!E12</f>
        <v>2851.619999999999</v>
      </c>
      <c r="F62" s="1016" t="e">
        <f t="shared" si="15"/>
        <v>#DIV/0!</v>
      </c>
      <c r="G62" s="1022" t="s">
        <v>2537</v>
      </c>
      <c r="H62" s="1017">
        <f>IF(G62="商业",项目基本情况!B37,IF(G62="办公",项目基本情况!C37,IF(G62="住宅",项目基本情况!D37,项目基本情况!E37)))</f>
        <v>0</v>
      </c>
      <c r="I62" s="1021">
        <f>SUMIF(修正!A45:A56,H62,修正!G45:G56)</f>
        <v>0</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c r="A63" s="648" t="s">
        <v>2538</v>
      </c>
      <c r="B63" s="223" t="e">
        <f t="shared" si="17"/>
        <v>#DIV/0!</v>
      </c>
      <c r="C63" s="175">
        <f t="shared" si="16"/>
        <v>0</v>
      </c>
      <c r="D63" s="1075">
        <v>0.25</v>
      </c>
      <c r="E63" s="222">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c r="A64" s="648" t="s">
        <v>2540</v>
      </c>
      <c r="B64" s="223" t="e">
        <f t="shared" si="17"/>
        <v>#DIV/0!</v>
      </c>
      <c r="C64" s="175">
        <f t="shared" si="16"/>
        <v>0</v>
      </c>
      <c r="D64" s="1075">
        <v>0.25</v>
      </c>
      <c r="E64" s="222">
        <f>'数据-汇总表'!E14</f>
        <v>0</v>
      </c>
      <c r="F64" s="1016" t="e">
        <f t="shared" si="15"/>
        <v>#DIV/0!</v>
      </c>
      <c r="G64" s="2142" t="s">
        <v>2530</v>
      </c>
      <c r="H64" s="1017">
        <f>项目基本情况!B37</f>
        <v>0</v>
      </c>
      <c r="I64" s="1021">
        <f>SUMIF(修正!A45:A56,H64,修正!H45:H56)</f>
        <v>0</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5" thickBot="1">
      <c r="A65" s="648" t="s">
        <v>2541</v>
      </c>
      <c r="B65" s="223" t="e">
        <f t="shared" si="17"/>
        <v>#DIV/0!</v>
      </c>
      <c r="C65" s="175">
        <f t="shared" si="16"/>
        <v>0</v>
      </c>
      <c r="D65" s="1075">
        <v>0.25</v>
      </c>
      <c r="E65" s="222">
        <f>'数据-汇总表'!E15</f>
        <v>0</v>
      </c>
      <c r="F65" s="1016" t="e">
        <f t="shared" si="15"/>
        <v>#DIV/0!</v>
      </c>
      <c r="G65" s="2143" t="s">
        <v>2535</v>
      </c>
      <c r="H65" s="1027">
        <f>项目基本情况!C37</f>
        <v>0</v>
      </c>
      <c r="I65" s="1023">
        <f>SUMIF(修正!A45:A56,H65,修正!H45:H56)</f>
        <v>0</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ht="13.5" thickBot="1">
      <c r="A66" s="650" t="s">
        <v>2542</v>
      </c>
      <c r="B66" s="651" t="s">
        <v>28</v>
      </c>
      <c r="C66" s="651" t="s">
        <v>29</v>
      </c>
      <c r="D66" s="651" t="s">
        <v>997</v>
      </c>
      <c r="E66" s="651">
        <f>IF(B46="楼面地价",SUM(E56:E65),'数据-汇总表'!D3)</f>
        <v>17109.73</v>
      </c>
      <c r="F66" s="652" t="e">
        <f>IF(B46="楼面地价",SUM(F56:F65),ROUND(C48*E66/10000,0))</f>
        <v>#DIV/0!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1"/>
      <c r="Q68" s="2921"/>
      <c r="R68" s="2921"/>
      <c r="S68" s="2921"/>
      <c r="T68" s="2921"/>
      <c r="U68" s="2921"/>
      <c r="V68" s="2921"/>
      <c r="W68" s="2921"/>
      <c r="X68" s="2921"/>
      <c r="Y68" s="2921"/>
      <c r="Z68" s="2921"/>
      <c r="AA68" s="2921"/>
      <c r="AB68" s="2921"/>
      <c r="AC68" s="2921"/>
    </row>
    <row r="69" spans="1:29" ht="21.75" thickBot="1">
      <c r="A69" s="702" t="s">
        <v>2435</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ht="15">
      <c r="A70" s="2144" t="s">
        <v>2543</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2"/>
      <c r="Q70" s="2937"/>
      <c r="R70" s="2937"/>
      <c r="S70" s="2937"/>
      <c r="T70" s="2937"/>
      <c r="U70" s="2937"/>
      <c r="V70" s="2937"/>
      <c r="W70" s="2937"/>
      <c r="X70" s="2937"/>
      <c r="Y70" s="2937"/>
      <c r="Z70" s="2937"/>
      <c r="AA70" s="2937"/>
      <c r="AB70" s="2937"/>
      <c r="AC70" s="2937"/>
    </row>
    <row r="71" spans="1:29" s="112" customFormat="1" ht="30" customHeight="1">
      <c r="A71" s="2145" t="s">
        <v>2544</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5"/>
      <c r="Q71" s="2855"/>
      <c r="R71" s="2855"/>
      <c r="S71" s="2855"/>
      <c r="T71" s="2855"/>
      <c r="U71" s="2855"/>
      <c r="V71" s="2855"/>
      <c r="W71" s="2855"/>
      <c r="X71" s="2855"/>
      <c r="Y71" s="2855"/>
      <c r="Z71" s="2855"/>
      <c r="AA71" s="2855"/>
      <c r="AB71" s="2855"/>
      <c r="AC71" s="2855"/>
    </row>
    <row r="72" spans="1:29" s="112" customFormat="1" ht="15.75" thickBot="1">
      <c r="A72" s="471" t="s">
        <v>2346</v>
      </c>
      <c r="B72" s="472"/>
      <c r="C72" s="473"/>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2" customFormat="1" ht="15">
      <c r="A73" s="477" t="s">
        <v>2311</v>
      </c>
      <c r="B73" s="466"/>
      <c r="C73" s="478" t="s">
        <v>2413</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2" customFormat="1" ht="15.75" thickBot="1">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c r="A75" s="483" t="s">
        <v>2349</v>
      </c>
      <c r="B75" s="484" t="s">
        <v>2315</v>
      </c>
      <c r="C75" s="486"/>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5.75" thickBot="1">
      <c r="A76" s="490"/>
      <c r="B76" s="491"/>
      <c r="C76" s="492"/>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7.75" thickTop="1">
      <c r="A77" s="490"/>
      <c r="B77" s="494" t="s">
        <v>2318</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5.75" thickBot="1">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0"/>
      <c r="B80" s="504"/>
      <c r="C80" s="505"/>
      <c r="D80" s="505"/>
      <c r="E80" s="505"/>
      <c r="F80" s="505"/>
      <c r="G80" s="505"/>
      <c r="H80" s="505"/>
      <c r="I80" s="505"/>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0"/>
      <c r="O81" s="2950"/>
      <c r="P81" s="2974"/>
      <c r="Q81" s="2935"/>
      <c r="R81" s="2921"/>
      <c r="S81" s="2921"/>
      <c r="T81" s="2921"/>
      <c r="U81" s="2921"/>
      <c r="V81" s="2921"/>
      <c r="W81" s="2921"/>
      <c r="X81" s="2921"/>
      <c r="Y81" s="2921"/>
      <c r="Z81" s="2921"/>
      <c r="AA81" s="2921"/>
      <c r="AB81" s="2921"/>
      <c r="AC81" s="2921"/>
    </row>
    <row r="82" spans="1:29" s="429" customFormat="1" ht="15.75" thickTop="1">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5.75" thickBot="1">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5.75" thickTop="1">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5.75" thickBot="1">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5.75" thickTop="1">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5.75" thickBot="1">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c r="A88" s="483" t="s">
        <v>2320</v>
      </c>
      <c r="B88" s="484" t="s">
        <v>2357</v>
      </c>
      <c r="C88" s="529" t="s">
        <v>2358</v>
      </c>
      <c r="D88" s="529" t="s">
        <v>2359</v>
      </c>
      <c r="E88" s="529" t="s">
        <v>2360</v>
      </c>
      <c r="F88" s="529" t="s">
        <v>2361</v>
      </c>
      <c r="G88" s="529" t="s">
        <v>2362</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75" thickTop="1">
      <c r="A90" s="490"/>
      <c r="B90" s="494" t="s">
        <v>2545</v>
      </c>
      <c r="C90" s="534" t="s">
        <v>2358</v>
      </c>
      <c r="D90" s="534" t="s">
        <v>2359</v>
      </c>
      <c r="E90" s="534" t="s">
        <v>2360</v>
      </c>
      <c r="F90" s="534" t="s">
        <v>2361</v>
      </c>
      <c r="G90" s="534" t="s">
        <v>2362</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75" thickTop="1">
      <c r="A92" s="490"/>
      <c r="B92" s="494" t="s">
        <v>2458</v>
      </c>
      <c r="C92" s="534" t="s">
        <v>2358</v>
      </c>
      <c r="D92" s="534" t="s">
        <v>2359</v>
      </c>
      <c r="E92" s="534" t="s">
        <v>2360</v>
      </c>
      <c r="F92" s="534" t="s">
        <v>2361</v>
      </c>
      <c r="G92" s="534" t="s">
        <v>2362</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75" thickTop="1">
      <c r="A94" s="490"/>
      <c r="B94" s="494" t="s">
        <v>2363</v>
      </c>
      <c r="C94" s="534" t="s">
        <v>2358</v>
      </c>
      <c r="D94" s="534" t="s">
        <v>2359</v>
      </c>
      <c r="E94" s="534" t="s">
        <v>2360</v>
      </c>
      <c r="F94" s="534" t="s">
        <v>2361</v>
      </c>
      <c r="G94" s="534" t="s">
        <v>2362</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2" customFormat="1" ht="15.75" thickTop="1">
      <c r="A96" s="535"/>
      <c r="B96" s="494" t="s">
        <v>2546</v>
      </c>
      <c r="C96" s="534" t="s">
        <v>2358</v>
      </c>
      <c r="D96" s="534" t="s">
        <v>2359</v>
      </c>
      <c r="E96" s="534" t="s">
        <v>2360</v>
      </c>
      <c r="F96" s="534" t="s">
        <v>2361</v>
      </c>
      <c r="G96" s="534" t="s">
        <v>2362</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2" customFormat="1" ht="27.75" thickTop="1">
      <c r="A98" s="535"/>
      <c r="B98" s="494" t="s">
        <v>2547</v>
      </c>
      <c r="C98" s="529" t="s">
        <v>2358</v>
      </c>
      <c r="D98" s="529" t="s">
        <v>2359</v>
      </c>
      <c r="E98" s="529" t="s">
        <v>2360</v>
      </c>
      <c r="F98" s="529" t="s">
        <v>2361</v>
      </c>
      <c r="G98" s="529" t="s">
        <v>2362</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1"/>
      <c r="O102" s="2951"/>
      <c r="P102" s="2975"/>
      <c r="Q102" s="2942"/>
      <c r="R102" s="2943"/>
      <c r="S102" s="2943"/>
      <c r="T102" s="2943"/>
      <c r="U102" s="2943"/>
      <c r="V102" s="2943"/>
      <c r="W102" s="2943"/>
      <c r="X102" s="2943"/>
      <c r="Y102" s="2943"/>
      <c r="Z102" s="2943"/>
      <c r="AA102" s="2943"/>
      <c r="AB102" s="2943"/>
      <c r="AC102" s="294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1"/>
      <c r="O103" s="2951"/>
      <c r="P103" s="2975"/>
      <c r="Q103" s="2942"/>
      <c r="R103" s="2943"/>
      <c r="S103" s="2943"/>
      <c r="T103" s="2943"/>
      <c r="U103" s="2943"/>
      <c r="V103" s="2943"/>
      <c r="W103" s="2943"/>
      <c r="X103" s="2943"/>
      <c r="Y103" s="2943"/>
      <c r="Z103" s="2943"/>
      <c r="AA103" s="2943"/>
      <c r="AB103" s="2943"/>
      <c r="AC103" s="2943"/>
    </row>
    <row r="104" spans="1:29" ht="15.75" thickTop="1">
      <c r="A104" s="490"/>
      <c r="B104" s="494" t="str">
        <f>B31</f>
        <v>临街状况</v>
      </c>
      <c r="C104" s="495" t="s">
        <v>2548</v>
      </c>
      <c r="D104" s="495" t="s">
        <v>2549</v>
      </c>
      <c r="E104" s="495" t="s">
        <v>2550</v>
      </c>
      <c r="F104" s="495" t="s">
        <v>2551</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0"/>
      <c r="B106" s="494" t="s">
        <v>2452</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0"/>
      <c r="B108" s="494" t="s">
        <v>2511</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5.75" thickBot="1">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5" thickTop="1">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5.75" thickBot="1">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5" thickTop="1">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5.75" thickBot="1">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0"/>
      <c r="B117" s="502"/>
      <c r="C117" s="551"/>
      <c r="D117" s="551"/>
      <c r="E117" s="551"/>
      <c r="F117" s="551"/>
      <c r="G117" s="551"/>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5.75" thickBot="1">
      <c r="A118" s="490"/>
      <c r="B118" s="499"/>
      <c r="C118" s="526"/>
      <c r="D118" s="547"/>
      <c r="E118" s="547"/>
      <c r="F118" s="547"/>
      <c r="G118" s="547"/>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c r="A119" s="555"/>
      <c r="B119" s="494" t="s">
        <v>2553</v>
      </c>
      <c r="C119" s="539"/>
      <c r="D119" s="539"/>
      <c r="E119" s="539"/>
      <c r="F119" s="539"/>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5"/>
      <c r="B121" s="494" t="s">
        <v>2554</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c r="A123" s="549"/>
      <c r="B123" s="494" t="s">
        <v>2555</v>
      </c>
      <c r="C123" s="510"/>
      <c r="D123" s="510"/>
      <c r="E123" s="510"/>
      <c r="F123" s="510"/>
      <c r="G123" s="510"/>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5"/>
      <c r="B125" s="494" t="s">
        <v>2556</v>
      </c>
      <c r="C125" s="510"/>
      <c r="D125" s="510"/>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5.75" thickBot="1">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5" thickTop="1">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5.75" thickBot="1">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5" thickTop="1">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5.75" thickBot="1">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topLeftCell="D1" workbookViewId="0">
      <selection activeCell="U7" sqref="U7"/>
    </sheetView>
  </sheetViews>
  <sheetFormatPr defaultRowHeight="13.5"/>
  <cols>
    <col min="1" max="21" width="20" style="1378" customWidth="1"/>
    <col min="22" max="24" width="9" style="1378"/>
    <col min="25" max="26" width="12.75" style="1378" bestFit="1" customWidth="1"/>
    <col min="27" max="16384" width="9" style="1378"/>
  </cols>
  <sheetData>
    <row r="1" spans="1:26" s="3209" customFormat="1" ht="27">
      <c r="A1" s="3209" t="s">
        <v>3146</v>
      </c>
      <c r="B1" s="3209" t="s">
        <v>3147</v>
      </c>
      <c r="C1" s="3209" t="s">
        <v>3148</v>
      </c>
      <c r="D1" s="3209" t="s">
        <v>3149</v>
      </c>
      <c r="E1" s="3209" t="s">
        <v>3150</v>
      </c>
      <c r="F1" s="3209" t="s">
        <v>3151</v>
      </c>
      <c r="G1" s="3209" t="s">
        <v>3152</v>
      </c>
      <c r="H1" s="3209" t="s">
        <v>3153</v>
      </c>
      <c r="I1" s="3209" t="s">
        <v>3154</v>
      </c>
      <c r="J1" s="3209" t="s">
        <v>3155</v>
      </c>
      <c r="K1" s="3209" t="s">
        <v>3156</v>
      </c>
      <c r="L1" s="3209" t="s">
        <v>3157</v>
      </c>
      <c r="M1" s="3209" t="s">
        <v>3158</v>
      </c>
      <c r="N1" s="3209" t="s">
        <v>3159</v>
      </c>
      <c r="O1" s="3209" t="s">
        <v>3160</v>
      </c>
      <c r="P1" s="3209" t="s">
        <v>3161</v>
      </c>
      <c r="Q1" s="3209" t="s">
        <v>3162</v>
      </c>
      <c r="R1" s="3209" t="s">
        <v>3163</v>
      </c>
      <c r="S1" s="3209" t="s">
        <v>3164</v>
      </c>
      <c r="T1" s="3209" t="s">
        <v>3165</v>
      </c>
      <c r="U1" s="3211" t="s">
        <v>3197</v>
      </c>
      <c r="V1" s="3211" t="s">
        <v>3198</v>
      </c>
      <c r="W1" s="3209">
        <v>1</v>
      </c>
      <c r="X1" s="3209">
        <v>1.1117999999999999</v>
      </c>
    </row>
    <row r="2" spans="1:26" s="3209" customFormat="1" ht="27">
      <c r="A2" s="3209" t="s">
        <v>3166</v>
      </c>
      <c r="B2" s="3209" t="s">
        <v>3167</v>
      </c>
      <c r="C2" s="3209" t="s">
        <v>3118</v>
      </c>
      <c r="D2" s="3209" t="s">
        <v>3168</v>
      </c>
      <c r="E2" s="3209">
        <v>13991.5</v>
      </c>
      <c r="F2" s="3209">
        <v>22386</v>
      </c>
      <c r="G2" s="3209">
        <v>1.6</v>
      </c>
      <c r="H2" s="3209" t="s">
        <v>3169</v>
      </c>
      <c r="I2" s="3209" t="s">
        <v>3170</v>
      </c>
      <c r="J2" s="3209" t="s">
        <v>3171</v>
      </c>
      <c r="K2" s="3210">
        <v>44446.000497685185</v>
      </c>
      <c r="L2" s="3210">
        <v>44446.000497685185</v>
      </c>
      <c r="M2" s="3209" t="s">
        <v>3172</v>
      </c>
      <c r="N2" s="3209" t="s">
        <v>3173</v>
      </c>
      <c r="O2" s="3209">
        <v>1811.03</v>
      </c>
      <c r="P2" s="3209">
        <v>360</v>
      </c>
      <c r="Q2" s="3209" t="s">
        <v>3174</v>
      </c>
      <c r="R2" s="3209">
        <v>1811.03</v>
      </c>
      <c r="S2" s="3209">
        <v>809</v>
      </c>
      <c r="T2" s="3209">
        <v>0</v>
      </c>
      <c r="U2" s="3209">
        <v>1.5192000000000001</v>
      </c>
      <c r="W2" s="3209">
        <v>1.8</v>
      </c>
      <c r="X2" s="3209">
        <v>0.84179999999999999</v>
      </c>
      <c r="Y2" s="3209">
        <f>ROUND(X1/X2,4)</f>
        <v>1.3207</v>
      </c>
    </row>
    <row r="3" spans="1:26" s="3212" customFormat="1" ht="27">
      <c r="A3" s="3212" t="s">
        <v>3175</v>
      </c>
      <c r="B3" s="3212" t="s">
        <v>3176</v>
      </c>
      <c r="C3" s="3212" t="s">
        <v>3118</v>
      </c>
      <c r="D3" s="3212" t="s">
        <v>3168</v>
      </c>
      <c r="E3" s="3212">
        <v>16627.21</v>
      </c>
      <c r="F3" s="3212">
        <v>29928.97</v>
      </c>
      <c r="G3" s="3212">
        <v>1.8</v>
      </c>
      <c r="H3" s="3212" t="s">
        <v>3169</v>
      </c>
      <c r="I3" s="3212" t="s">
        <v>3170</v>
      </c>
      <c r="J3" s="3212" t="s">
        <v>3171</v>
      </c>
      <c r="K3" s="3213">
        <v>44446.000497685185</v>
      </c>
      <c r="L3" s="3213">
        <v>44446.000497685185</v>
      </c>
      <c r="M3" s="3212" t="s">
        <v>3172</v>
      </c>
      <c r="N3" s="3212" t="s">
        <v>3177</v>
      </c>
      <c r="O3" s="3212">
        <v>5111.87</v>
      </c>
      <c r="P3" s="3212">
        <v>1020</v>
      </c>
      <c r="Q3" s="3212" t="s">
        <v>3174</v>
      </c>
      <c r="R3" s="3212">
        <v>5111.87</v>
      </c>
      <c r="S3" s="3212">
        <v>1708</v>
      </c>
      <c r="T3" s="3212">
        <v>0</v>
      </c>
      <c r="U3" s="3212">
        <f>ROUND(S3*$U$2,0)</f>
        <v>2595</v>
      </c>
      <c r="Z3" s="3212">
        <f>R3/E3</f>
        <v>0.30744003353539168</v>
      </c>
    </row>
    <row r="4" spans="1:26" s="3209" customFormat="1" ht="54" hidden="1">
      <c r="A4" s="3209" t="s">
        <v>3178</v>
      </c>
      <c r="B4" s="3209" t="s">
        <v>3179</v>
      </c>
      <c r="C4" s="3209" t="s">
        <v>3118</v>
      </c>
      <c r="D4" s="3209" t="s">
        <v>3168</v>
      </c>
      <c r="E4" s="3209">
        <v>100000</v>
      </c>
      <c r="F4" s="3209">
        <v>200000</v>
      </c>
      <c r="G4" s="3209" t="s">
        <v>3180</v>
      </c>
      <c r="H4" s="3209" t="s">
        <v>3169</v>
      </c>
      <c r="I4" s="3209" t="s">
        <v>3181</v>
      </c>
      <c r="J4" s="3209" t="s">
        <v>3171</v>
      </c>
      <c r="K4" s="3210">
        <v>44307.000497685185</v>
      </c>
      <c r="L4" s="3210">
        <v>44307.000497685185</v>
      </c>
      <c r="M4" s="3209" t="s">
        <v>3172</v>
      </c>
      <c r="N4" s="3209" t="s">
        <v>3182</v>
      </c>
      <c r="O4" s="3209">
        <v>13020</v>
      </c>
      <c r="P4" s="3209">
        <v>2600</v>
      </c>
      <c r="Q4" s="3209" t="s">
        <v>3174</v>
      </c>
      <c r="R4" s="3209">
        <v>13020</v>
      </c>
      <c r="S4" s="3209">
        <v>651</v>
      </c>
      <c r="T4" s="3209">
        <v>0</v>
      </c>
      <c r="U4" s="3212">
        <f t="shared" ref="U4" si="0">ROUND(S4*$U$2,0)</f>
        <v>989</v>
      </c>
      <c r="Z4" s="3212">
        <f t="shared" ref="Z4:Z6" si="1">R4/E4</f>
        <v>0.13020000000000001</v>
      </c>
    </row>
    <row r="5" spans="1:26" s="3212" customFormat="1" ht="40.5">
      <c r="A5" s="3212" t="s">
        <v>3183</v>
      </c>
      <c r="B5" s="3212" t="s">
        <v>3184</v>
      </c>
      <c r="C5" s="3212" t="s">
        <v>3118</v>
      </c>
      <c r="D5" s="3212" t="s">
        <v>3168</v>
      </c>
      <c r="E5" s="3212">
        <v>19340</v>
      </c>
      <c r="F5" s="3212">
        <v>34812</v>
      </c>
      <c r="G5" s="3212">
        <v>1.8</v>
      </c>
      <c r="H5" s="3212" t="s">
        <v>3169</v>
      </c>
      <c r="I5" s="3212" t="s">
        <v>3185</v>
      </c>
      <c r="J5" s="3212" t="s">
        <v>3171</v>
      </c>
      <c r="K5" s="3213">
        <v>43873.000497685185</v>
      </c>
      <c r="L5" s="3213">
        <v>43873.000497685185</v>
      </c>
      <c r="M5" s="3212" t="s">
        <v>3172</v>
      </c>
      <c r="N5" s="3212" t="s">
        <v>3186</v>
      </c>
      <c r="O5" s="3212">
        <v>5764.87</v>
      </c>
      <c r="P5" s="3212">
        <v>1800</v>
      </c>
      <c r="Q5" s="3212" t="s">
        <v>3174</v>
      </c>
      <c r="R5" s="3212">
        <v>5764.87</v>
      </c>
      <c r="S5" s="3212">
        <v>1656</v>
      </c>
      <c r="T5" s="3212">
        <v>0</v>
      </c>
      <c r="U5" s="3212">
        <f>ROUND(S5*$U$2,0)</f>
        <v>2516</v>
      </c>
      <c r="Z5" s="3212">
        <f t="shared" si="1"/>
        <v>0.29808014477766287</v>
      </c>
    </row>
    <row r="6" spans="1:26" s="3212" customFormat="1" ht="40.5">
      <c r="A6" s="3212" t="s">
        <v>3187</v>
      </c>
      <c r="B6" s="3212" t="s">
        <v>3188</v>
      </c>
      <c r="C6" s="3212" t="s">
        <v>3118</v>
      </c>
      <c r="D6" s="3212" t="s">
        <v>3168</v>
      </c>
      <c r="E6" s="3212">
        <v>16697.47</v>
      </c>
      <c r="F6" s="3212">
        <v>30055</v>
      </c>
      <c r="G6" s="3212">
        <v>1.8</v>
      </c>
      <c r="H6" s="3212" t="s">
        <v>3169</v>
      </c>
      <c r="I6" s="3212" t="s">
        <v>3189</v>
      </c>
      <c r="J6" s="3212" t="s">
        <v>3171</v>
      </c>
      <c r="K6" s="3213">
        <v>43662.000497685185</v>
      </c>
      <c r="L6" s="3213">
        <v>43662.000497685185</v>
      </c>
      <c r="M6" s="3212" t="s">
        <v>3172</v>
      </c>
      <c r="N6" s="3212" t="s">
        <v>3190</v>
      </c>
      <c r="O6" s="3212">
        <v>4977.1099999999997</v>
      </c>
      <c r="P6" s="3212">
        <v>1500</v>
      </c>
      <c r="Q6" s="3212" t="s">
        <v>3174</v>
      </c>
      <c r="R6" s="3212">
        <v>4977.1099999999997</v>
      </c>
      <c r="S6" s="3212">
        <v>1656</v>
      </c>
      <c r="T6" s="3212">
        <v>0</v>
      </c>
      <c r="U6" s="3212">
        <f>ROUND(S6*$U$2,0)</f>
        <v>2516</v>
      </c>
      <c r="Z6" s="3212">
        <f t="shared" si="1"/>
        <v>0.29807569649773286</v>
      </c>
    </row>
    <row r="7" spans="1:26" s="3209" customFormat="1" ht="40.5">
      <c r="A7" s="3209" t="s">
        <v>3191</v>
      </c>
      <c r="B7" s="3209" t="s">
        <v>3192</v>
      </c>
      <c r="C7" s="3209" t="s">
        <v>3118</v>
      </c>
      <c r="D7" s="3209" t="s">
        <v>3168</v>
      </c>
      <c r="E7" s="3209">
        <v>46618.33</v>
      </c>
      <c r="F7" s="3209">
        <v>93237</v>
      </c>
      <c r="G7" s="3209">
        <v>2</v>
      </c>
      <c r="H7" s="3209" t="s">
        <v>3169</v>
      </c>
      <c r="I7" s="3209" t="s">
        <v>3189</v>
      </c>
      <c r="J7" s="3209" t="s">
        <v>3171</v>
      </c>
      <c r="K7" s="3210">
        <v>43577.000497685185</v>
      </c>
      <c r="L7" s="3210">
        <v>43577.000497685185</v>
      </c>
      <c r="M7" s="3209" t="s">
        <v>3172</v>
      </c>
      <c r="N7" s="3209" t="s">
        <v>3193</v>
      </c>
      <c r="O7" s="3209">
        <v>16204.59</v>
      </c>
      <c r="P7" s="3209">
        <v>4850</v>
      </c>
      <c r="Q7" s="3209" t="s">
        <v>3174</v>
      </c>
      <c r="R7" s="3209">
        <v>16204.59</v>
      </c>
      <c r="S7" s="3209">
        <v>1738</v>
      </c>
      <c r="T7" s="3209">
        <v>0</v>
      </c>
    </row>
    <row r="8" spans="1:26" s="3209" customFormat="1" ht="40.5">
      <c r="A8" s="3209" t="s">
        <v>3194</v>
      </c>
      <c r="B8" s="3209" t="s">
        <v>3195</v>
      </c>
      <c r="C8" s="3209" t="s">
        <v>3118</v>
      </c>
      <c r="D8" s="3209" t="s">
        <v>3168</v>
      </c>
      <c r="E8" s="3209">
        <v>8700</v>
      </c>
      <c r="F8" s="3209">
        <v>15660</v>
      </c>
      <c r="G8" s="3209">
        <v>1.8</v>
      </c>
      <c r="H8" s="3209" t="s">
        <v>3169</v>
      </c>
      <c r="I8" s="3209" t="s">
        <v>3189</v>
      </c>
      <c r="J8" s="3209" t="s">
        <v>3171</v>
      </c>
      <c r="K8" s="3210">
        <v>43577.000497685185</v>
      </c>
      <c r="L8" s="3210">
        <v>43577.000497685185</v>
      </c>
      <c r="M8" s="3209" t="s">
        <v>3172</v>
      </c>
      <c r="N8" s="3209" t="s">
        <v>3196</v>
      </c>
      <c r="O8" s="3209">
        <v>2593.3000000000002</v>
      </c>
      <c r="P8" s="3209">
        <v>780</v>
      </c>
      <c r="Q8" s="3209" t="s">
        <v>3174</v>
      </c>
      <c r="R8" s="3209">
        <v>2593.3000000000002</v>
      </c>
      <c r="S8" s="3209">
        <v>1656</v>
      </c>
      <c r="T8" s="3209">
        <v>0</v>
      </c>
    </row>
  </sheetData>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K32" sqref="K32"/>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2564</v>
      </c>
      <c r="B1" s="202"/>
      <c r="C1" s="206" t="s">
        <v>2565</v>
      </c>
      <c r="D1" s="347">
        <f>SUM(D29:D30,D33:D39)</f>
        <v>14258.11</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6" t="s">
        <v>2572</v>
      </c>
      <c r="B2" s="209" t="e">
        <f>C26</f>
        <v>#DIV/0!</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Ⅶ-林河开发区</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8" t="s">
        <v>2578</v>
      </c>
      <c r="B3" s="209" t="e">
        <f>ROUND(B2*10000/D1,0)</f>
        <v>#DIV/0!</v>
      </c>
      <c r="C3" s="2154" t="s">
        <v>2579</v>
      </c>
      <c r="D3" s="2155" t="s">
        <v>2580</v>
      </c>
      <c r="E3" s="2160" t="s">
        <v>3141</v>
      </c>
      <c r="F3" s="2161" t="s">
        <v>3199</v>
      </c>
      <c r="G3" s="854" t="e">
        <f>IF(F3="宗地容积率",'数据-汇总表'!I4,IF(F3="估价对象容积率",'数据-汇总表'!I6,'数据-汇总表'!I7))</f>
        <v>#DIV/0!</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32"/>
      <c r="B4" s="3533"/>
      <c r="C4" s="3533"/>
      <c r="D4" s="3534"/>
      <c r="E4" s="3534"/>
      <c r="F4" s="3534"/>
      <c r="G4" s="3534"/>
      <c r="H4" s="3534"/>
      <c r="I4" s="3534"/>
      <c r="J4" s="3535"/>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5">
        <f>ROUND(IF(E2="商业",C6*C7+C16,(IF(E2="住宅",C6*C12+C16,C6+C16))),0)</f>
        <v>1330</v>
      </c>
      <c r="D5" s="1492">
        <f>ROUND(C6+C16,0)</f>
        <v>1330</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2587</v>
      </c>
      <c r="B6" s="2173" t="s">
        <v>2588</v>
      </c>
      <c r="C6" s="856">
        <f>SUMIF(L1:L12,G2,M1:M12)</f>
        <v>1330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hidden="1">
      <c r="A7" s="3513" t="str">
        <f>IF(E2="商业",IF(C8="不临58条商业街","",2),"")</f>
        <v/>
      </c>
      <c r="B7" s="2178" t="s">
        <v>2591</v>
      </c>
      <c r="C7" s="857">
        <f>IF(C8="不临58条商业街",1,ROUND(1+(1.6*E8+1.2*E9+0.8*E10+0.4*E11)*C9,4))</f>
        <v>1</v>
      </c>
      <c r="D7" s="2179" t="s">
        <v>2592</v>
      </c>
      <c r="E7" s="881"/>
      <c r="F7" s="2180"/>
      <c r="G7" s="2181"/>
      <c r="H7" s="2181"/>
      <c r="I7" s="2181"/>
      <c r="J7" s="2182"/>
      <c r="K7" s="1537"/>
      <c r="L7" s="2159" t="s">
        <v>2593</v>
      </c>
      <c r="M7" s="994">
        <f>SUMPRODUCT((区片价!B158:B205=I2)*(区片价!C3:F3=E2)*(区片价!C158:F205))</f>
        <v>1330</v>
      </c>
      <c r="N7" s="996">
        <f>SUMPRODUCT((因素修正幅度!B158:B205=I2)*(因素修正幅度!C3:F3=E2)*(因素修正幅度!C158:F205))</f>
        <v>0.05</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2594</v>
      </c>
      <c r="X7" s="1347" t="str">
        <f>G2</f>
        <v>七级</v>
      </c>
      <c r="Y7" s="1347" t="s">
        <v>2595</v>
      </c>
      <c r="Z7" s="1348" t="e">
        <f>G3</f>
        <v>#DIV/0!</v>
      </c>
      <c r="AA7" s="1349"/>
      <c r="AB7" s="1349"/>
      <c r="AC7" s="1350"/>
      <c r="AD7" s="1351"/>
      <c r="AE7" s="1351"/>
      <c r="AF7" s="1351"/>
      <c r="AG7" s="1351"/>
      <c r="AH7" s="1351"/>
      <c r="AI7" s="1351"/>
      <c r="AJ7" s="1352"/>
    </row>
    <row r="8" spans="1:36" ht="25.5" hidden="1">
      <c r="A8" s="3536"/>
      <c r="B8" s="174" t="s">
        <v>2596</v>
      </c>
      <c r="C8" s="2183" t="s">
        <v>3140</v>
      </c>
      <c r="D8" s="858" t="s">
        <v>139</v>
      </c>
      <c r="E8" s="859" t="e">
        <f>ROUND(C11/E7,4)</f>
        <v>#DIV/0!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529" t="s">
        <v>2599</v>
      </c>
      <c r="X8" s="3530"/>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hidden="1">
      <c r="A9" s="3536"/>
      <c r="B9" s="174" t="s">
        <v>2612</v>
      </c>
      <c r="C9" s="860">
        <f>SUMIF(修正!C59:C119,C8,修正!E59:E119)</f>
        <v>0</v>
      </c>
      <c r="D9" s="175" t="s">
        <v>140</v>
      </c>
      <c r="E9" s="175" t="e">
        <f>ROUND(C11/E7,4)</f>
        <v>#DIV/0!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531"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hidden="1">
      <c r="A10" s="3536"/>
      <c r="B10" s="174" t="s">
        <v>2617</v>
      </c>
      <c r="C10" s="175">
        <f>SUMIF(修正!C59:C119,C8,修正!F59:F119)</f>
        <v>0</v>
      </c>
      <c r="D10" s="175" t="s">
        <v>141</v>
      </c>
      <c r="E10" s="175" t="e">
        <f>ROUND(C11/E7,4)</f>
        <v>#DIV/0!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53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hidden="1" thickBot="1">
      <c r="A11" s="3536"/>
      <c r="B11" s="2187" t="s">
        <v>2620</v>
      </c>
      <c r="C11" s="861">
        <f>C10/4</f>
        <v>0</v>
      </c>
      <c r="D11" s="861" t="s">
        <v>142</v>
      </c>
      <c r="E11" s="861" t="e">
        <f>ROUND(C11/E7,4)</f>
        <v>#DIV/0!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531" t="s">
        <v>2623</v>
      </c>
      <c r="X11" s="1357" t="s">
        <v>2624</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5" hidden="1" thickBot="1">
      <c r="A12" s="3513"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531"/>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hidden="1">
      <c r="A13" s="3537"/>
      <c r="B13" s="2197" t="s">
        <v>2630</v>
      </c>
      <c r="C13" s="2198" t="s">
        <v>2631</v>
      </c>
      <c r="D13" s="1503" t="s">
        <v>2632</v>
      </c>
      <c r="E13" s="1503" t="s">
        <v>2633</v>
      </c>
      <c r="F13" s="29" t="s">
        <v>2634</v>
      </c>
      <c r="G13" s="2199" t="s">
        <v>2635</v>
      </c>
      <c r="H13" s="2199" t="s">
        <v>2635</v>
      </c>
      <c r="I13" s="2199" t="s">
        <v>2635</v>
      </c>
      <c r="J13" s="2200" t="s">
        <v>2635</v>
      </c>
      <c r="K13" s="1251"/>
      <c r="L13" s="1251"/>
      <c r="M13" s="1251"/>
      <c r="N13" s="1251"/>
      <c r="O13" s="1251"/>
      <c r="P13" s="1251"/>
      <c r="Q13" s="1251"/>
      <c r="R13" s="1345">
        <v>12</v>
      </c>
      <c r="S13" s="1346"/>
      <c r="T13" s="1345">
        <f t="shared" si="0"/>
        <v>0</v>
      </c>
      <c r="U13" s="1346"/>
      <c r="V13" s="1345">
        <f t="shared" si="1"/>
        <v>0</v>
      </c>
      <c r="W13" s="3531"/>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hidden="1">
      <c r="A14" s="3537"/>
      <c r="B14" s="2201"/>
      <c r="C14" s="2202"/>
      <c r="D14" s="2203"/>
      <c r="E14" s="2203"/>
      <c r="F14" s="2204"/>
      <c r="G14" s="2205" t="s">
        <v>2636</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7"/>
      <c r="AE14" s="2987"/>
      <c r="AF14" s="2987"/>
      <c r="AG14" s="2987"/>
      <c r="AH14" s="2987"/>
      <c r="AI14" s="2987"/>
      <c r="AJ14" s="2988"/>
    </row>
    <row r="15" spans="1:36" ht="15.75" hidden="1" thickBot="1">
      <c r="A15" s="3538"/>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7"/>
      <c r="AE15" s="2987"/>
      <c r="AF15" s="2987"/>
      <c r="AG15" s="2987"/>
      <c r="AH15" s="2987"/>
      <c r="AI15" s="2987"/>
      <c r="AJ15" s="2988"/>
    </row>
    <row r="16" spans="1:36" ht="24.6" customHeight="1">
      <c r="A16" s="3513" t="s">
        <v>2642</v>
      </c>
      <c r="B16" s="2178" t="s">
        <v>2643</v>
      </c>
      <c r="C16" s="2340">
        <f>ROUND(IF(F17="与级别开发程度一致",0,(G17-E17)/C17),0)</f>
        <v>0</v>
      </c>
      <c r="D16" s="3526" t="s">
        <v>2647</v>
      </c>
      <c r="E16" s="3527"/>
      <c r="F16" s="3526" t="s">
        <v>2644</v>
      </c>
      <c r="G16" s="3527"/>
      <c r="H16" s="2210"/>
      <c r="I16" s="2210"/>
      <c r="J16" s="2344"/>
      <c r="K16" s="2210"/>
      <c r="L16" s="2210"/>
      <c r="M16" s="2210"/>
      <c r="N16" s="2210"/>
      <c r="O16" s="2211"/>
      <c r="P16" s="2152"/>
      <c r="Q16" s="1251"/>
      <c r="R16" s="1345">
        <v>15</v>
      </c>
      <c r="S16" s="1346"/>
      <c r="T16" s="1345">
        <f t="shared" si="0"/>
        <v>0</v>
      </c>
      <c r="U16" s="1346"/>
      <c r="V16" s="1345">
        <f t="shared" si="1"/>
        <v>0</v>
      </c>
      <c r="W16" s="1349"/>
      <c r="X16" s="1349"/>
      <c r="Y16" s="1349"/>
      <c r="Z16" s="1349"/>
      <c r="AA16" s="1349"/>
      <c r="AB16" s="1349"/>
      <c r="AC16" s="1350"/>
      <c r="AD16" s="2987"/>
      <c r="AE16" s="2987"/>
      <c r="AF16" s="2987"/>
      <c r="AG16" s="2987"/>
      <c r="AH16" s="2987"/>
      <c r="AI16" s="2987"/>
      <c r="AJ16" s="2988"/>
    </row>
    <row r="17" spans="1:37" ht="26.25" thickBot="1">
      <c r="A17" s="3514"/>
      <c r="B17" s="2351" t="s">
        <v>2646</v>
      </c>
      <c r="C17" s="2352">
        <f>SUMPRODUCT((修正!A2:A5=E2)*(修正!B1:M1=G2)*(修正!B2:M5))</f>
        <v>1.2</v>
      </c>
      <c r="D17" s="192" t="str">
        <f>IF(OR(G2="八级",G2="九级",G2="十级",G2="十一级",G2="十二级"),"五通一平","七通一平")</f>
        <v>七通一平</v>
      </c>
      <c r="E17" s="2341">
        <f>SUMPRODUCT((修正!B1:M1=G2)*(修正!B15:M15))</f>
        <v>300</v>
      </c>
      <c r="F17" s="2342" t="s">
        <v>3139</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8"/>
      <c r="L18" s="2986"/>
      <c r="M18" s="2986"/>
      <c r="N18" s="2986"/>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6"/>
    </row>
    <row r="19" spans="1:37" s="2171" customFormat="1" ht="27.75" thickBot="1">
      <c r="A19" s="2215" t="s">
        <v>809</v>
      </c>
      <c r="B19" s="2216" t="s">
        <v>2650</v>
      </c>
      <c r="C19" s="862">
        <f>ROUND(IF(H19="按公示增长率计算",SUMPRODUCT((地价!A3:A37=YEAR(G19)&amp;"-"&amp;ROUNDUP(MONTH(G19)/3,0))*(地价!X2:AB2=E2)*(地价!X3:AB37)),IF(H19="地价指数",M20/M19,(1+I19)^O19)),4)</f>
        <v>1.4521999999999999</v>
      </c>
      <c r="D19" s="2220" t="s">
        <v>2651</v>
      </c>
      <c r="E19" s="863">
        <v>41640</v>
      </c>
      <c r="F19" s="2220" t="s">
        <v>2652</v>
      </c>
      <c r="G19" s="864">
        <f>'数据-取费表'!B2</f>
        <v>44582</v>
      </c>
      <c r="H19" s="2221" t="s">
        <v>3143</v>
      </c>
      <c r="I19" s="865" t="str">
        <f>IF(H19="季度增幅（自定义）",SUMIF(N21:N24,E2,O21:O24),"")</f>
        <v/>
      </c>
      <c r="J19" s="2218"/>
      <c r="K19" s="1258"/>
      <c r="L19" s="2222" t="s">
        <v>2653</v>
      </c>
      <c r="M19" s="1467">
        <f>ROUND(SUMIF(地价!B2:F2,E2,地价!B37:F37),0)</f>
        <v>230</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89"/>
      <c r="AH19" s="2309"/>
      <c r="AI19" s="2990"/>
      <c r="AJ19" s="2990"/>
      <c r="AK19" s="2224"/>
    </row>
    <row r="20" spans="1:37" s="2171" customFormat="1" ht="27.75" thickBot="1">
      <c r="A20" s="2225" t="s">
        <v>810</v>
      </c>
      <c r="B20" s="2226" t="s">
        <v>2655</v>
      </c>
      <c r="C20" s="867">
        <f>ROUND(POWER(1+G20,J20-I20)*(POWER(1+G20,I20)-1)/(POWER(1+G20,J20)-1),4)</f>
        <v>0.93769999999999998</v>
      </c>
      <c r="D20" s="2227" t="s">
        <v>2656</v>
      </c>
      <c r="E20" s="1474">
        <f>存贷款利率!E20/100</f>
        <v>4.3499999999999997E-2</v>
      </c>
      <c r="F20" s="2227" t="s">
        <v>2648</v>
      </c>
      <c r="G20" s="872">
        <f>SUMIF(M26:P26,E2,M28:P28)</f>
        <v>4.8000000000000001E-2</v>
      </c>
      <c r="H20" s="2227" t="s">
        <v>2657</v>
      </c>
      <c r="I20" s="873">
        <f>SUMIF('数据-取费表'!C6:C15,E2,'数据-取费表'!F6:F15)/COUNTIF('数据-取费表'!C6:C15,E2)</f>
        <v>40.15</v>
      </c>
      <c r="J20" s="874">
        <f>IF(E2="住宅",70,IF(E2="商业",40,50))</f>
        <v>50</v>
      </c>
      <c r="K20" s="1258"/>
      <c r="L20" s="2228" t="s">
        <v>2658</v>
      </c>
      <c r="M20" s="1468">
        <f>ROUND(SUMPRODUCT((地价!A4:A37=YEAR(G19)&amp;"-"&amp;ROUNDUP(MONTH(G19)/3,0))*(地价!B2:F2=E2)*(地价!B4:F37)),0)</f>
        <v>334</v>
      </c>
      <c r="N20" s="2229" t="s">
        <v>2659</v>
      </c>
      <c r="O20" s="2230" t="s">
        <v>2660</v>
      </c>
      <c r="P20" s="2231" t="s">
        <v>2661</v>
      </c>
      <c r="Q20" s="2986"/>
      <c r="R20" s="1257"/>
      <c r="S20" s="1257"/>
      <c r="T20" s="1252"/>
      <c r="U20" s="1252"/>
      <c r="V20" s="1252"/>
      <c r="W20" s="1251"/>
      <c r="X20" s="1251"/>
      <c r="Y20" s="1251"/>
      <c r="Z20" s="1258"/>
      <c r="AA20" s="1258"/>
      <c r="AB20" s="1258"/>
      <c r="AC20" s="1258"/>
      <c r="AD20" s="1258"/>
      <c r="AE20" s="1258"/>
      <c r="AF20" s="1258"/>
      <c r="AG20" s="2986"/>
      <c r="AH20" s="2986"/>
      <c r="AI20" s="2986"/>
      <c r="AJ20" s="2986"/>
    </row>
    <row r="21" spans="1:37" s="2171" customFormat="1" ht="15">
      <c r="A21" s="2232" t="s">
        <v>811</v>
      </c>
      <c r="B21" s="2233" t="s">
        <v>3142</v>
      </c>
      <c r="C21" s="875" t="e">
        <f>IF(B21="容积率修正",IF(G3&lt;=10,D22,J22),C23)</f>
        <v>#DIV/0!</v>
      </c>
      <c r="D21" s="2234"/>
      <c r="E21" s="2234"/>
      <c r="F21" s="2234"/>
      <c r="G21" s="2234"/>
      <c r="H21" s="2234"/>
      <c r="I21" s="2234"/>
      <c r="J21" s="2235"/>
      <c r="K21" s="1258"/>
      <c r="L21" s="2986"/>
      <c r="M21" s="2986"/>
      <c r="N21" s="2236" t="s">
        <v>2662</v>
      </c>
      <c r="O21" s="1306"/>
      <c r="P21" s="1307">
        <f>SUMPRODUCT((地价!A3:A37=YEAR(G19)&amp;"-"&amp;ROUNDUP(MONTH(G19)/3,0))*(地价!AD2:AH2=N21)*(地价!AD3:AH37))</f>
        <v>1.0200000000000001E-2</v>
      </c>
      <c r="Q21" s="2986"/>
      <c r="R21" s="1257"/>
      <c r="S21" s="1257"/>
      <c r="T21" s="1252"/>
      <c r="U21" s="1252"/>
      <c r="V21" s="1252"/>
      <c r="W21" s="1251"/>
      <c r="X21" s="1251"/>
      <c r="Y21" s="1251"/>
      <c r="Z21" s="1258"/>
      <c r="AA21" s="1258"/>
      <c r="AB21" s="1258"/>
      <c r="AC21" s="1258"/>
      <c r="AD21" s="1258"/>
      <c r="AE21" s="1258"/>
      <c r="AF21" s="1258"/>
      <c r="AG21" s="2986"/>
      <c r="AH21" s="2986"/>
      <c r="AI21" s="2986"/>
      <c r="AJ21" s="2986"/>
    </row>
    <row r="22" spans="1:37" s="2171" customFormat="1" ht="14.25">
      <c r="A22" s="2110" t="s">
        <v>2663</v>
      </c>
      <c r="B22" s="2237" t="s">
        <v>2664</v>
      </c>
      <c r="C22" s="1505" t="s">
        <v>2665</v>
      </c>
      <c r="D22" s="1505" t="e">
        <f>IF(E22=G22,F22,IF(G3&lt;=10,ROUND(F22+(H22-F22)*(G3-E22)/(G22-E22),4),"——"))</f>
        <v>#DIV/0!</v>
      </c>
      <c r="E22" s="854"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6" t="e">
        <f>IF(G3&gt;10,D113,"——")</f>
        <v>#DIV/0!</v>
      </c>
      <c r="K22" s="1258"/>
      <c r="L22" s="2986"/>
      <c r="M22" s="2986"/>
      <c r="N22" s="2236" t="s">
        <v>2666</v>
      </c>
      <c r="O22" s="1306"/>
      <c r="P22" s="1307">
        <f>SUMPRODUCT((地价!A3:A37=YEAR(G19)&amp;"-"&amp;ROUNDUP(MONTH(G19)/3,0))*(地价!AD2:AH2=N22)*(地价!AD3:AH37))</f>
        <v>1.0200000000000001E-2</v>
      </c>
      <c r="Q22" s="2986"/>
      <c r="R22" s="1257"/>
      <c r="S22" s="1257"/>
      <c r="T22" s="1252"/>
      <c r="U22" s="1252"/>
      <c r="V22" s="1252"/>
      <c r="W22" s="1251"/>
      <c r="X22" s="1251"/>
      <c r="Y22" s="1251"/>
      <c r="Z22" s="1258"/>
      <c r="AA22" s="1258"/>
      <c r="AB22" s="1258"/>
      <c r="AC22" s="1258"/>
      <c r="AD22" s="1258"/>
      <c r="AE22" s="1258"/>
      <c r="AF22" s="1258"/>
      <c r="AG22" s="2986"/>
      <c r="AH22" s="2986"/>
      <c r="AI22" s="2986"/>
      <c r="AJ22" s="2986"/>
    </row>
    <row r="23" spans="1:37" ht="27.75" thickBot="1">
      <c r="A23" s="2110" t="s">
        <v>2667</v>
      </c>
      <c r="B23" s="2238" t="s">
        <v>2668</v>
      </c>
      <c r="C23" s="949" t="e">
        <f>ROUND(IF(G3&gt;1,IF(I3&lt;7,SUMPRODUCT((B93:B98=I3)*(C92:N92=G2)*(C93:N98)),SUMIF(C92:N92,G2,C100:N100)),IF(I3&lt;7,SUMPRODUCT((B102:B107=I3)*(C92:N92=G2)*(C102:N107)),SUMIF(C92:N92,G2,C109:N109))),4)</f>
        <v>#DIV/0!</v>
      </c>
      <c r="D23" s="2206"/>
      <c r="E23" s="2206"/>
      <c r="F23" s="2239"/>
      <c r="G23" s="2240"/>
      <c r="H23" s="2241"/>
      <c r="I23" s="2242"/>
      <c r="J23" s="2243"/>
      <c r="K23" s="1251"/>
      <c r="L23" s="2152"/>
      <c r="M23" s="2152"/>
      <c r="N23" s="2236" t="s">
        <v>2669</v>
      </c>
      <c r="O23" s="1306"/>
      <c r="P23" s="1307">
        <f>SUMPRODUCT((地价!A3:A37=YEAR(G19)&amp;"-"&amp;ROUNDUP(MONTH(G19)/3,0))*(地价!AD2:AH2=N23)*(地价!AD3:AH37))</f>
        <v>1.77E-2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2670</v>
      </c>
      <c r="C24" s="862">
        <f>SUMIF(A45:A88,E2,B45:B88)</f>
        <v>1.0275000000000001</v>
      </c>
      <c r="D24" s="2217"/>
      <c r="E24" s="2244"/>
      <c r="F24" s="2244"/>
      <c r="G24" s="2244"/>
      <c r="H24" s="2244"/>
      <c r="I24" s="2244"/>
      <c r="J24" s="2245"/>
      <c r="K24" s="1258"/>
      <c r="L24" s="2986"/>
      <c r="M24" s="2986"/>
      <c r="N24" s="2246" t="s">
        <v>2671</v>
      </c>
      <c r="O24" s="1308"/>
      <c r="P24" s="1309">
        <f>SUMPRODUCT((地价!A3:A37=YEAR(G19)&amp;"-"&amp;ROUNDUP(MONTH(G19)/3,0))*(地价!AD2:AH2=N24)*(地价!AD3:AH37))</f>
        <v>1.18E-2</v>
      </c>
      <c r="Q24" s="2986"/>
      <c r="R24" s="1257"/>
      <c r="S24" s="1257"/>
      <c r="T24" s="1252"/>
      <c r="U24" s="1252"/>
      <c r="V24" s="1252"/>
      <c r="W24" s="1251"/>
      <c r="X24" s="1251"/>
      <c r="Y24" s="1251"/>
      <c r="Z24" s="1258"/>
      <c r="AA24" s="1258"/>
      <c r="AB24" s="1258"/>
      <c r="AC24" s="1258"/>
      <c r="AD24" s="1258"/>
      <c r="AE24" s="1258"/>
      <c r="AF24" s="1258"/>
      <c r="AG24" s="2986"/>
      <c r="AH24" s="2986"/>
      <c r="AI24" s="2986"/>
      <c r="AJ24" s="2986"/>
    </row>
    <row r="25" spans="1:37" ht="15.75" thickBot="1">
      <c r="A25" s="2225" t="s">
        <v>813</v>
      </c>
      <c r="B25" s="2247" t="s">
        <v>2672</v>
      </c>
      <c r="C25" s="868"/>
      <c r="D25" s="2181"/>
      <c r="E25" s="2181"/>
      <c r="F25" s="2248"/>
      <c r="G25" s="2181"/>
      <c r="H25" s="2181"/>
      <c r="I25" s="2181"/>
      <c r="J25" s="2182"/>
      <c r="K25" s="1251"/>
      <c r="L25" s="2152"/>
      <c r="M25" s="2152"/>
      <c r="N25" s="2981" t="s">
        <v>2673</v>
      </c>
      <c r="O25" s="2982"/>
      <c r="P25" s="2983">
        <f>SUMPRODUCT((地价!A3:A37=YEAR(G19)&amp;"-"&amp;ROUNDUP(MONTH(G19)/3,0))*(地价!AD2:AH2=N25)*(地价!AD3:AH37))</f>
        <v>1.61E-2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2674</v>
      </c>
      <c r="C26" s="2511" t="e">
        <f>IF(B21="容积率修正",E29+SUM(E33:E39),SUM(V2:V16)+SUM(E33:E39))</f>
        <v>#DIV/0!</v>
      </c>
      <c r="D26" s="2250"/>
      <c r="E26" s="2206"/>
      <c r="F26" s="2251"/>
      <c r="G26" s="2206"/>
      <c r="H26" s="2206"/>
      <c r="I26" s="2206"/>
      <c r="J26" s="2252"/>
      <c r="K26" s="1251"/>
      <c r="L26" s="2984" t="s">
        <v>2574</v>
      </c>
      <c r="M26" s="2179" t="s">
        <v>2638</v>
      </c>
      <c r="N26" s="2179" t="s">
        <v>2639</v>
      </c>
      <c r="O26" s="2179" t="s">
        <v>2640</v>
      </c>
      <c r="P26" s="2985"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2675</v>
      </c>
      <c r="C27" s="869" t="e">
        <f>E30+SUM(I33:I39)</f>
        <v>#DIV/0!</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2680</v>
      </c>
      <c r="C29" s="179" t="e">
        <f>ROUND(C5*C18*C19*C20*C21*C24,0)</f>
        <v>#DIV/0!</v>
      </c>
      <c r="D29" s="2265">
        <f>'数据-汇总表'!F19</f>
        <v>14258.11</v>
      </c>
      <c r="E29" s="878" t="e">
        <f>ROUND(C29*D29/10000,0)</f>
        <v>#DIV/0!</v>
      </c>
      <c r="F29" s="2266" t="s">
        <v>2681</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2682</v>
      </c>
      <c r="C30" s="192" t="e">
        <f>ROUND(IF(E2="工业",C29*M39,C29*M38),0)</f>
        <v>#DIV/0!</v>
      </c>
      <c r="D30" s="2271"/>
      <c r="E30" s="878" t="e">
        <f>ROUND(C30*D30/10000,0)</f>
        <v>#DIV/0!</v>
      </c>
      <c r="F30" s="2272" t="s">
        <v>2683</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2684</v>
      </c>
      <c r="C31" s="2277" t="s">
        <v>2685</v>
      </c>
      <c r="D31" s="2194"/>
      <c r="E31" s="2277"/>
      <c r="F31" s="2277"/>
      <c r="G31" s="2192" t="s">
        <v>2686</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2677</v>
      </c>
      <c r="D32" s="454" t="s">
        <v>2678</v>
      </c>
      <c r="E32" s="454" t="s">
        <v>2679</v>
      </c>
      <c r="F32" s="347" t="s">
        <v>2687</v>
      </c>
      <c r="G32" s="2280" t="s">
        <v>2677</v>
      </c>
      <c r="H32" s="2280" t="s">
        <v>2678</v>
      </c>
      <c r="I32" s="2280"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23"/>
      <c r="B33" s="2281" t="s">
        <v>2688</v>
      </c>
      <c r="C33" s="179">
        <f>ROUND(D5*C19*C20*C24*F33,0)</f>
        <v>1303</v>
      </c>
      <c r="D33" s="2265"/>
      <c r="E33" s="175">
        <f>ROUND(C33*D33/10000,0)</f>
        <v>0</v>
      </c>
      <c r="F33" s="175">
        <f>SUMIF(修正!A45:A56,G2,修正!B45:B56)</f>
        <v>0.7</v>
      </c>
      <c r="G33" s="175">
        <f t="shared" ref="G33" si="6">ROUND(IF(E2="工业",C33*$M$39,C33*$M$38),0)</f>
        <v>195</v>
      </c>
      <c r="H33" s="175">
        <f>D33</f>
        <v>0</v>
      </c>
      <c r="I33" s="175">
        <f>ROUND(G33*H33/10000,0)</f>
        <v>0</v>
      </c>
      <c r="J33" s="3528" t="s">
        <v>2982</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24"/>
      <c r="B34" s="2198" t="s">
        <v>2689</v>
      </c>
      <c r="C34" s="179">
        <f>ROUND(D5*C19*C20*C24*F34,0)</f>
        <v>744</v>
      </c>
      <c r="D34" s="2265"/>
      <c r="E34" s="175">
        <f t="shared" ref="E34:E39" si="7">ROUND(C34*D34/10000,0)</f>
        <v>0</v>
      </c>
      <c r="F34" s="175">
        <f>SUMIF(修正!A45:A56,G2,修正!C45:C56)</f>
        <v>0.4</v>
      </c>
      <c r="G34" s="175">
        <f>ROUND(IF(E2="工业",C34*$M$39,C34*$M$38),0)</f>
        <v>112</v>
      </c>
      <c r="H34" s="175">
        <f t="shared" ref="H34:H39" si="8">D34</f>
        <v>0</v>
      </c>
      <c r="I34" s="175">
        <f t="shared" ref="I34:I39" si="9">ROUND(G34*H34/10000,0)</f>
        <v>0</v>
      </c>
      <c r="J34" s="3524"/>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24"/>
      <c r="B35" s="2198" t="s">
        <v>2690</v>
      </c>
      <c r="C35" s="179">
        <f>ROUND(D5*C19*C20*C24*F35,0)</f>
        <v>521</v>
      </c>
      <c r="D35" s="2265"/>
      <c r="E35" s="175">
        <f t="shared" si="7"/>
        <v>0</v>
      </c>
      <c r="F35" s="175">
        <f>SUMIF(修正!A45:A56,G2,修正!D45:D56)</f>
        <v>0.28000000000000003</v>
      </c>
      <c r="G35" s="175">
        <f>ROUND(IF(E2="工业",C35*$M$39,C35*$M$38),0)</f>
        <v>78</v>
      </c>
      <c r="H35" s="175">
        <f t="shared" si="8"/>
        <v>0</v>
      </c>
      <c r="I35" s="175">
        <f t="shared" si="9"/>
        <v>0</v>
      </c>
      <c r="J35" s="3524"/>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25"/>
      <c r="B36" s="2198" t="s">
        <v>2691</v>
      </c>
      <c r="C36" s="179">
        <f>ROUND(D5*C19*C20*C24*F36,0)</f>
        <v>465</v>
      </c>
      <c r="D36" s="2265"/>
      <c r="E36" s="175">
        <f t="shared" si="7"/>
        <v>0</v>
      </c>
      <c r="F36" s="175">
        <f>SUMIF(修正!A45:A56,G2,修正!E45:E56)</f>
        <v>0.25</v>
      </c>
      <c r="G36" s="175">
        <f>ROUND(IF(E2="工业",C36*$M$39,C36*$M$38),0)</f>
        <v>70</v>
      </c>
      <c r="H36" s="175">
        <f t="shared" si="8"/>
        <v>0</v>
      </c>
      <c r="I36" s="175">
        <f t="shared" si="9"/>
        <v>0</v>
      </c>
      <c r="J36" s="3525"/>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2692</v>
      </c>
      <c r="C37" s="175">
        <f>ROUND(D5*C19*C20*C24*F37,0)</f>
        <v>465</v>
      </c>
      <c r="D37" s="2265"/>
      <c r="E37" s="175">
        <f t="shared" si="7"/>
        <v>0</v>
      </c>
      <c r="F37" s="179">
        <f>SUMIF(修正!A45:A56,G2,修正!F45:F56)</f>
        <v>0.25</v>
      </c>
      <c r="G37" s="175">
        <f>ROUND(IF(E2="工业",C37*$M$39,C37*$M$38),0)</f>
        <v>70</v>
      </c>
      <c r="H37" s="175">
        <f t="shared" si="8"/>
        <v>0</v>
      </c>
      <c r="I37" s="175">
        <f t="shared" si="9"/>
        <v>0</v>
      </c>
      <c r="J37" s="2282"/>
      <c r="K37" s="1251"/>
      <c r="L37" s="2284" t="s">
        <v>2693</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2694</v>
      </c>
      <c r="C38" s="175">
        <f>ROUND(D5*C19*C41*C24*F38,0)</f>
        <v>0</v>
      </c>
      <c r="D38" s="2265"/>
      <c r="E38" s="175">
        <f t="shared" si="7"/>
        <v>0</v>
      </c>
      <c r="F38" s="179">
        <f>SUMIF(修正!A45:A56,G2,修正!G45:G56)</f>
        <v>0.25</v>
      </c>
      <c r="G38" s="175">
        <f>ROUND(IF(E2="工业",C38*$M$39,C38*$M$38),0)</f>
        <v>0</v>
      </c>
      <c r="H38" s="175">
        <f t="shared" si="8"/>
        <v>0</v>
      </c>
      <c r="I38" s="175">
        <f t="shared" si="9"/>
        <v>0</v>
      </c>
      <c r="J38" s="2282"/>
      <c r="K38" s="1251"/>
      <c r="L38" s="1574" t="s">
        <v>2695</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2696</v>
      </c>
      <c r="C39" s="192">
        <f>ROUND(D5*C19*C41*C24*F39,0)</f>
        <v>0</v>
      </c>
      <c r="D39" s="2271"/>
      <c r="E39" s="192">
        <f t="shared" si="7"/>
        <v>0</v>
      </c>
      <c r="F39" s="870">
        <f>SUMIF(修正!A45:A56,G2,修正!H45:H56)</f>
        <v>0.2</v>
      </c>
      <c r="G39" s="192">
        <f>ROUND(IF(E2="工业",C39*$M$39,C39*$M$38),0)</f>
        <v>0</v>
      </c>
      <c r="H39" s="192">
        <f t="shared" si="8"/>
        <v>0</v>
      </c>
      <c r="I39" s="192">
        <f t="shared" si="9"/>
        <v>0</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2801</v>
      </c>
      <c r="C41" s="347">
        <f>ROUND(POWER(1+E41,H41-G41)*(POWER(1+E41,G41)-1)/(POWER(1+E41,H41)-1),4)</f>
        <v>0</v>
      </c>
      <c r="D41" s="175" t="s">
        <v>2648</v>
      </c>
      <c r="E41" s="2338">
        <f>G20</f>
        <v>4.8000000000000001E-2</v>
      </c>
      <c r="F41" s="175" t="s">
        <v>2657</v>
      </c>
      <c r="G41" s="188"/>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ht="13.5" thickBot="1">
      <c r="A44" s="1252"/>
      <c r="B44" s="2291"/>
      <c r="Z44" s="1252"/>
      <c r="AA44" s="1252"/>
      <c r="AB44" s="1252"/>
      <c r="AC44" s="1252"/>
      <c r="AD44" s="1252"/>
      <c r="AE44" s="1252"/>
      <c r="AF44" s="1252"/>
      <c r="AG44" s="1252"/>
      <c r="AH44" s="1252"/>
      <c r="AI44" s="1252"/>
      <c r="AJ44" s="1252"/>
    </row>
    <row r="45" spans="1:37" s="1251" customFormat="1" ht="15.75" hidden="1" thickBot="1">
      <c r="A45" s="2292" t="s">
        <v>2697</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hidden="1">
      <c r="A46" s="2294" t="s">
        <v>2698</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hidden="1">
      <c r="A47" s="2298" t="s">
        <v>2699</v>
      </c>
      <c r="B47" s="1504" t="s">
        <v>2700</v>
      </c>
      <c r="C47" s="1504" t="s">
        <v>2701</v>
      </c>
      <c r="D47" s="1504" t="s">
        <v>2702</v>
      </c>
      <c r="E47" s="757" t="s">
        <v>2703</v>
      </c>
      <c r="F47" s="2299" t="s">
        <v>2704</v>
      </c>
      <c r="G47" s="1504" t="s">
        <v>754</v>
      </c>
      <c r="H47" s="2300" t="s">
        <v>2705</v>
      </c>
      <c r="I47" s="1504"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24.75" hidden="1">
      <c r="A48" s="2298" t="s">
        <v>2707</v>
      </c>
      <c r="B48" s="2301">
        <f>估价对象房地状况!C4</f>
        <v>0</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14.25" hidden="1">
      <c r="A49" s="2298" t="s">
        <v>2708</v>
      </c>
      <c r="B49" s="2302">
        <f>估价对象房地状况!C18</f>
        <v>0</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hidden="1">
      <c r="A50" s="2298" t="s">
        <v>2709</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hidden="1">
      <c r="A51" s="2298" t="s">
        <v>2710</v>
      </c>
      <c r="B51" s="2303" t="s">
        <v>2711</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hidden="1">
      <c r="A52" s="2298" t="s">
        <v>2712</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hidden="1">
      <c r="A53" s="2298" t="s">
        <v>2713</v>
      </c>
      <c r="B53" s="2304" t="s">
        <v>2714</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4" hidden="1">
      <c r="A54" s="2305" t="s">
        <v>2715</v>
      </c>
      <c r="B54" s="1465">
        <f>估价对象房地状况!C21</f>
        <v>0</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4" hidden="1">
      <c r="A55" s="2305" t="s">
        <v>2716</v>
      </c>
      <c r="B55" s="2302">
        <f>估价对象房地状况!C22</f>
        <v>0</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24.75" hidden="1" thickBot="1">
      <c r="A56" s="2306" t="s">
        <v>2717</v>
      </c>
      <c r="B56" s="2307">
        <f>估价对象房地状况!C20</f>
        <v>0</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hidden="1">
      <c r="A57" s="2294" t="s">
        <v>2718</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hidden="1">
      <c r="A58" s="2298" t="s">
        <v>2699</v>
      </c>
      <c r="B58" s="1504"/>
      <c r="C58" s="1504" t="s">
        <v>2701</v>
      </c>
      <c r="D58" s="1504" t="s">
        <v>2702</v>
      </c>
      <c r="E58" s="757" t="s">
        <v>2703</v>
      </c>
      <c r="F58" s="2299" t="s">
        <v>2719</v>
      </c>
      <c r="G58" s="1504" t="s">
        <v>754</v>
      </c>
      <c r="H58" s="2300" t="s">
        <v>2705</v>
      </c>
      <c r="I58" s="1504"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24" hidden="1">
      <c r="A59" s="2298" t="s">
        <v>2720</v>
      </c>
      <c r="B59" s="2301">
        <f>估价对象房地状况!C17</f>
        <v>0</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14.25" hidden="1">
      <c r="A60" s="2298" t="s">
        <v>2708</v>
      </c>
      <c r="B60" s="2302">
        <f>估价对象房地状况!C18</f>
        <v>0</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hidden="1">
      <c r="A61" s="2298" t="s">
        <v>2709</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hidden="1">
      <c r="A62" s="2298" t="s">
        <v>2710</v>
      </c>
      <c r="B62" s="2303" t="s">
        <v>2711</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hidden="1">
      <c r="A63" s="2298" t="s">
        <v>2712</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hidden="1">
      <c r="A64" s="2298" t="s">
        <v>2713</v>
      </c>
      <c r="B64" s="2304" t="s">
        <v>2714</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4" hidden="1">
      <c r="A65" s="2298" t="s">
        <v>2715</v>
      </c>
      <c r="B65" s="1465">
        <f>估价对象房地状况!C21</f>
        <v>0</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4" hidden="1">
      <c r="A66" s="2298" t="s">
        <v>2716</v>
      </c>
      <c r="B66" s="1465">
        <f>估价对象房地状况!C22</f>
        <v>0</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24.75" hidden="1" thickBot="1">
      <c r="A67" s="2306" t="s">
        <v>2717</v>
      </c>
      <c r="B67" s="2308">
        <f>估价对象房地状况!C20</f>
        <v>0</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hidden="1">
      <c r="A68" s="2294" t="s">
        <v>2721</v>
      </c>
      <c r="B68" s="2295">
        <f>1+E70</f>
        <v>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hidden="1">
      <c r="A69" s="2298" t="s">
        <v>2699</v>
      </c>
      <c r="B69" s="1504"/>
      <c r="C69" s="1504" t="s">
        <v>2701</v>
      </c>
      <c r="D69" s="1504" t="s">
        <v>2702</v>
      </c>
      <c r="E69" s="757" t="s">
        <v>2703</v>
      </c>
      <c r="F69" s="2299" t="s">
        <v>2719</v>
      </c>
      <c r="G69" s="1504" t="s">
        <v>754</v>
      </c>
      <c r="H69" s="2300" t="s">
        <v>2705</v>
      </c>
      <c r="I69" s="1504"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24" hidden="1">
      <c r="A70" s="2298" t="s">
        <v>2722</v>
      </c>
      <c r="B70" s="2301">
        <f>估价对象房地状况!C15</f>
        <v>0</v>
      </c>
      <c r="C70" s="2203"/>
      <c r="D70" s="1195">
        <f t="shared" ref="D70:D78" si="20">SUMIF($J$69:$N$69,C70,J70:N70)</f>
        <v>0</v>
      </c>
      <c r="E70" s="759">
        <f>ROUND(SUM(D70:D78),4)</f>
        <v>0</v>
      </c>
      <c r="F70" s="196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14.25" hidden="1">
      <c r="A71" s="2298" t="s">
        <v>2708</v>
      </c>
      <c r="B71" s="2302">
        <f>估价对象房地状况!C18</f>
        <v>0</v>
      </c>
      <c r="C71" s="2203"/>
      <c r="D71" s="1195">
        <f t="shared" si="20"/>
        <v>0</v>
      </c>
      <c r="E71" s="764"/>
      <c r="F71" s="1969"/>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hidden="1">
      <c r="A72" s="2298" t="s">
        <v>2709</v>
      </c>
      <c r="B72" s="2302">
        <f>估价对象房地状况!C19</f>
        <v>0</v>
      </c>
      <c r="C72" s="2203"/>
      <c r="D72" s="1195">
        <f t="shared" si="20"/>
        <v>0</v>
      </c>
      <c r="E72" s="764"/>
      <c r="F72" s="1969"/>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hidden="1">
      <c r="A73" s="2298" t="s">
        <v>2723</v>
      </c>
      <c r="B73" s="2302">
        <f>估价对象房地状况!C24</f>
        <v>0</v>
      </c>
      <c r="C73" s="2203"/>
      <c r="D73" s="1195">
        <f t="shared" si="20"/>
        <v>0</v>
      </c>
      <c r="E73" s="764"/>
      <c r="F73" s="1969"/>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4" hidden="1">
      <c r="A74" s="2298" t="s">
        <v>2715</v>
      </c>
      <c r="B74" s="1465">
        <f>估价对象房地状况!C21</f>
        <v>0</v>
      </c>
      <c r="C74" s="2203"/>
      <c r="D74" s="1195">
        <f t="shared" si="20"/>
        <v>0</v>
      </c>
      <c r="E74" s="764"/>
      <c r="F74" s="1969"/>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4" hidden="1">
      <c r="A75" s="2298" t="s">
        <v>2716</v>
      </c>
      <c r="B75" s="1465">
        <f>估价对象房地状况!C22</f>
        <v>0</v>
      </c>
      <c r="C75" s="2203"/>
      <c r="D75" s="1195">
        <f t="shared" si="20"/>
        <v>0</v>
      </c>
      <c r="E75" s="764"/>
      <c r="F75" s="1969"/>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2" customFormat="1" ht="24" hidden="1">
      <c r="A76" s="2298" t="s">
        <v>2713</v>
      </c>
      <c r="B76" s="2304" t="s">
        <v>2714</v>
      </c>
      <c r="C76" s="2203"/>
      <c r="D76" s="1195">
        <f t="shared" si="20"/>
        <v>0</v>
      </c>
      <c r="E76" s="764"/>
      <c r="F76" s="1969"/>
      <c r="G76" s="1193"/>
      <c r="H76" s="1197" t="str">
        <f t="shared" si="21"/>
        <v>——</v>
      </c>
      <c r="I76" s="758">
        <v>0.05</v>
      </c>
      <c r="J76" s="1194">
        <f t="shared" si="22"/>
        <v>0</v>
      </c>
      <c r="K76" s="1194">
        <f t="shared" si="23"/>
        <v>0</v>
      </c>
      <c r="L76" s="1194">
        <v>0</v>
      </c>
      <c r="M76" s="1194">
        <f t="shared" si="24"/>
        <v>0</v>
      </c>
      <c r="N76" s="1194">
        <f t="shared" si="24"/>
        <v>0</v>
      </c>
      <c r="AA76" s="2309"/>
      <c r="AB76" s="1252"/>
      <c r="AC76" s="1252"/>
      <c r="AD76" s="1252"/>
      <c r="AE76" s="1252"/>
      <c r="AF76" s="1252"/>
      <c r="AG76" s="1252"/>
      <c r="AH76" s="2309"/>
      <c r="AI76" s="2309"/>
      <c r="AJ76" s="2309"/>
      <c r="AK76" s="2309"/>
    </row>
    <row r="77" spans="1:37" ht="24" hidden="1">
      <c r="A77" s="2298" t="s">
        <v>2717</v>
      </c>
      <c r="B77" s="2301">
        <f>估价对象房地状况!C20</f>
        <v>0</v>
      </c>
      <c r="C77" s="2203"/>
      <c r="D77" s="1195">
        <f t="shared" si="20"/>
        <v>0</v>
      </c>
      <c r="E77" s="764"/>
      <c r="F77" s="1969"/>
      <c r="G77" s="1193"/>
      <c r="H77" s="1197" t="str">
        <f t="shared" si="21"/>
        <v>——</v>
      </c>
      <c r="I77" s="758">
        <v>0.15</v>
      </c>
      <c r="J77" s="1194">
        <f t="shared" si="22"/>
        <v>0</v>
      </c>
      <c r="K77" s="1194">
        <f t="shared" si="23"/>
        <v>0</v>
      </c>
      <c r="L77" s="1194">
        <v>0</v>
      </c>
      <c r="M77" s="1194">
        <f t="shared" si="24"/>
        <v>0</v>
      </c>
      <c r="N77" s="1194">
        <f t="shared" si="24"/>
        <v>0</v>
      </c>
      <c r="Z77" s="2153"/>
      <c r="AA77" s="2219"/>
      <c r="AG77" s="1253"/>
      <c r="AK77" s="2219"/>
    </row>
    <row r="78" spans="1:37" ht="24.75" hidden="1" thickBot="1">
      <c r="A78" s="2306" t="s">
        <v>2724</v>
      </c>
      <c r="B78" s="2310"/>
      <c r="C78" s="2203"/>
      <c r="D78" s="1195">
        <f t="shared" si="20"/>
        <v>0</v>
      </c>
      <c r="E78" s="765"/>
      <c r="F78" s="1969"/>
      <c r="G78" s="1193"/>
      <c r="H78" s="1197" t="str">
        <f t="shared" si="21"/>
        <v>——</v>
      </c>
      <c r="I78" s="762">
        <v>0.04</v>
      </c>
      <c r="J78" s="1194">
        <f t="shared" si="22"/>
        <v>0</v>
      </c>
      <c r="K78" s="1194">
        <f t="shared" si="23"/>
        <v>0</v>
      </c>
      <c r="L78" s="1194">
        <v>0</v>
      </c>
      <c r="M78" s="1194">
        <f t="shared" si="24"/>
        <v>0</v>
      </c>
      <c r="N78" s="1194">
        <f t="shared" si="24"/>
        <v>0</v>
      </c>
      <c r="Z78" s="2153"/>
      <c r="AA78" s="2219"/>
      <c r="AG78" s="1253"/>
      <c r="AK78" s="2219"/>
    </row>
    <row r="79" spans="1:37" ht="15">
      <c r="A79" s="2294" t="s">
        <v>2725</v>
      </c>
      <c r="B79" s="2295">
        <f>1+E81</f>
        <v>1.0275000000000001</v>
      </c>
      <c r="C79" s="752"/>
      <c r="D79" s="752"/>
      <c r="E79" s="753"/>
      <c r="F79" s="2297"/>
      <c r="G79" s="6"/>
      <c r="H79" s="6"/>
      <c r="I79" s="6"/>
      <c r="J79" s="7"/>
      <c r="K79" s="7"/>
      <c r="L79" s="7"/>
      <c r="M79" s="7"/>
      <c r="N79" s="7"/>
      <c r="Z79" s="2153"/>
      <c r="AA79" s="2219"/>
      <c r="AG79" s="1253"/>
      <c r="AK79" s="2219"/>
    </row>
    <row r="80" spans="1:37" ht="24.75">
      <c r="A80" s="2298" t="s">
        <v>2699</v>
      </c>
      <c r="B80" s="1504"/>
      <c r="C80" s="1504" t="s">
        <v>2701</v>
      </c>
      <c r="D80" s="1504" t="s">
        <v>2702</v>
      </c>
      <c r="E80" s="757" t="s">
        <v>2703</v>
      </c>
      <c r="F80" s="2299" t="s">
        <v>2719</v>
      </c>
      <c r="G80" s="1504" t="s">
        <v>754</v>
      </c>
      <c r="H80" s="2300" t="s">
        <v>2705</v>
      </c>
      <c r="I80" s="1504" t="s">
        <v>2706</v>
      </c>
      <c r="J80" s="559" t="s">
        <v>2358</v>
      </c>
      <c r="K80" s="559" t="s">
        <v>2359</v>
      </c>
      <c r="L80" s="559" t="s">
        <v>2360</v>
      </c>
      <c r="M80" s="559" t="s">
        <v>2361</v>
      </c>
      <c r="N80" s="559" t="s">
        <v>2362</v>
      </c>
      <c r="Z80" s="2153"/>
      <c r="AA80" s="2219"/>
      <c r="AG80" s="1253"/>
      <c r="AK80" s="2219"/>
    </row>
    <row r="81" spans="1:37" ht="24">
      <c r="A81" s="2298" t="s">
        <v>2726</v>
      </c>
      <c r="B81" s="2302" t="str">
        <f>估价对象房地状况!G15</f>
        <v>较好</v>
      </c>
      <c r="C81" s="2203" t="s">
        <v>3130</v>
      </c>
      <c r="D81" s="1195">
        <f t="shared" ref="D81:D88" si="25">SUMIF($J$80:$N$80,C81,J81:N81)</f>
        <v>6.4999999999999997E-3</v>
      </c>
      <c r="E81" s="759">
        <f>ROUND(SUM(D81:D88),4)</f>
        <v>2.75E-2</v>
      </c>
      <c r="F81" s="1969">
        <f>IF(E2="工业",SUMIF(L1:L12,G2,N1:N12),"——")</f>
        <v>0.05</v>
      </c>
      <c r="G81" s="1193">
        <f>H81</f>
        <v>6.4999999999999997E-3</v>
      </c>
      <c r="H81" s="1197">
        <f t="shared" ref="H81:H88" si="26">IFERROR(ROUNDDOWN($F$81*I81/2,4),"——")</f>
        <v>6.4999999999999997E-3</v>
      </c>
      <c r="I81" s="758">
        <v>0.26</v>
      </c>
      <c r="J81" s="1194">
        <f t="shared" ref="J81:J88" si="27">K81+$G81</f>
        <v>1.2999999999999999E-2</v>
      </c>
      <c r="K81" s="1194">
        <f t="shared" ref="K81:K88" si="28">$L81+$G81</f>
        <v>6.4999999999999997E-3</v>
      </c>
      <c r="L81" s="1194">
        <v>0</v>
      </c>
      <c r="M81" s="1194">
        <f t="shared" ref="M81:N88" si="29">L81-$G81</f>
        <v>-6.4999999999999997E-3</v>
      </c>
      <c r="N81" s="1194">
        <f t="shared" si="29"/>
        <v>-1.2999999999999999E-2</v>
      </c>
      <c r="Z81" s="2153"/>
      <c r="AA81" s="2219"/>
      <c r="AG81" s="1253"/>
      <c r="AK81" s="2219"/>
    </row>
    <row r="82" spans="1:37" ht="14.25">
      <c r="A82" s="2298" t="s">
        <v>2708</v>
      </c>
      <c r="B82" s="2302" t="str">
        <f>估价对象房地状况!G16</f>
        <v>好</v>
      </c>
      <c r="C82" s="2203" t="s">
        <v>3130</v>
      </c>
      <c r="D82" s="1195">
        <f t="shared" si="25"/>
        <v>8.2000000000000007E-3</v>
      </c>
      <c r="E82" s="764"/>
      <c r="F82" s="1969"/>
      <c r="G82" s="1193">
        <f t="shared" ref="G82:G88" si="30">H82</f>
        <v>8.2000000000000007E-3</v>
      </c>
      <c r="H82" s="1197">
        <f t="shared" si="26"/>
        <v>8.2000000000000007E-3</v>
      </c>
      <c r="I82" s="758">
        <v>0.33</v>
      </c>
      <c r="J82" s="1194">
        <f t="shared" si="27"/>
        <v>1.6400000000000001E-2</v>
      </c>
      <c r="K82" s="1194">
        <f t="shared" si="28"/>
        <v>8.2000000000000007E-3</v>
      </c>
      <c r="L82" s="1194">
        <v>0</v>
      </c>
      <c r="M82" s="1194">
        <f t="shared" si="29"/>
        <v>-8.2000000000000007E-3</v>
      </c>
      <c r="N82" s="1194">
        <f t="shared" si="29"/>
        <v>-1.6400000000000001E-2</v>
      </c>
      <c r="Z82" s="2153"/>
      <c r="AA82" s="2219"/>
      <c r="AG82" s="1253"/>
      <c r="AK82" s="2219"/>
    </row>
    <row r="83" spans="1:37" ht="24">
      <c r="A83" s="2298" t="s">
        <v>2709</v>
      </c>
      <c r="B83" s="2302" t="str">
        <f>估价对象房地状况!G17</f>
        <v>较好</v>
      </c>
      <c r="C83" s="2203" t="s">
        <v>3130</v>
      </c>
      <c r="D83" s="1195">
        <f t="shared" si="25"/>
        <v>1.1999999999999999E-3</v>
      </c>
      <c r="E83" s="764"/>
      <c r="F83" s="1969"/>
      <c r="G83" s="1193">
        <f t="shared" si="30"/>
        <v>1.1999999999999999E-3</v>
      </c>
      <c r="H83" s="1197">
        <f t="shared" si="26"/>
        <v>1.1999999999999999E-3</v>
      </c>
      <c r="I83" s="758">
        <v>0.05</v>
      </c>
      <c r="J83" s="1194">
        <f t="shared" si="27"/>
        <v>2.3999999999999998E-3</v>
      </c>
      <c r="K83" s="1194">
        <f t="shared" si="28"/>
        <v>1.1999999999999999E-3</v>
      </c>
      <c r="L83" s="1194">
        <v>0</v>
      </c>
      <c r="M83" s="1194">
        <f t="shared" si="29"/>
        <v>-1.1999999999999999E-3</v>
      </c>
      <c r="N83" s="1194">
        <f t="shared" si="29"/>
        <v>-2.3999999999999998E-3</v>
      </c>
      <c r="Z83" s="2153"/>
      <c r="AA83" s="2219"/>
      <c r="AG83" s="1253"/>
      <c r="AK83" s="2219"/>
    </row>
    <row r="84" spans="1:37" ht="14.25">
      <c r="A84" s="2298" t="s">
        <v>2723</v>
      </c>
      <c r="B84" s="2302">
        <f>估价对象房地状况!G22</f>
        <v>0</v>
      </c>
      <c r="C84" s="2203" t="s">
        <v>3144</v>
      </c>
      <c r="D84" s="1195">
        <f t="shared" si="25"/>
        <v>0</v>
      </c>
      <c r="E84" s="764"/>
      <c r="F84" s="1969"/>
      <c r="G84" s="1193">
        <f t="shared" si="30"/>
        <v>1E-3</v>
      </c>
      <c r="H84" s="1197">
        <f t="shared" si="26"/>
        <v>1E-3</v>
      </c>
      <c r="I84" s="758">
        <v>0.04</v>
      </c>
      <c r="J84" s="1194">
        <f t="shared" si="27"/>
        <v>2E-3</v>
      </c>
      <c r="K84" s="1194">
        <f t="shared" si="28"/>
        <v>1E-3</v>
      </c>
      <c r="L84" s="1194">
        <v>0</v>
      </c>
      <c r="M84" s="1194">
        <f t="shared" si="29"/>
        <v>-1E-3</v>
      </c>
      <c r="N84" s="1194">
        <f t="shared" si="29"/>
        <v>-2E-3</v>
      </c>
      <c r="Z84" s="2153"/>
      <c r="AA84" s="2219"/>
      <c r="AG84" s="1253"/>
      <c r="AK84" s="2219"/>
    </row>
    <row r="85" spans="1:37" ht="24">
      <c r="A85" s="2298" t="s">
        <v>2715</v>
      </c>
      <c r="B85" s="1465" t="str">
        <f>估价对象房地状况!G19</f>
        <v>较好</v>
      </c>
      <c r="C85" s="2203" t="s">
        <v>3130</v>
      </c>
      <c r="D85" s="1195">
        <f t="shared" si="25"/>
        <v>1.5E-3</v>
      </c>
      <c r="E85" s="764"/>
      <c r="F85" s="1969"/>
      <c r="G85" s="1193">
        <f t="shared" si="30"/>
        <v>1.5E-3</v>
      </c>
      <c r="H85" s="1197">
        <f t="shared" si="26"/>
        <v>1.5E-3</v>
      </c>
      <c r="I85" s="758">
        <v>0.06</v>
      </c>
      <c r="J85" s="1194">
        <f t="shared" si="27"/>
        <v>3.0000000000000001E-3</v>
      </c>
      <c r="K85" s="1194">
        <f t="shared" si="28"/>
        <v>1.5E-3</v>
      </c>
      <c r="L85" s="1194">
        <v>0</v>
      </c>
      <c r="M85" s="1194">
        <f t="shared" si="29"/>
        <v>-1.5E-3</v>
      </c>
      <c r="N85" s="1194">
        <f t="shared" si="29"/>
        <v>-3.0000000000000001E-3</v>
      </c>
      <c r="Z85" s="2153"/>
      <c r="AA85" s="2219"/>
      <c r="AG85" s="1253"/>
      <c r="AK85" s="2219"/>
    </row>
    <row r="86" spans="1:37" ht="24">
      <c r="A86" s="2298" t="s">
        <v>2716</v>
      </c>
      <c r="B86" s="1465" t="str">
        <f>估价对象房地状况!G20</f>
        <v>七通</v>
      </c>
      <c r="C86" s="2203" t="s">
        <v>3145</v>
      </c>
      <c r="D86" s="1195">
        <f t="shared" si="25"/>
        <v>7.4000000000000003E-3</v>
      </c>
      <c r="E86" s="764"/>
      <c r="F86" s="1969"/>
      <c r="G86" s="1193">
        <f t="shared" si="30"/>
        <v>3.7000000000000002E-3</v>
      </c>
      <c r="H86" s="1197">
        <f t="shared" si="26"/>
        <v>3.7000000000000002E-3</v>
      </c>
      <c r="I86" s="758">
        <v>0.15</v>
      </c>
      <c r="J86" s="1194">
        <f t="shared" si="27"/>
        <v>7.4000000000000003E-3</v>
      </c>
      <c r="K86" s="1194">
        <f t="shared" si="28"/>
        <v>3.7000000000000002E-3</v>
      </c>
      <c r="L86" s="1194">
        <v>0</v>
      </c>
      <c r="M86" s="1194">
        <f t="shared" si="29"/>
        <v>-3.7000000000000002E-3</v>
      </c>
      <c r="N86" s="1194">
        <f t="shared" si="29"/>
        <v>-7.4000000000000003E-3</v>
      </c>
      <c r="Z86" s="2153"/>
      <c r="AA86" s="2219"/>
      <c r="AG86" s="1253"/>
      <c r="AK86" s="2219"/>
    </row>
    <row r="87" spans="1:37" ht="24">
      <c r="A87" s="2298" t="s">
        <v>2713</v>
      </c>
      <c r="B87" s="2304" t="s">
        <v>2727</v>
      </c>
      <c r="C87" s="2203" t="s">
        <v>3130</v>
      </c>
      <c r="D87" s="1195">
        <f t="shared" si="25"/>
        <v>1.1999999999999999E-3</v>
      </c>
      <c r="E87" s="764"/>
      <c r="F87" s="1969"/>
      <c r="G87" s="1193">
        <f t="shared" si="30"/>
        <v>1.1999999999999999E-3</v>
      </c>
      <c r="H87" s="1197">
        <f t="shared" si="26"/>
        <v>1.1999999999999999E-3</v>
      </c>
      <c r="I87" s="758">
        <v>0.05</v>
      </c>
      <c r="J87" s="1194">
        <f t="shared" si="27"/>
        <v>2.3999999999999998E-3</v>
      </c>
      <c r="K87" s="1194">
        <f t="shared" si="28"/>
        <v>1.1999999999999999E-3</v>
      </c>
      <c r="L87" s="1194">
        <v>0</v>
      </c>
      <c r="M87" s="1194">
        <f t="shared" si="29"/>
        <v>-1.1999999999999999E-3</v>
      </c>
      <c r="N87" s="1194">
        <f t="shared" si="29"/>
        <v>-2.3999999999999998E-3</v>
      </c>
      <c r="Z87" s="2153"/>
      <c r="AA87" s="2219"/>
      <c r="AG87" s="1253"/>
      <c r="AK87" s="2219"/>
    </row>
    <row r="88" spans="1:37" ht="15" thickBot="1">
      <c r="A88" s="2306" t="s">
        <v>2728</v>
      </c>
      <c r="B88" s="2311" t="str">
        <f>估价对象房地状况!G18</f>
        <v>较好</v>
      </c>
      <c r="C88" s="2203" t="s">
        <v>3130</v>
      </c>
      <c r="D88" s="1195">
        <f t="shared" si="25"/>
        <v>1.5E-3</v>
      </c>
      <c r="E88" s="765"/>
      <c r="F88" s="1969"/>
      <c r="G88" s="1193">
        <f t="shared" si="30"/>
        <v>1.5E-3</v>
      </c>
      <c r="H88" s="1197">
        <f t="shared" si="26"/>
        <v>1.5E-3</v>
      </c>
      <c r="I88" s="762">
        <v>0.06</v>
      </c>
      <c r="J88" s="1194">
        <f t="shared" si="27"/>
        <v>3.0000000000000001E-3</v>
      </c>
      <c r="K88" s="1194">
        <f t="shared" si="28"/>
        <v>1.5E-3</v>
      </c>
      <c r="L88" s="1194">
        <v>0</v>
      </c>
      <c r="M88" s="1194">
        <f t="shared" si="29"/>
        <v>-1.5E-3</v>
      </c>
      <c r="N88" s="1194">
        <f t="shared" si="29"/>
        <v>-3.0000000000000001E-3</v>
      </c>
      <c r="Z88" s="2153"/>
      <c r="AA88" s="2219"/>
      <c r="AG88" s="1253"/>
      <c r="AK88" s="2219"/>
    </row>
    <row r="90" spans="1:37">
      <c r="A90" s="3515" t="s">
        <v>2729</v>
      </c>
      <c r="B90" s="3515"/>
      <c r="C90" s="3515"/>
      <c r="D90" s="3515"/>
      <c r="E90" s="3515"/>
      <c r="F90" s="3515"/>
      <c r="G90" s="3515"/>
      <c r="H90" s="3515"/>
      <c r="I90" s="3515"/>
      <c r="J90" s="3515"/>
      <c r="K90" s="2312"/>
      <c r="L90" s="2312"/>
      <c r="M90" s="2312"/>
      <c r="N90" s="2312"/>
    </row>
    <row r="91" spans="1:37">
      <c r="A91" s="3517" t="s">
        <v>2730</v>
      </c>
      <c r="B91" s="3517" t="s">
        <v>2731</v>
      </c>
      <c r="C91" s="2266" t="s">
        <v>2732</v>
      </c>
      <c r="D91" s="2267"/>
      <c r="E91" s="2267"/>
      <c r="F91" s="2267"/>
      <c r="G91" s="2267"/>
      <c r="H91" s="2267"/>
      <c r="I91" s="2267"/>
      <c r="J91" s="2313"/>
      <c r="K91" s="2314"/>
      <c r="L91" s="2314"/>
      <c r="M91" s="2314"/>
      <c r="N91" s="2314"/>
    </row>
    <row r="92" spans="1:37">
      <c r="A92" s="3517"/>
      <c r="B92" s="3517"/>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18"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19"/>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19"/>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19"/>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19"/>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19"/>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19"/>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20"/>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18" t="s">
        <v>2734</v>
      </c>
      <c r="B101" s="2319" t="s">
        <v>2735</v>
      </c>
      <c r="C101" s="2320" t="e">
        <f>$G$3</f>
        <v>#DIV/0!</v>
      </c>
      <c r="D101" s="2320" t="e">
        <f t="shared" ref="D101:N101" si="32">$G$3</f>
        <v>#DIV/0!</v>
      </c>
      <c r="E101" s="2320" t="e">
        <f t="shared" si="32"/>
        <v>#DIV/0!</v>
      </c>
      <c r="F101" s="2320" t="e">
        <f t="shared" si="32"/>
        <v>#DIV/0!</v>
      </c>
      <c r="G101" s="2320" t="e">
        <f t="shared" si="32"/>
        <v>#DIV/0!</v>
      </c>
      <c r="H101" s="2320" t="e">
        <f t="shared" si="32"/>
        <v>#DIV/0!</v>
      </c>
      <c r="I101" s="2320" t="e">
        <f t="shared" si="32"/>
        <v>#DIV/0!</v>
      </c>
      <c r="J101" s="2320" t="e">
        <f t="shared" si="32"/>
        <v>#DIV/0!</v>
      </c>
      <c r="K101" s="2320" t="e">
        <f t="shared" si="32"/>
        <v>#DIV/0!</v>
      </c>
      <c r="L101" s="2320" t="e">
        <f t="shared" si="32"/>
        <v>#DIV/0!</v>
      </c>
      <c r="M101" s="2320" t="e">
        <f t="shared" si="32"/>
        <v>#DIV/0!</v>
      </c>
      <c r="N101" s="2320" t="e">
        <f t="shared" si="32"/>
        <v>#DIV/0!</v>
      </c>
    </row>
    <row r="102" spans="1:14">
      <c r="A102" s="3519"/>
      <c r="B102" s="2315">
        <v>1</v>
      </c>
      <c r="C102" s="2316" t="e">
        <f>1.9362/C101</f>
        <v>#DIV/0!</v>
      </c>
      <c r="D102" s="2316" t="e">
        <f>1.9362/D101</f>
        <v>#DIV/0!</v>
      </c>
      <c r="E102" s="2316" t="e">
        <f>1.8629/E101</f>
        <v>#DIV/0!</v>
      </c>
      <c r="F102" s="2316" t="e">
        <f>1.8629/F101</f>
        <v>#DIV/0!</v>
      </c>
      <c r="G102" s="2316" t="e">
        <f>1.8629/G101</f>
        <v>#DIV/0!</v>
      </c>
      <c r="H102" s="2316" t="e">
        <f>1.8629/H101</f>
        <v>#DIV/0!</v>
      </c>
      <c r="I102" s="2316" t="e">
        <f>1.8629/I101</f>
        <v>#DIV/0!</v>
      </c>
      <c r="J102" s="2316" t="e">
        <f>1.942/J101</f>
        <v>#DIV/0!</v>
      </c>
      <c r="K102" s="2316" t="e">
        <f>1.942/K101</f>
        <v>#DIV/0!</v>
      </c>
      <c r="L102" s="2316" t="e">
        <f>1.942/L101</f>
        <v>#DIV/0!</v>
      </c>
      <c r="M102" s="2316" t="e">
        <f>1.942/M101</f>
        <v>#DIV/0!</v>
      </c>
      <c r="N102" s="2316" t="e">
        <f>1.942/N101</f>
        <v>#DIV/0!</v>
      </c>
    </row>
    <row r="103" spans="1:14">
      <c r="A103" s="3519"/>
      <c r="B103" s="2315">
        <v>2</v>
      </c>
      <c r="C103" s="2316" t="e">
        <f>1.4198/C101</f>
        <v>#DIV/0!</v>
      </c>
      <c r="D103" s="2316" t="e">
        <f>1.4198/D101</f>
        <v>#DIV/0!</v>
      </c>
      <c r="E103" s="2316" t="e">
        <f>1.3372/E101</f>
        <v>#DIV/0!</v>
      </c>
      <c r="F103" s="2316" t="e">
        <f>1.3372/F101</f>
        <v>#DIV/0!</v>
      </c>
      <c r="G103" s="2316" t="e">
        <f>1.3372/G101</f>
        <v>#DIV/0!</v>
      </c>
      <c r="H103" s="2316" t="e">
        <f>1.3372/H101</f>
        <v>#DIV/0!</v>
      </c>
      <c r="I103" s="2316" t="e">
        <f>1.3372/I101</f>
        <v>#DIV/0!</v>
      </c>
      <c r="J103" s="2316" t="e">
        <f>1.2799/J101</f>
        <v>#DIV/0!</v>
      </c>
      <c r="K103" s="2316" t="e">
        <f>1.2799/K101</f>
        <v>#DIV/0!</v>
      </c>
      <c r="L103" s="2316" t="e">
        <f>1.2799/L101</f>
        <v>#DIV/0!</v>
      </c>
      <c r="M103" s="2316" t="e">
        <f>1.2799/M101</f>
        <v>#DIV/0!</v>
      </c>
      <c r="N103" s="2316" t="e">
        <f>1.2799/N101</f>
        <v>#DIV/0!</v>
      </c>
    </row>
    <row r="104" spans="1:14">
      <c r="A104" s="3519"/>
      <c r="B104" s="2315">
        <v>3</v>
      </c>
      <c r="C104" s="2316" t="e">
        <f>1.1594/C101</f>
        <v>#DIV/0!</v>
      </c>
      <c r="D104" s="2316" t="e">
        <f>1.1594/D101</f>
        <v>#DIV/0!</v>
      </c>
      <c r="E104" s="2316" t="e">
        <f>1.0788/E101</f>
        <v>#DIV/0!</v>
      </c>
      <c r="F104" s="2316" t="e">
        <f>1.0788/F101</f>
        <v>#DIV/0!</v>
      </c>
      <c r="G104" s="2316" t="e">
        <f>1.0788/G101</f>
        <v>#DIV/0!</v>
      </c>
      <c r="H104" s="2316" t="e">
        <f>1.0788/H101</f>
        <v>#DIV/0!</v>
      </c>
      <c r="I104" s="2316" t="e">
        <f>1.0788/I101</f>
        <v>#DIV/0!</v>
      </c>
      <c r="J104" s="2316" t="e">
        <f>1.0072/J101</f>
        <v>#DIV/0!</v>
      </c>
      <c r="K104" s="2316" t="e">
        <f>1.0072/K101</f>
        <v>#DIV/0!</v>
      </c>
      <c r="L104" s="2316" t="e">
        <f>1.0072/L101</f>
        <v>#DIV/0!</v>
      </c>
      <c r="M104" s="2316" t="e">
        <f>1.0072/M101</f>
        <v>#DIV/0!</v>
      </c>
      <c r="N104" s="2316" t="e">
        <f>1.0072/N101</f>
        <v>#DIV/0!</v>
      </c>
    </row>
    <row r="105" spans="1:14">
      <c r="A105" s="3519"/>
      <c r="B105" s="2315">
        <v>4</v>
      </c>
      <c r="C105" s="2316" t="e">
        <f>0.9622/C101</f>
        <v>#DIV/0!</v>
      </c>
      <c r="D105" s="2316" t="e">
        <f>0.9622/D101</f>
        <v>#DIV/0!</v>
      </c>
      <c r="E105" s="2316" t="e">
        <f>0.8656/E101</f>
        <v>#DIV/0!</v>
      </c>
      <c r="F105" s="2316" t="e">
        <f>0.8656/F101</f>
        <v>#DIV/0!</v>
      </c>
      <c r="G105" s="2316" t="e">
        <f>0.8656/G101</f>
        <v>#DIV/0!</v>
      </c>
      <c r="H105" s="2316" t="e">
        <f>0.8656/H101</f>
        <v>#DIV/0!</v>
      </c>
      <c r="I105" s="2316" t="e">
        <f>0.8656/I101</f>
        <v>#DIV/0!</v>
      </c>
      <c r="J105" s="2316" t="e">
        <f>0.7525/J101</f>
        <v>#DIV/0!</v>
      </c>
      <c r="K105" s="2316" t="e">
        <f>0.7525/K101</f>
        <v>#DIV/0!</v>
      </c>
      <c r="L105" s="2316" t="e">
        <f>0.7525/L101</f>
        <v>#DIV/0!</v>
      </c>
      <c r="M105" s="2316" t="e">
        <f>0.7525/M101</f>
        <v>#DIV/0!</v>
      </c>
      <c r="N105" s="2316" t="e">
        <f>0.7525/N101</f>
        <v>#DIV/0!</v>
      </c>
    </row>
    <row r="106" spans="1:14">
      <c r="A106" s="3519"/>
      <c r="B106" s="2315">
        <v>5</v>
      </c>
      <c r="C106" s="2316" t="e">
        <f>0.8417/C101</f>
        <v>#DIV/0!</v>
      </c>
      <c r="D106" s="2316" t="e">
        <f>0.8417/D101</f>
        <v>#DIV/0!</v>
      </c>
      <c r="E106" s="2316" t="e">
        <f>0.7371/E101</f>
        <v>#DIV/0!</v>
      </c>
      <c r="F106" s="2316" t="e">
        <f>0.7371/F101</f>
        <v>#DIV/0!</v>
      </c>
      <c r="G106" s="2316" t="e">
        <f>0.7371/G101</f>
        <v>#DIV/0!</v>
      </c>
      <c r="H106" s="2316" t="e">
        <f>0.7371/H101</f>
        <v>#DIV/0!</v>
      </c>
      <c r="I106" s="2316" t="e">
        <f>0.7371/I101</f>
        <v>#DIV/0!</v>
      </c>
      <c r="J106" s="2316" t="e">
        <f>0.5659/J101</f>
        <v>#DIV/0!</v>
      </c>
      <c r="K106" s="2316" t="e">
        <f>0.5659/K101</f>
        <v>#DIV/0!</v>
      </c>
      <c r="L106" s="2316" t="e">
        <f>0.5659/L101</f>
        <v>#DIV/0!</v>
      </c>
      <c r="M106" s="2316" t="e">
        <f>0.5659/M101</f>
        <v>#DIV/0!</v>
      </c>
      <c r="N106" s="2316" t="e">
        <f>0.5659/N101</f>
        <v>#DIV/0!</v>
      </c>
    </row>
    <row r="107" spans="1:14">
      <c r="A107" s="3519"/>
      <c r="B107" s="2315">
        <v>6</v>
      </c>
      <c r="C107" s="2316" t="e">
        <f>0.7608/C101</f>
        <v>#DIV/0!</v>
      </c>
      <c r="D107" s="2316" t="e">
        <f>0.7608/D101</f>
        <v>#DIV/0!</v>
      </c>
      <c r="E107" s="2316" t="e">
        <f>0.6482/E101</f>
        <v>#DIV/0!</v>
      </c>
      <c r="F107" s="2316" t="e">
        <f>0.6482/F101</f>
        <v>#DIV/0!</v>
      </c>
      <c r="G107" s="2316" t="e">
        <f>0.6482/G101</f>
        <v>#DIV/0!</v>
      </c>
      <c r="H107" s="2316" t="e">
        <f>0.6482/H101</f>
        <v>#DIV/0!</v>
      </c>
      <c r="I107" s="2316" t="e">
        <f>0.6482/I101</f>
        <v>#DIV/0!</v>
      </c>
      <c r="J107" s="2316" t="e">
        <f>0.4525/J101</f>
        <v>#DIV/0!</v>
      </c>
      <c r="K107" s="2316" t="e">
        <f>0.4525/K101</f>
        <v>#DIV/0!</v>
      </c>
      <c r="L107" s="2316" t="e">
        <f>0.4525/L101</f>
        <v>#DIV/0!</v>
      </c>
      <c r="M107" s="2316" t="e">
        <f>0.4525/M101</f>
        <v>#DIV/0!</v>
      </c>
      <c r="N107" s="2316" t="e">
        <f>0.4525/N101</f>
        <v>#DIV/0!</v>
      </c>
    </row>
    <row r="108" spans="1:14">
      <c r="A108" s="3519"/>
      <c r="B108" s="3521"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20"/>
      <c r="B109" s="3522"/>
      <c r="C109" s="2318" t="e">
        <f>(-0.163*(C108^2)-0.59*C108+7617)*(10^(-4))/C101</f>
        <v>#DIV/0!</v>
      </c>
      <c r="D109" s="2318" t="e">
        <f>(-0.163*(D108^2)-0.59*D108+7617)*(10^(-4))/D101</f>
        <v>#DIV/0!</v>
      </c>
      <c r="E109" s="2318" t="e">
        <f>(-0.161*(E108^2)-7.509*E108+6533)*(10^(-4))/E101</f>
        <v>#DIV/0!</v>
      </c>
      <c r="F109" s="2318" t="e">
        <f>(-0.161*(F108^2)-7.509*F108+6533)*(10^(-4))/F101</f>
        <v>#DIV/0!</v>
      </c>
      <c r="G109" s="2318" t="e">
        <f>(-0.161*(G108^2)-7.509*G108+6533)*(10^(-4))/G101</f>
        <v>#DIV/0!</v>
      </c>
      <c r="H109" s="2318" t="e">
        <f>(-0.161*(H108^2)-7.509*H108+6533)*(10^(-4))/H101</f>
        <v>#DIV/0!</v>
      </c>
      <c r="I109" s="2318" t="e">
        <f>(-0.161*(I108^2)-7.509*I108+6533)*(10^(-4))/I101</f>
        <v>#DIV/0!</v>
      </c>
      <c r="J109" s="2318" t="e">
        <f>(-0.214*(J108^2)-21.991*J108+4665)*(10^(-4))/J101</f>
        <v>#DIV/0!</v>
      </c>
      <c r="K109" s="2318" t="e">
        <f>(-0.214*(K108^2)-21.991*K108+4665)*(10^(-4))/K101</f>
        <v>#DIV/0!</v>
      </c>
      <c r="L109" s="2318" t="e">
        <f>(-0.214*(L108^2)-21.991*L108+4665)*(10^(-4))/L101</f>
        <v>#DIV/0!</v>
      </c>
      <c r="M109" s="2318" t="e">
        <f>(-0.214*(M108^2)-21.991*M108+4665)*(10^(-4))/M101</f>
        <v>#DIV/0!</v>
      </c>
      <c r="N109" s="2318" t="e">
        <f>(-0.214*(N108^2)-21.991*N108+4665)*(10^(-4))/N101</f>
        <v>#DIV/0!</v>
      </c>
    </row>
    <row r="110" spans="1:14">
      <c r="A110" s="3516" t="s">
        <v>2737</v>
      </c>
      <c r="B110" s="3516"/>
      <c r="C110" s="3516"/>
      <c r="D110" s="3516"/>
      <c r="E110" s="3516"/>
      <c r="F110" s="3516"/>
      <c r="G110" s="3516"/>
      <c r="H110" s="3516"/>
      <c r="I110" s="3516"/>
      <c r="J110" s="3516"/>
      <c r="K110" s="2321"/>
      <c r="L110" s="2321"/>
      <c r="M110" s="2321"/>
      <c r="N110" s="2321"/>
    </row>
    <row r="112" spans="1:14" ht="13.5" thickBot="1"/>
    <row r="113" spans="1:13" ht="25.5" thickBot="1">
      <c r="A113" s="841" t="s">
        <v>2738</v>
      </c>
      <c r="B113" s="1196" t="e">
        <f>G3</f>
        <v>#DIV/0!</v>
      </c>
      <c r="C113" s="842" t="s">
        <v>2739</v>
      </c>
      <c r="D113" s="843" t="e">
        <f>SUMPRODUCT((A115:A118=F113)*(B114:M114=H113)*B115:M118)</f>
        <v>#DIV/0!</v>
      </c>
      <c r="E113" s="2157" t="s">
        <v>2574</v>
      </c>
      <c r="F113" s="2323" t="str">
        <f>E2</f>
        <v>工业</v>
      </c>
      <c r="G113" s="2157" t="s">
        <v>2575</v>
      </c>
      <c r="H113" s="2323" t="str">
        <f>G2</f>
        <v>七级</v>
      </c>
      <c r="I113" s="2157"/>
      <c r="J113" s="2324"/>
      <c r="K113" s="2324"/>
      <c r="L113" s="2324"/>
      <c r="M113" s="2324"/>
    </row>
    <row r="114" spans="1:13">
      <c r="A114" s="846"/>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7" t="s">
        <v>2638</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4">I115</f>
        <v>#DIV/0!</v>
      </c>
      <c r="K115" s="848" t="e">
        <f t="shared" si="34"/>
        <v>#DIV/0!</v>
      </c>
      <c r="L115" s="848" t="e">
        <f t="shared" si="34"/>
        <v>#DIV/0!</v>
      </c>
      <c r="M115" s="849" t="e">
        <f t="shared" si="34"/>
        <v>#DIV/0!</v>
      </c>
    </row>
    <row r="116" spans="1:13">
      <c r="A116" s="847" t="s">
        <v>2639</v>
      </c>
      <c r="B116" s="848" t="e">
        <f>ROUND(0.949-0.012*B113,4)</f>
        <v>#DIV/0!</v>
      </c>
      <c r="C116" s="848" t="e">
        <f>B116</f>
        <v>#DIV/0!</v>
      </c>
      <c r="D116" s="848" t="e">
        <f>ROUND(0.8567-0.013*B113,4)</f>
        <v>#DIV/0!</v>
      </c>
      <c r="E116" s="848" t="e">
        <f t="shared" ref="E116:H117" si="35">D116</f>
        <v>#DIV/0!</v>
      </c>
      <c r="F116" s="848" t="e">
        <f t="shared" si="35"/>
        <v>#DIV/0!</v>
      </c>
      <c r="G116" s="848" t="e">
        <f t="shared" si="35"/>
        <v>#DIV/0!</v>
      </c>
      <c r="H116" s="848" t="e">
        <f t="shared" si="35"/>
        <v>#DIV/0!</v>
      </c>
      <c r="I116" s="848" t="e">
        <f>ROUND(0.7694-0.014*B113,4)</f>
        <v>#DIV/0!</v>
      </c>
      <c r="J116" s="848" t="e">
        <f t="shared" si="34"/>
        <v>#DIV/0!</v>
      </c>
      <c r="K116" s="848" t="e">
        <f t="shared" si="34"/>
        <v>#DIV/0!</v>
      </c>
      <c r="L116" s="848" t="e">
        <f t="shared" si="34"/>
        <v>#DIV/0!</v>
      </c>
      <c r="M116" s="849" t="e">
        <f t="shared" si="34"/>
        <v>#DIV/0!</v>
      </c>
    </row>
    <row r="117" spans="1:13">
      <c r="A117" s="847" t="s">
        <v>2640</v>
      </c>
      <c r="B117" s="848" t="e">
        <f>ROUND(0.8808-0.006*B113,4)</f>
        <v>#DIV/0!</v>
      </c>
      <c r="C117" s="848" t="e">
        <f>B117</f>
        <v>#DIV/0!</v>
      </c>
      <c r="D117" s="848" t="e">
        <f>ROUND(0.8748-0.008*B113,4)</f>
        <v>#DIV/0!</v>
      </c>
      <c r="E117" s="848" t="e">
        <f t="shared" si="35"/>
        <v>#DIV/0!</v>
      </c>
      <c r="F117" s="848" t="e">
        <f t="shared" si="35"/>
        <v>#DIV/0!</v>
      </c>
      <c r="G117" s="848" t="e">
        <f t="shared" si="35"/>
        <v>#DIV/0!</v>
      </c>
      <c r="H117" s="848" t="e">
        <f t="shared" si="35"/>
        <v>#DIV/0!</v>
      </c>
      <c r="I117" s="848" t="e">
        <f>ROUND(0.7412-0.0095*B113,4)</f>
        <v>#DIV/0!</v>
      </c>
      <c r="J117" s="848" t="e">
        <f t="shared" si="34"/>
        <v>#DIV/0!</v>
      </c>
      <c r="K117" s="848" t="e">
        <f t="shared" si="34"/>
        <v>#DIV/0!</v>
      </c>
      <c r="L117" s="848" t="e">
        <f t="shared" si="34"/>
        <v>#DIV/0!</v>
      </c>
      <c r="M117" s="849" t="e">
        <f t="shared" si="34"/>
        <v>#DIV/0!</v>
      </c>
    </row>
    <row r="118" spans="1:13" ht="13.5" thickBot="1">
      <c r="A118" s="669" t="s">
        <v>2641</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4"/>
        <v>#DIV/0!</v>
      </c>
      <c r="K118" s="850" t="e">
        <f t="shared" si="34"/>
        <v>#DIV/0!</v>
      </c>
      <c r="L118" s="850" t="e">
        <f t="shared" si="34"/>
        <v>#DIV/0!</v>
      </c>
      <c r="M118" s="851" t="e">
        <f t="shared" si="34"/>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39" t="s">
        <v>183</v>
      </c>
      <c r="B18" s="820" t="s">
        <v>560</v>
      </c>
      <c r="C18" s="821" t="s">
        <v>561</v>
      </c>
      <c r="D18" s="822"/>
      <c r="E18" s="820">
        <v>1</v>
      </c>
      <c r="F18" s="823" t="s">
        <v>562</v>
      </c>
      <c r="G18" s="824"/>
      <c r="H18" s="816"/>
      <c r="I18" s="816"/>
    </row>
    <row r="19" spans="1:9" s="825" customFormat="1" ht="19.5" customHeight="1">
      <c r="A19" s="3539"/>
      <c r="B19" s="3539" t="s">
        <v>563</v>
      </c>
      <c r="C19" s="821" t="s">
        <v>564</v>
      </c>
      <c r="D19" s="822"/>
      <c r="E19" s="820">
        <v>0.9</v>
      </c>
      <c r="F19" s="823" t="s">
        <v>565</v>
      </c>
      <c r="G19" s="824"/>
      <c r="H19" s="816"/>
      <c r="I19" s="816"/>
    </row>
    <row r="20" spans="1:9" s="825" customFormat="1" ht="19.5" customHeight="1">
      <c r="A20" s="3539"/>
      <c r="B20" s="3539"/>
      <c r="C20" s="821" t="s">
        <v>566</v>
      </c>
      <c r="D20" s="822"/>
      <c r="E20" s="820">
        <v>1.1000000000000001</v>
      </c>
      <c r="F20" s="823" t="s">
        <v>567</v>
      </c>
      <c r="G20" s="824"/>
      <c r="H20" s="816"/>
      <c r="I20" s="816"/>
    </row>
    <row r="21" spans="1:9" s="825" customFormat="1" ht="19.5" customHeight="1">
      <c r="A21" s="3539"/>
      <c r="B21" s="3539"/>
      <c r="C21" s="821" t="s">
        <v>568</v>
      </c>
      <c r="D21" s="822"/>
      <c r="E21" s="820">
        <v>0.8</v>
      </c>
      <c r="F21" s="823" t="s">
        <v>569</v>
      </c>
      <c r="G21" s="824"/>
      <c r="H21" s="816"/>
      <c r="I21" s="816"/>
    </row>
    <row r="22" spans="1:9" s="825" customFormat="1" ht="19.5" customHeight="1">
      <c r="A22" s="3539"/>
      <c r="B22" s="3539"/>
      <c r="C22" s="821" t="s">
        <v>570</v>
      </c>
      <c r="D22" s="822"/>
      <c r="E22" s="820">
        <v>0.5</v>
      </c>
      <c r="F22" s="823"/>
      <c r="G22" s="824"/>
      <c r="H22" s="816"/>
      <c r="I22" s="816"/>
    </row>
    <row r="23" spans="1:9" s="825" customFormat="1" ht="19.5" customHeight="1">
      <c r="A23" s="3539" t="s">
        <v>184</v>
      </c>
      <c r="B23" s="820" t="s">
        <v>560</v>
      </c>
      <c r="C23" s="821" t="s">
        <v>571</v>
      </c>
      <c r="D23" s="822"/>
      <c r="E23" s="820">
        <v>1</v>
      </c>
      <c r="F23" s="823" t="s">
        <v>572</v>
      </c>
      <c r="G23" s="824"/>
      <c r="H23" s="816"/>
      <c r="I23" s="816"/>
    </row>
    <row r="24" spans="1:9" s="825" customFormat="1" ht="19.5" customHeight="1">
      <c r="A24" s="3539"/>
      <c r="B24" s="3539" t="s">
        <v>563</v>
      </c>
      <c r="C24" s="821" t="s">
        <v>573</v>
      </c>
      <c r="D24" s="822"/>
      <c r="E24" s="820">
        <v>0.5</v>
      </c>
      <c r="F24" s="823"/>
      <c r="G24" s="824"/>
      <c r="H24" s="816"/>
      <c r="I24" s="816"/>
    </row>
    <row r="25" spans="1:9" s="825" customFormat="1" ht="19.5" customHeight="1">
      <c r="A25" s="3539"/>
      <c r="B25" s="3539"/>
      <c r="C25" s="821" t="s">
        <v>574</v>
      </c>
      <c r="D25" s="822"/>
      <c r="E25" s="820">
        <v>1.1000000000000001</v>
      </c>
      <c r="F25" s="823"/>
      <c r="G25" s="824"/>
      <c r="H25" s="816"/>
      <c r="I25" s="816"/>
    </row>
    <row r="26" spans="1:9" s="825" customFormat="1" ht="19.5" customHeight="1">
      <c r="A26" s="3539"/>
      <c r="B26" s="3539"/>
      <c r="C26" s="821" t="s">
        <v>575</v>
      </c>
      <c r="D26" s="822"/>
      <c r="E26" s="820">
        <v>1.1000000000000001</v>
      </c>
      <c r="F26" s="823"/>
      <c r="G26" s="824"/>
      <c r="H26" s="816"/>
      <c r="I26" s="816"/>
    </row>
    <row r="27" spans="1:9" s="825" customFormat="1" ht="19.5" customHeight="1">
      <c r="A27" s="3539"/>
      <c r="B27" s="3539"/>
      <c r="C27" s="821" t="s">
        <v>576</v>
      </c>
      <c r="D27" s="822"/>
      <c r="E27" s="820">
        <v>0.9</v>
      </c>
      <c r="F27" s="823" t="s">
        <v>577</v>
      </c>
      <c r="G27" s="824"/>
      <c r="H27" s="816"/>
      <c r="I27" s="816"/>
    </row>
    <row r="28" spans="1:9" s="825" customFormat="1" ht="19.5" customHeight="1">
      <c r="A28" s="3539"/>
      <c r="B28" s="3539"/>
      <c r="C28" s="821" t="s">
        <v>578</v>
      </c>
      <c r="D28" s="822"/>
      <c r="E28" s="820">
        <v>0.9</v>
      </c>
      <c r="F28" s="823" t="s">
        <v>579</v>
      </c>
      <c r="G28" s="824"/>
      <c r="H28" s="816"/>
      <c r="I28" s="816"/>
    </row>
    <row r="29" spans="1:9" s="825" customFormat="1" ht="19.5" customHeight="1">
      <c r="A29" s="3539"/>
      <c r="B29" s="3539"/>
      <c r="C29" s="821" t="s">
        <v>580</v>
      </c>
      <c r="D29" s="822"/>
      <c r="E29" s="820">
        <v>0.9</v>
      </c>
      <c r="F29" s="823" t="s">
        <v>581</v>
      </c>
      <c r="G29" s="824"/>
      <c r="H29" s="816"/>
      <c r="I29" s="816"/>
    </row>
    <row r="30" spans="1:9" s="825" customFormat="1" ht="19.5" customHeight="1">
      <c r="A30" s="3539"/>
      <c r="B30" s="3539"/>
      <c r="C30" s="821" t="s">
        <v>582</v>
      </c>
      <c r="D30" s="822"/>
      <c r="E30" s="820">
        <v>0.9</v>
      </c>
      <c r="F30" s="823" t="s">
        <v>583</v>
      </c>
      <c r="G30" s="824"/>
      <c r="H30" s="816"/>
      <c r="I30" s="816"/>
    </row>
    <row r="31" spans="1:9" s="825" customFormat="1" ht="19.5" customHeight="1">
      <c r="A31" s="3539"/>
      <c r="B31" s="3539"/>
      <c r="C31" s="821" t="s">
        <v>584</v>
      </c>
      <c r="D31" s="822"/>
      <c r="E31" s="820">
        <v>0.8</v>
      </c>
      <c r="F31" s="823" t="s">
        <v>585</v>
      </c>
      <c r="G31" s="824"/>
      <c r="H31" s="816"/>
      <c r="I31" s="816"/>
    </row>
    <row r="32" spans="1:9" s="825" customFormat="1" ht="19.5" customHeight="1">
      <c r="A32" s="3539"/>
      <c r="B32" s="3539"/>
      <c r="C32" s="821" t="s">
        <v>586</v>
      </c>
      <c r="D32" s="822"/>
      <c r="E32" s="820">
        <v>0.8</v>
      </c>
      <c r="F32" s="823" t="s">
        <v>587</v>
      </c>
      <c r="G32" s="824"/>
      <c r="H32" s="816"/>
      <c r="I32" s="816"/>
    </row>
    <row r="33" spans="1:9" s="825" customFormat="1" ht="19.5" customHeight="1">
      <c r="A33" s="3539" t="s">
        <v>185</v>
      </c>
      <c r="B33" s="820" t="s">
        <v>560</v>
      </c>
      <c r="C33" s="821" t="s">
        <v>588</v>
      </c>
      <c r="D33" s="822"/>
      <c r="E33" s="820">
        <v>1</v>
      </c>
      <c r="F33" s="823" t="s">
        <v>589</v>
      </c>
      <c r="G33" s="824"/>
      <c r="H33" s="816"/>
      <c r="I33" s="816"/>
    </row>
    <row r="34" spans="1:9" s="825" customFormat="1" ht="19.5" customHeight="1">
      <c r="A34" s="3539"/>
      <c r="B34" s="820" t="s">
        <v>563</v>
      </c>
      <c r="C34" s="821" t="s">
        <v>590</v>
      </c>
      <c r="D34" s="822"/>
      <c r="E34" s="820">
        <v>1.5</v>
      </c>
      <c r="F34" s="823" t="s">
        <v>591</v>
      </c>
      <c r="G34" s="824"/>
      <c r="H34" s="816"/>
      <c r="I34" s="816"/>
    </row>
    <row r="35" spans="1:9" s="825" customFormat="1" ht="19.5" customHeight="1">
      <c r="A35" s="3539" t="s">
        <v>186</v>
      </c>
      <c r="B35" s="820" t="s">
        <v>560</v>
      </c>
      <c r="C35" s="821" t="s">
        <v>592</v>
      </c>
      <c r="D35" s="822"/>
      <c r="E35" s="820">
        <v>1</v>
      </c>
      <c r="F35" s="823" t="s">
        <v>593</v>
      </c>
      <c r="G35" s="824"/>
      <c r="H35" s="816"/>
      <c r="I35" s="816"/>
    </row>
    <row r="36" spans="1:9" s="825" customFormat="1" ht="19.5" customHeight="1">
      <c r="A36" s="3539"/>
      <c r="B36" s="3539" t="s">
        <v>563</v>
      </c>
      <c r="C36" s="821" t="s">
        <v>594</v>
      </c>
      <c r="D36" s="822"/>
      <c r="E36" s="820">
        <v>1</v>
      </c>
      <c r="F36" s="823" t="s">
        <v>595</v>
      </c>
      <c r="G36" s="824"/>
      <c r="H36" s="816"/>
      <c r="I36" s="816"/>
    </row>
    <row r="37" spans="1:9" s="825" customFormat="1" ht="19.5" customHeight="1">
      <c r="A37" s="3539"/>
      <c r="B37" s="3539"/>
      <c r="C37" s="821" t="s">
        <v>596</v>
      </c>
      <c r="D37" s="822"/>
      <c r="E37" s="820">
        <v>1.5</v>
      </c>
      <c r="F37" s="823" t="s">
        <v>597</v>
      </c>
      <c r="G37" s="824"/>
      <c r="H37" s="816"/>
      <c r="I37" s="816"/>
    </row>
    <row r="38" spans="1:9" s="825" customFormat="1" ht="19.5" customHeight="1">
      <c r="A38" s="3539"/>
      <c r="B38" s="3539"/>
      <c r="C38" s="821" t="s">
        <v>598</v>
      </c>
      <c r="D38" s="822"/>
      <c r="E38" s="820">
        <v>1</v>
      </c>
      <c r="F38" s="823" t="s">
        <v>599</v>
      </c>
      <c r="G38" s="824"/>
      <c r="H38" s="816"/>
      <c r="I38" s="816"/>
    </row>
    <row r="39" spans="1:9" s="825" customFormat="1" ht="19.5" customHeight="1">
      <c r="A39" s="3539"/>
      <c r="B39" s="3539"/>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39" t="s">
        <v>614</v>
      </c>
      <c r="C61" s="756" t="s">
        <v>615</v>
      </c>
      <c r="D61" s="756" t="s">
        <v>616</v>
      </c>
      <c r="E61" s="833">
        <v>0.5</v>
      </c>
      <c r="F61" s="820">
        <v>80</v>
      </c>
    </row>
    <row r="62" spans="1:8" s="816" customFormat="1" ht="24">
      <c r="A62" s="820">
        <v>2</v>
      </c>
      <c r="B62" s="3539"/>
      <c r="C62" s="756" t="s">
        <v>617</v>
      </c>
      <c r="D62" s="756" t="s">
        <v>618</v>
      </c>
      <c r="E62" s="833">
        <v>0.5</v>
      </c>
      <c r="F62" s="820">
        <v>80</v>
      </c>
    </row>
    <row r="63" spans="1:8" s="816" customFormat="1" ht="36">
      <c r="A63" s="820">
        <v>3</v>
      </c>
      <c r="B63" s="3539"/>
      <c r="C63" s="756" t="s">
        <v>619</v>
      </c>
      <c r="D63" s="756" t="s">
        <v>620</v>
      </c>
      <c r="E63" s="833">
        <v>0.5</v>
      </c>
      <c r="F63" s="820">
        <v>80</v>
      </c>
    </row>
    <row r="64" spans="1:8" s="816" customFormat="1" ht="36">
      <c r="A64" s="820">
        <v>4</v>
      </c>
      <c r="B64" s="3539"/>
      <c r="C64" s="756" t="s">
        <v>621</v>
      </c>
      <c r="D64" s="756" t="s">
        <v>622</v>
      </c>
      <c r="E64" s="833">
        <v>0.4</v>
      </c>
      <c r="F64" s="820">
        <v>60</v>
      </c>
    </row>
    <row r="65" spans="1:6" s="816" customFormat="1" ht="36">
      <c r="A65" s="820">
        <v>5</v>
      </c>
      <c r="B65" s="3539"/>
      <c r="C65" s="756" t="s">
        <v>623</v>
      </c>
      <c r="D65" s="756" t="s">
        <v>624</v>
      </c>
      <c r="E65" s="833">
        <v>0.2</v>
      </c>
      <c r="F65" s="820">
        <v>30</v>
      </c>
    </row>
    <row r="66" spans="1:6" s="816" customFormat="1" ht="36">
      <c r="A66" s="820">
        <v>6</v>
      </c>
      <c r="B66" s="3539"/>
      <c r="C66" s="756" t="s">
        <v>625</v>
      </c>
      <c r="D66" s="756" t="s">
        <v>626</v>
      </c>
      <c r="E66" s="833">
        <v>0.3</v>
      </c>
      <c r="F66" s="820">
        <v>50</v>
      </c>
    </row>
    <row r="67" spans="1:6" s="816" customFormat="1" ht="36">
      <c r="A67" s="820">
        <v>7</v>
      </c>
      <c r="B67" s="3539"/>
      <c r="C67" s="756" t="s">
        <v>627</v>
      </c>
      <c r="D67" s="756" t="s">
        <v>628</v>
      </c>
      <c r="E67" s="833">
        <v>0.2</v>
      </c>
      <c r="F67" s="820">
        <v>30</v>
      </c>
    </row>
    <row r="68" spans="1:6" s="816" customFormat="1" ht="36">
      <c r="A68" s="820">
        <v>8</v>
      </c>
      <c r="B68" s="3539"/>
      <c r="C68" s="756" t="s">
        <v>629</v>
      </c>
      <c r="D68" s="756" t="s">
        <v>630</v>
      </c>
      <c r="E68" s="833">
        <v>0.2</v>
      </c>
      <c r="F68" s="820">
        <v>30</v>
      </c>
    </row>
    <row r="69" spans="1:6" s="816" customFormat="1" ht="36">
      <c r="A69" s="820">
        <v>9</v>
      </c>
      <c r="B69" s="3539"/>
      <c r="C69" s="756" t="s">
        <v>631</v>
      </c>
      <c r="D69" s="756" t="s">
        <v>632</v>
      </c>
      <c r="E69" s="833">
        <v>0.2</v>
      </c>
      <c r="F69" s="820">
        <v>30</v>
      </c>
    </row>
    <row r="70" spans="1:6" s="816" customFormat="1" ht="48">
      <c r="A70" s="820">
        <v>10</v>
      </c>
      <c r="B70" s="3539"/>
      <c r="C70" s="756" t="s">
        <v>633</v>
      </c>
      <c r="D70" s="756" t="s">
        <v>634</v>
      </c>
      <c r="E70" s="833">
        <v>0.2</v>
      </c>
      <c r="F70" s="820">
        <v>30</v>
      </c>
    </row>
    <row r="71" spans="1:6" s="816" customFormat="1" ht="48">
      <c r="A71" s="820">
        <v>11</v>
      </c>
      <c r="B71" s="3539"/>
      <c r="C71" s="756" t="s">
        <v>635</v>
      </c>
      <c r="D71" s="756" t="s">
        <v>636</v>
      </c>
      <c r="E71" s="833">
        <v>0.2</v>
      </c>
      <c r="F71" s="820">
        <v>30</v>
      </c>
    </row>
    <row r="72" spans="1:6" s="816" customFormat="1" ht="36">
      <c r="A72" s="820">
        <v>12</v>
      </c>
      <c r="B72" s="3539"/>
      <c r="C72" s="756" t="s">
        <v>637</v>
      </c>
      <c r="D72" s="756" t="s">
        <v>638</v>
      </c>
      <c r="E72" s="833">
        <v>0.5</v>
      </c>
      <c r="F72" s="820">
        <v>80</v>
      </c>
    </row>
    <row r="73" spans="1:6" s="816" customFormat="1" ht="24">
      <c r="A73" s="820">
        <v>13</v>
      </c>
      <c r="B73" s="3539"/>
      <c r="C73" s="756" t="s">
        <v>639</v>
      </c>
      <c r="D73" s="756" t="s">
        <v>640</v>
      </c>
      <c r="E73" s="833">
        <v>0.4</v>
      </c>
      <c r="F73" s="820">
        <v>60</v>
      </c>
    </row>
    <row r="74" spans="1:6" s="816" customFormat="1" ht="24">
      <c r="A74" s="820">
        <v>14</v>
      </c>
      <c r="B74" s="3539"/>
      <c r="C74" s="756" t="s">
        <v>641</v>
      </c>
      <c r="D74" s="756" t="s">
        <v>642</v>
      </c>
      <c r="E74" s="833">
        <v>0.2</v>
      </c>
      <c r="F74" s="820">
        <v>30</v>
      </c>
    </row>
    <row r="75" spans="1:6" s="816" customFormat="1" ht="24">
      <c r="A75" s="820">
        <v>15</v>
      </c>
      <c r="B75" s="3539"/>
      <c r="C75" s="756" t="s">
        <v>643</v>
      </c>
      <c r="D75" s="756" t="s">
        <v>644</v>
      </c>
      <c r="E75" s="833">
        <v>0.2</v>
      </c>
      <c r="F75" s="820">
        <v>30</v>
      </c>
    </row>
    <row r="76" spans="1:6" s="816" customFormat="1" ht="24">
      <c r="A76" s="820">
        <v>16</v>
      </c>
      <c r="B76" s="3539" t="s">
        <v>645</v>
      </c>
      <c r="C76" s="756" t="s">
        <v>646</v>
      </c>
      <c r="D76" s="756" t="s">
        <v>647</v>
      </c>
      <c r="E76" s="833">
        <v>0.5</v>
      </c>
      <c r="F76" s="820">
        <v>80</v>
      </c>
    </row>
    <row r="77" spans="1:6" s="816" customFormat="1" ht="24">
      <c r="A77" s="820">
        <v>17</v>
      </c>
      <c r="B77" s="3539"/>
      <c r="C77" s="756" t="s">
        <v>648</v>
      </c>
      <c r="D77" s="756" t="s">
        <v>649</v>
      </c>
      <c r="E77" s="833">
        <v>0.5</v>
      </c>
      <c r="F77" s="820">
        <v>80</v>
      </c>
    </row>
    <row r="78" spans="1:6" s="816" customFormat="1" ht="24">
      <c r="A78" s="820">
        <v>18</v>
      </c>
      <c r="B78" s="3539"/>
      <c r="C78" s="756" t="s">
        <v>650</v>
      </c>
      <c r="D78" s="756" t="s">
        <v>651</v>
      </c>
      <c r="E78" s="833">
        <v>0.2</v>
      </c>
      <c r="F78" s="820">
        <v>30</v>
      </c>
    </row>
    <row r="79" spans="1:6" s="816" customFormat="1" ht="24">
      <c r="A79" s="820">
        <v>19</v>
      </c>
      <c r="B79" s="3539"/>
      <c r="C79" s="756" t="s">
        <v>652</v>
      </c>
      <c r="D79" s="756" t="s">
        <v>653</v>
      </c>
      <c r="E79" s="833">
        <v>0.5</v>
      </c>
      <c r="F79" s="820">
        <v>80</v>
      </c>
    </row>
    <row r="80" spans="1:6" s="816" customFormat="1" ht="36">
      <c r="A80" s="820">
        <v>20</v>
      </c>
      <c r="B80" s="3539"/>
      <c r="C80" s="756" t="s">
        <v>654</v>
      </c>
      <c r="D80" s="756" t="s">
        <v>655</v>
      </c>
      <c r="E80" s="833">
        <v>0.2</v>
      </c>
      <c r="F80" s="820">
        <v>30</v>
      </c>
    </row>
    <row r="81" spans="1:6" s="816" customFormat="1" ht="36">
      <c r="A81" s="820">
        <v>21</v>
      </c>
      <c r="B81" s="3539"/>
      <c r="C81" s="756" t="s">
        <v>656</v>
      </c>
      <c r="D81" s="756" t="s">
        <v>657</v>
      </c>
      <c r="E81" s="833">
        <v>0.2</v>
      </c>
      <c r="F81" s="820">
        <v>30</v>
      </c>
    </row>
    <row r="82" spans="1:6" s="816" customFormat="1" ht="48">
      <c r="A82" s="820">
        <v>22</v>
      </c>
      <c r="B82" s="3539"/>
      <c r="C82" s="756" t="s">
        <v>658</v>
      </c>
      <c r="D82" s="756" t="s">
        <v>659</v>
      </c>
      <c r="E82" s="833">
        <v>0.2</v>
      </c>
      <c r="F82" s="820">
        <v>30</v>
      </c>
    </row>
    <row r="83" spans="1:6" s="816" customFormat="1" ht="48">
      <c r="A83" s="820">
        <v>23</v>
      </c>
      <c r="B83" s="3539"/>
      <c r="C83" s="756" t="s">
        <v>660</v>
      </c>
      <c r="D83" s="756" t="s">
        <v>661</v>
      </c>
      <c r="E83" s="833">
        <v>0.2</v>
      </c>
      <c r="F83" s="820">
        <v>30</v>
      </c>
    </row>
    <row r="84" spans="1:6" s="816" customFormat="1" ht="36">
      <c r="A84" s="820">
        <v>24</v>
      </c>
      <c r="B84" s="3539"/>
      <c r="C84" s="756" t="s">
        <v>662</v>
      </c>
      <c r="D84" s="756" t="s">
        <v>663</v>
      </c>
      <c r="E84" s="833">
        <v>0.2</v>
      </c>
      <c r="F84" s="820">
        <v>30</v>
      </c>
    </row>
    <row r="85" spans="1:6" s="816" customFormat="1" ht="36">
      <c r="A85" s="820">
        <v>25</v>
      </c>
      <c r="B85" s="3539"/>
      <c r="C85" s="756" t="s">
        <v>664</v>
      </c>
      <c r="D85" s="756" t="s">
        <v>665</v>
      </c>
      <c r="E85" s="833">
        <v>0.5</v>
      </c>
      <c r="F85" s="820">
        <v>80</v>
      </c>
    </row>
    <row r="86" spans="1:6" s="816" customFormat="1" ht="36">
      <c r="A86" s="820">
        <v>26</v>
      </c>
      <c r="B86" s="3539"/>
      <c r="C86" s="756" t="s">
        <v>666</v>
      </c>
      <c r="D86" s="756" t="s">
        <v>667</v>
      </c>
      <c r="E86" s="833">
        <v>0.2</v>
      </c>
      <c r="F86" s="820">
        <v>30</v>
      </c>
    </row>
    <row r="87" spans="1:6" s="816" customFormat="1" ht="36">
      <c r="A87" s="820">
        <v>27</v>
      </c>
      <c r="B87" s="3539"/>
      <c r="C87" s="756" t="s">
        <v>668</v>
      </c>
      <c r="D87" s="756" t="s">
        <v>669</v>
      </c>
      <c r="E87" s="833">
        <v>0.2</v>
      </c>
      <c r="F87" s="820">
        <v>30</v>
      </c>
    </row>
    <row r="88" spans="1:6" s="816" customFormat="1" ht="36">
      <c r="A88" s="820">
        <v>28</v>
      </c>
      <c r="B88" s="3539"/>
      <c r="C88" s="756" t="s">
        <v>670</v>
      </c>
      <c r="D88" s="756" t="s">
        <v>671</v>
      </c>
      <c r="E88" s="833">
        <v>0.2</v>
      </c>
      <c r="F88" s="820">
        <v>30</v>
      </c>
    </row>
    <row r="89" spans="1:6" s="816" customFormat="1" ht="24">
      <c r="A89" s="820">
        <v>29</v>
      </c>
      <c r="B89" s="3539"/>
      <c r="C89" s="756" t="s">
        <v>672</v>
      </c>
      <c r="D89" s="756" t="s">
        <v>673</v>
      </c>
      <c r="E89" s="833">
        <v>0.2</v>
      </c>
      <c r="F89" s="820">
        <v>30</v>
      </c>
    </row>
    <row r="90" spans="1:6" s="816" customFormat="1" ht="24">
      <c r="A90" s="820">
        <v>30</v>
      </c>
      <c r="B90" s="3539"/>
      <c r="C90" s="756" t="s">
        <v>674</v>
      </c>
      <c r="D90" s="756" t="s">
        <v>675</v>
      </c>
      <c r="E90" s="833">
        <v>0.2</v>
      </c>
      <c r="F90" s="820">
        <v>30</v>
      </c>
    </row>
    <row r="91" spans="1:6" s="816" customFormat="1" ht="36">
      <c r="A91" s="820">
        <v>31</v>
      </c>
      <c r="B91" s="3539"/>
      <c r="C91" s="756" t="s">
        <v>676</v>
      </c>
      <c r="D91" s="756" t="s">
        <v>677</v>
      </c>
      <c r="E91" s="833">
        <v>0.2</v>
      </c>
      <c r="F91" s="820">
        <v>30</v>
      </c>
    </row>
    <row r="92" spans="1:6" s="816" customFormat="1" ht="24">
      <c r="A92" s="820">
        <v>32</v>
      </c>
      <c r="B92" s="3539" t="s">
        <v>678</v>
      </c>
      <c r="C92" s="820" t="s">
        <v>679</v>
      </c>
      <c r="D92" s="756" t="s">
        <v>680</v>
      </c>
      <c r="E92" s="833">
        <v>0.2</v>
      </c>
      <c r="F92" s="820">
        <v>30</v>
      </c>
    </row>
    <row r="93" spans="1:6" s="816" customFormat="1" ht="36">
      <c r="A93" s="820">
        <v>33</v>
      </c>
      <c r="B93" s="3539"/>
      <c r="C93" s="820" t="s">
        <v>681</v>
      </c>
      <c r="D93" s="756" t="s">
        <v>682</v>
      </c>
      <c r="E93" s="833">
        <v>0.2</v>
      </c>
      <c r="F93" s="820">
        <v>30</v>
      </c>
    </row>
    <row r="94" spans="1:6" s="816" customFormat="1" ht="48">
      <c r="A94" s="820">
        <v>34</v>
      </c>
      <c r="B94" s="3539"/>
      <c r="C94" s="820" t="s">
        <v>683</v>
      </c>
      <c r="D94" s="756" t="s">
        <v>684</v>
      </c>
      <c r="E94" s="833">
        <v>0.2</v>
      </c>
      <c r="F94" s="820">
        <v>30</v>
      </c>
    </row>
    <row r="95" spans="1:6" s="816" customFormat="1" ht="36">
      <c r="A95" s="820">
        <v>35</v>
      </c>
      <c r="B95" s="3539"/>
      <c r="C95" s="820" t="s">
        <v>685</v>
      </c>
      <c r="D95" s="756" t="s">
        <v>686</v>
      </c>
      <c r="E95" s="833">
        <v>0.2</v>
      </c>
      <c r="F95" s="820">
        <v>30</v>
      </c>
    </row>
    <row r="96" spans="1:6" s="816" customFormat="1" ht="48">
      <c r="A96" s="820">
        <v>36</v>
      </c>
      <c r="B96" s="3539"/>
      <c r="C96" s="756" t="s">
        <v>687</v>
      </c>
      <c r="D96" s="756" t="s">
        <v>688</v>
      </c>
      <c r="E96" s="833">
        <v>0.2</v>
      </c>
      <c r="F96" s="820">
        <v>30</v>
      </c>
    </row>
    <row r="97" spans="1:6" s="816" customFormat="1" ht="36">
      <c r="A97" s="820">
        <v>37</v>
      </c>
      <c r="B97" s="3539"/>
      <c r="C97" s="820" t="s">
        <v>689</v>
      </c>
      <c r="D97" s="756" t="s">
        <v>690</v>
      </c>
      <c r="E97" s="833">
        <v>0.2</v>
      </c>
      <c r="F97" s="820">
        <v>30</v>
      </c>
    </row>
    <row r="98" spans="1:6" s="816" customFormat="1" ht="36">
      <c r="A98" s="820">
        <v>38</v>
      </c>
      <c r="B98" s="3539"/>
      <c r="C98" s="820" t="s">
        <v>691</v>
      </c>
      <c r="D98" s="756" t="s">
        <v>692</v>
      </c>
      <c r="E98" s="833">
        <v>0.2</v>
      </c>
      <c r="F98" s="820">
        <v>30</v>
      </c>
    </row>
    <row r="99" spans="1:6" s="816" customFormat="1" ht="36">
      <c r="A99" s="820">
        <v>39</v>
      </c>
      <c r="B99" s="3539" t="s">
        <v>693</v>
      </c>
      <c r="C99" s="820" t="s">
        <v>694</v>
      </c>
      <c r="D99" s="756" t="s">
        <v>695</v>
      </c>
      <c r="E99" s="833">
        <v>0.3</v>
      </c>
      <c r="F99" s="820">
        <v>50</v>
      </c>
    </row>
    <row r="100" spans="1:6" s="816" customFormat="1" ht="24">
      <c r="A100" s="820">
        <v>40</v>
      </c>
      <c r="B100" s="3539"/>
      <c r="C100" s="820" t="s">
        <v>696</v>
      </c>
      <c r="D100" s="756" t="s">
        <v>697</v>
      </c>
      <c r="E100" s="833">
        <v>0.2</v>
      </c>
      <c r="F100" s="820">
        <v>30</v>
      </c>
    </row>
    <row r="101" spans="1:6" s="816" customFormat="1" ht="36">
      <c r="A101" s="820">
        <v>41</v>
      </c>
      <c r="B101" s="3539"/>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39" t="s">
        <v>708</v>
      </c>
      <c r="C105" s="820" t="s">
        <v>709</v>
      </c>
      <c r="D105" s="756" t="s">
        <v>710</v>
      </c>
      <c r="E105" s="833">
        <v>0.2</v>
      </c>
      <c r="F105" s="820">
        <v>30</v>
      </c>
    </row>
    <row r="106" spans="1:6" s="816" customFormat="1" ht="36">
      <c r="A106" s="820">
        <v>46</v>
      </c>
      <c r="B106" s="3539"/>
      <c r="C106" s="820" t="s">
        <v>711</v>
      </c>
      <c r="D106" s="756" t="s">
        <v>712</v>
      </c>
      <c r="E106" s="833">
        <v>0.2</v>
      </c>
      <c r="F106" s="820">
        <v>30</v>
      </c>
    </row>
    <row r="107" spans="1:6" s="816" customFormat="1" ht="36">
      <c r="A107" s="820">
        <v>47</v>
      </c>
      <c r="B107" s="3539" t="s">
        <v>713</v>
      </c>
      <c r="C107" s="820" t="s">
        <v>714</v>
      </c>
      <c r="D107" s="756" t="s">
        <v>715</v>
      </c>
      <c r="E107" s="833">
        <v>0.3</v>
      </c>
      <c r="F107" s="820">
        <v>50</v>
      </c>
    </row>
    <row r="108" spans="1:6" s="816" customFormat="1" ht="36">
      <c r="A108" s="820">
        <v>48</v>
      </c>
      <c r="B108" s="3539"/>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39" t="s">
        <v>724</v>
      </c>
      <c r="C111" s="820" t="s">
        <v>725</v>
      </c>
      <c r="D111" s="756" t="s">
        <v>726</v>
      </c>
      <c r="E111" s="833">
        <v>0.2</v>
      </c>
      <c r="F111" s="820">
        <v>30</v>
      </c>
    </row>
    <row r="112" spans="1:6" s="816" customFormat="1" ht="24">
      <c r="A112" s="820">
        <v>52</v>
      </c>
      <c r="B112" s="3539"/>
      <c r="C112" s="820" t="s">
        <v>727</v>
      </c>
      <c r="D112" s="756" t="s">
        <v>728</v>
      </c>
      <c r="E112" s="833">
        <v>0.2</v>
      </c>
      <c r="F112" s="820">
        <v>30</v>
      </c>
    </row>
    <row r="113" spans="1:6" s="816" customFormat="1" ht="24">
      <c r="A113" s="820">
        <v>53</v>
      </c>
      <c r="B113" s="3539"/>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39" t="s">
        <v>737</v>
      </c>
      <c r="C116" s="820" t="s">
        <v>738</v>
      </c>
      <c r="D116" s="756" t="s">
        <v>739</v>
      </c>
      <c r="E116" s="833">
        <v>0.2</v>
      </c>
      <c r="F116" s="820">
        <v>30</v>
      </c>
    </row>
    <row r="117" spans="1:6" ht="36">
      <c r="A117" s="820">
        <v>57</v>
      </c>
      <c r="B117" s="3539"/>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1"/>
      <c r="G1" s="2991"/>
      <c r="H1" s="2991"/>
      <c r="I1" s="2991"/>
      <c r="J1" s="2991"/>
      <c r="K1" s="2991"/>
      <c r="L1" s="2991"/>
      <c r="M1" s="2991"/>
      <c r="N1" s="2991"/>
      <c r="O1" s="2991"/>
      <c r="P1" s="2991"/>
    </row>
    <row r="2" spans="1:16" ht="15.75">
      <c r="A2" s="2330" t="s">
        <v>2752</v>
      </c>
      <c r="B2" s="2795" t="e">
        <f ca="1">SUMIF(B6:B13,"&lt;&gt;#ref!",B6:B13)</f>
        <v>#DIV/0!</v>
      </c>
      <c r="C2" s="2330" t="s">
        <v>2753</v>
      </c>
      <c r="D2" s="2330" t="s">
        <v>2754</v>
      </c>
      <c r="E2" s="2805">
        <f ca="1">SUMIF(E6:E13,"&lt;&gt;#ref!",E6:E13)</f>
        <v>14258.11</v>
      </c>
      <c r="F2" s="2991"/>
      <c r="G2" s="2991"/>
      <c r="H2" s="2991"/>
      <c r="I2" s="2991"/>
      <c r="J2" s="2991"/>
      <c r="K2" s="2991"/>
      <c r="L2" s="2991"/>
      <c r="M2" s="2991"/>
      <c r="N2" s="2991"/>
      <c r="O2" s="2991"/>
      <c r="P2" s="2991"/>
    </row>
    <row r="3" spans="1:16" ht="15.75">
      <c r="A3" s="2330" t="s">
        <v>2755</v>
      </c>
      <c r="B3" s="2795" t="e">
        <f ca="1">ROUND(B2*10000/E2,0)</f>
        <v>#DIV/0!</v>
      </c>
      <c r="C3" s="2330" t="s">
        <v>2761</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2756</v>
      </c>
      <c r="B5" s="2803" t="s">
        <v>2757</v>
      </c>
      <c r="C5" s="2331"/>
      <c r="D5" s="2991"/>
      <c r="E5" s="2804" t="s">
        <v>2758</v>
      </c>
      <c r="F5" s="2991"/>
      <c r="G5" s="2991"/>
      <c r="H5" s="2991"/>
      <c r="I5" s="2991"/>
      <c r="J5" s="2991"/>
      <c r="K5" s="2991"/>
      <c r="L5" s="2991"/>
      <c r="M5" s="2991"/>
      <c r="N5" s="2991"/>
      <c r="O5" s="2991"/>
      <c r="P5" s="2991"/>
    </row>
    <row r="6" spans="1:16" ht="15.75">
      <c r="A6" s="2802" t="s">
        <v>2759</v>
      </c>
      <c r="B6" s="2795" t="e">
        <f ca="1">SUMIF(INDIRECT("'"&amp;A6&amp;"'"&amp;"!A:A"),"总价",INDIRECT("'"&amp;A6&amp;"'"&amp;"!B:B"))</f>
        <v>#DIV/0!</v>
      </c>
      <c r="C6" s="2330" t="s">
        <v>2753</v>
      </c>
      <c r="D6" s="2991"/>
      <c r="E6" s="2805">
        <f ca="1">SUMIF(INDIRECT("'"&amp;A6&amp;"'"&amp;"!C:C"),"建筑面积",INDIRECT("'"&amp;A6&amp;"'"&amp;"!D:D"))</f>
        <v>14258.11</v>
      </c>
      <c r="F6" s="2991"/>
      <c r="G6" s="2991"/>
      <c r="H6" s="2991"/>
      <c r="I6" s="2991"/>
      <c r="J6" s="2991"/>
      <c r="K6" s="2991"/>
      <c r="L6" s="2991"/>
      <c r="M6" s="2991"/>
      <c r="N6" s="2991"/>
      <c r="O6" s="2991"/>
      <c r="P6" s="2991"/>
    </row>
    <row r="7" spans="1:16" ht="15.75">
      <c r="A7" s="2802"/>
      <c r="B7" s="2795" t="e">
        <f ca="1">SUMIF(INDIRECT("'"&amp;A7&amp;"'"&amp;"!A:A"),"总价",INDIRECT("'"&amp;A7&amp;"'"&amp;"!B:B"))</f>
        <v>#REF!</v>
      </c>
      <c r="C7" s="2330" t="s">
        <v>2753</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30" t="s">
        <v>2753</v>
      </c>
      <c r="D8" s="2991"/>
      <c r="E8" s="2805" t="e">
        <f t="shared" ca="1" si="0"/>
        <v>#REF!</v>
      </c>
      <c r="F8" s="2991"/>
      <c r="G8" s="2991"/>
      <c r="H8" s="2991"/>
      <c r="I8" s="2991"/>
      <c r="J8" s="2991"/>
      <c r="K8" s="2991"/>
      <c r="L8" s="2991"/>
      <c r="M8" s="2991"/>
      <c r="N8" s="2991"/>
      <c r="O8" s="2991"/>
      <c r="P8" s="2991"/>
    </row>
    <row r="9" spans="1:16" ht="15.75">
      <c r="A9" s="2802"/>
      <c r="B9" s="2795" t="e">
        <f t="shared" ca="1" si="1"/>
        <v>#REF!</v>
      </c>
      <c r="C9" s="2330" t="s">
        <v>2753</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30" t="s">
        <v>2753</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30" t="s">
        <v>2753</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30" t="s">
        <v>2753</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30" t="s">
        <v>2753</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5" t="s">
        <v>1058</v>
      </c>
      <c r="C1" s="3545"/>
      <c r="D1" s="3545"/>
      <c r="E1" s="3545"/>
      <c r="F1" s="3545"/>
      <c r="G1" s="3541" t="s">
        <v>1059</v>
      </c>
      <c r="H1" s="3541"/>
      <c r="I1" s="3541"/>
      <c r="J1" s="3541"/>
      <c r="K1" s="3541"/>
      <c r="L1" s="3541"/>
      <c r="N1" s="3541" t="s">
        <v>1060</v>
      </c>
      <c r="O1" s="3541"/>
      <c r="P1" s="3541"/>
      <c r="Q1" s="3541"/>
      <c r="S1" s="3541" t="s">
        <v>1061</v>
      </c>
      <c r="T1" s="3541"/>
      <c r="U1" s="3541"/>
      <c r="V1" s="3541"/>
      <c r="X1" s="3540" t="s">
        <v>1062</v>
      </c>
      <c r="Y1" s="3541"/>
      <c r="Z1" s="3541"/>
      <c r="AA1" s="3541"/>
      <c r="AB1" s="3541"/>
      <c r="AD1" s="3540" t="s">
        <v>1063</v>
      </c>
      <c r="AE1" s="3541"/>
      <c r="AF1" s="3541"/>
      <c r="AG1" s="3541"/>
      <c r="AH1" s="3541"/>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3113</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3">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3112</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3">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2989</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8">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2988</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7">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2987</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1">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2985</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0">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2984</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7">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50"/>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46">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50"/>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6">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4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4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7">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8"/>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8"/>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9"/>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4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4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4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4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4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4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4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4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4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4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4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4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4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4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9.5" thickBot="1">
      <c r="A4" s="1647"/>
      <c r="B4" s="3228" t="s">
        <v>1535</v>
      </c>
      <c r="C4" s="3228"/>
      <c r="D4" s="3228"/>
      <c r="E4" s="1647"/>
    </row>
    <row r="5" spans="1:5" ht="16.5" thickTop="1">
      <c r="A5" s="1645"/>
      <c r="B5" s="3226" t="s">
        <v>1527</v>
      </c>
      <c r="C5" s="1648" t="s">
        <v>1528</v>
      </c>
      <c r="D5" s="958">
        <f ca="1">结果表!H101</f>
        <v>12269</v>
      </c>
      <c r="E5" s="1645"/>
    </row>
    <row r="6" spans="1:5" ht="15.75">
      <c r="A6" s="1645"/>
      <c r="B6" s="3226"/>
      <c r="C6" s="1648" t="s">
        <v>1529</v>
      </c>
      <c r="D6" s="958" t="str">
        <f ca="1">NUMBERSTRING(INT(D5*10000),2)&amp;"元整"</f>
        <v>壹亿贰仟贰佰陆拾玖万元整</v>
      </c>
      <c r="E6" s="1645"/>
    </row>
    <row r="7" spans="1:5" ht="15.75">
      <c r="A7" s="1645"/>
      <c r="B7" s="3231"/>
      <c r="C7" s="1649" t="s">
        <v>1530</v>
      </c>
      <c r="D7" s="959">
        <f ca="1">结果表!H102</f>
        <v>7171</v>
      </c>
      <c r="E7" s="1645"/>
    </row>
    <row r="8" spans="1:5" ht="15.75">
      <c r="A8" s="1645"/>
      <c r="B8" s="3232" t="str">
        <f>结果表!E103</f>
        <v>2.估价师知悉的法定优先受偿款</v>
      </c>
      <c r="C8" s="1650" t="s">
        <v>1531</v>
      </c>
      <c r="D8" s="959">
        <f>结果表!H103</f>
        <v>0</v>
      </c>
      <c r="E8" s="1645"/>
    </row>
    <row r="9" spans="1:5" ht="15.75">
      <c r="A9" s="1645"/>
      <c r="B9" s="3234"/>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25" t="str">
        <f>结果表!E107</f>
        <v>3.房地产抵押价值</v>
      </c>
      <c r="C13" s="1653" t="s">
        <v>1528</v>
      </c>
      <c r="D13" s="961">
        <f ca="1">结果表!H107</f>
        <v>12269</v>
      </c>
      <c r="E13" s="1645"/>
    </row>
    <row r="14" spans="1:5" ht="15.75">
      <c r="A14" s="1645"/>
      <c r="B14" s="3226"/>
      <c r="C14" s="1648" t="s">
        <v>1529</v>
      </c>
      <c r="D14" s="958" t="str">
        <f ca="1">NUMBERSTRING(INT(D13*10000),2)&amp;"元整"</f>
        <v>壹亿贰仟贰佰陆拾玖万元整</v>
      </c>
      <c r="E14" s="1645"/>
    </row>
    <row r="15" spans="1:5" ht="15">
      <c r="A15" s="1645"/>
      <c r="B15" s="3231"/>
      <c r="C15" s="1649" t="s">
        <v>1539</v>
      </c>
      <c r="D15" s="967">
        <f ca="1">结果表!H108</f>
        <v>7171</v>
      </c>
      <c r="E15" s="1645"/>
    </row>
    <row r="16" spans="1:5" ht="15">
      <c r="A16" s="1645"/>
      <c r="B16" s="3232" t="str">
        <f>结果表!E109</f>
        <v>——</v>
      </c>
      <c r="C16" s="1653" t="s">
        <v>1540</v>
      </c>
      <c r="D16" s="1654" t="str">
        <f>结果表!H109</f>
        <v>——</v>
      </c>
      <c r="E16" s="1645"/>
    </row>
    <row r="17" spans="1:5" ht="15.75">
      <c r="A17" s="1645"/>
      <c r="B17" s="3233"/>
      <c r="C17" s="1648" t="s">
        <v>1541</v>
      </c>
      <c r="D17" s="958" t="e">
        <f>NUMBERSTRING(INT(D16*10000),2)&amp;"元整"</f>
        <v>#VALUE!</v>
      </c>
      <c r="E17" s="1645"/>
    </row>
    <row r="18" spans="1:5" ht="15">
      <c r="A18" s="1645"/>
      <c r="B18" s="3234"/>
      <c r="C18" s="1649" t="s">
        <v>1530</v>
      </c>
      <c r="D18" s="967" t="str">
        <f>结果表!H110</f>
        <v>——</v>
      </c>
      <c r="E18" s="1645"/>
    </row>
    <row r="19" spans="1:5" ht="15.75">
      <c r="A19" s="1645"/>
      <c r="B19" s="3225" t="str">
        <f>结果表!E111</f>
        <v>——</v>
      </c>
      <c r="C19" s="1653" t="s">
        <v>1528</v>
      </c>
      <c r="D19" s="959" t="str">
        <f>结果表!H111</f>
        <v>——</v>
      </c>
      <c r="E19" s="1645"/>
    </row>
    <row r="20" spans="1:5" ht="15.75">
      <c r="A20" s="1645"/>
      <c r="B20" s="3226"/>
      <c r="C20" s="1648" t="s">
        <v>1541</v>
      </c>
      <c r="D20" s="958" t="e">
        <f>NUMBERSTRING(INT(D19*10000),2)&amp;"元整"</f>
        <v>#VALUE!</v>
      </c>
      <c r="E20" s="1645"/>
    </row>
    <row r="21" spans="1:5" ht="15.75" thickBot="1">
      <c r="A21" s="1645"/>
      <c r="B21" s="3227"/>
      <c r="C21" s="1655" t="s">
        <v>1539</v>
      </c>
      <c r="D21" s="968"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2762</v>
      </c>
      <c r="C1" s="3554" t="s">
        <v>2763</v>
      </c>
      <c r="D1" s="3555"/>
      <c r="E1" s="3555"/>
      <c r="F1" s="3555"/>
      <c r="G1" s="3555"/>
      <c r="H1" s="3555"/>
      <c r="I1" s="3555"/>
      <c r="J1" s="3555"/>
      <c r="K1" s="3555"/>
      <c r="L1" s="3555"/>
      <c r="M1" s="3555"/>
      <c r="N1" s="3555"/>
      <c r="O1" s="3555"/>
      <c r="P1" s="3555"/>
      <c r="Q1" s="3555"/>
      <c r="R1" s="3555"/>
      <c r="S1" s="3556"/>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5" t="s">
        <v>2766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6" t="s">
        <v>2767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6" t="s">
        <v>2768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2772</v>
      </c>
      <c r="B17" s="2334"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5" t="s">
        <v>2774</v>
      </c>
      <c r="E19" s="1493"/>
      <c r="F19" s="1493"/>
      <c r="G19" s="1493"/>
      <c r="H19" s="1189"/>
      <c r="I19" s="163"/>
      <c r="J19" s="163"/>
      <c r="K19" s="163"/>
      <c r="L19" s="163"/>
      <c r="M19" s="163"/>
      <c r="N19" s="163"/>
      <c r="O19" s="163"/>
      <c r="P19" s="163"/>
      <c r="Q19" s="163"/>
      <c r="R19" s="726"/>
      <c r="S19" s="133"/>
    </row>
    <row r="20" spans="1:45" ht="16.5" thickBot="1">
      <c r="A20" s="670" t="s">
        <v>2775</v>
      </c>
      <c r="B20" s="299" t="e">
        <f ca="1">IF(D20="——",S22,S22-F20)</f>
        <v>#REF!</v>
      </c>
      <c r="C20" s="163"/>
      <c r="D20" s="2336"/>
      <c r="E20" s="1494"/>
      <c r="F20" s="1113" t="e">
        <f ca="1">SUMIF(INDIRECT("'"&amp;H20&amp;"'"&amp;"!A:A"),"承租人权益价值",INDIRECT("'"&amp;H20&amp;"'"&amp;"!c:c"))</f>
        <v>#REF!</v>
      </c>
      <c r="G20" s="1113" t="s">
        <v>2776</v>
      </c>
      <c r="H20" s="2337"/>
      <c r="I20" s="163"/>
      <c r="J20" s="163"/>
      <c r="K20" s="163"/>
      <c r="L20" s="163"/>
      <c r="M20" s="163"/>
      <c r="N20" s="163"/>
      <c r="O20" s="163"/>
      <c r="P20" s="163"/>
      <c r="Q20" s="163"/>
      <c r="R20" s="726"/>
      <c r="S20" s="133"/>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2778</v>
      </c>
      <c r="B22" s="23">
        <f>SUM(B24:B10000)</f>
        <v>100</v>
      </c>
      <c r="C22" s="3551" t="s">
        <v>33</v>
      </c>
      <c r="D22" s="3552"/>
      <c r="E22" s="3552"/>
      <c r="F22" s="3552"/>
      <c r="G22" s="3552"/>
      <c r="H22" s="3552"/>
      <c r="I22" s="3552"/>
      <c r="J22" s="3552"/>
      <c r="K22" s="3552"/>
      <c r="L22" s="3552"/>
      <c r="M22" s="3552"/>
      <c r="N22" s="3552"/>
      <c r="O22" s="3552"/>
      <c r="P22" s="3552"/>
      <c r="Q22" s="3553"/>
      <c r="R22" s="671">
        <f>ROUND(S22*10000/B22,0)</f>
        <v>10000</v>
      </c>
      <c r="S22" s="23">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32664</v>
      </c>
      <c r="C2" s="2" t="s">
        <v>133</v>
      </c>
      <c r="D2" s="204"/>
      <c r="E2" s="204"/>
      <c r="F2" s="204"/>
      <c r="G2" s="204"/>
    </row>
    <row r="3" spans="1:7" s="205" customFormat="1" ht="18" customHeight="1" thickBot="1">
      <c r="A3" s="208" t="s">
        <v>85</v>
      </c>
      <c r="B3" s="209">
        <f ca="1">ROUND(B2*10000/'数据-汇总表'!E3,0)</f>
        <v>19091</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17109.73</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342</v>
      </c>
      <c r="D19" s="957">
        <f>'数据-汇总表'!E3</f>
        <v>17109.73</v>
      </c>
      <c r="E19" s="216">
        <f>'数据-取费表'!B31</f>
        <v>200</v>
      </c>
      <c r="F19" s="236"/>
      <c r="G19" s="1" t="s">
        <v>1042</v>
      </c>
    </row>
    <row r="20" spans="1:7" s="219" customFormat="1" ht="13.5" customHeight="1">
      <c r="A20" s="884" t="s">
        <v>1025</v>
      </c>
      <c r="B20" s="215" t="s">
        <v>104</v>
      </c>
      <c r="C20" s="237">
        <f>ROUND((C5+C19)*F20,0)</f>
        <v>419</v>
      </c>
      <c r="D20" s="237"/>
      <c r="E20" s="237"/>
      <c r="F20" s="238">
        <f>'数据-取费表'!B37</f>
        <v>0.02</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35">
        <f ca="1">ROUND(SUM(C23:C25),0)</f>
        <v>1347</v>
      </c>
      <c r="D22" s="240">
        <f ca="1">C26</f>
        <v>2.9999999999999997E-4</v>
      </c>
      <c r="E22" s="241" t="s">
        <v>126</v>
      </c>
      <c r="F22" s="242">
        <f ca="1">'数据-取费表'!B40</f>
        <v>4.2000000000000003E-2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1312</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22</v>
      </c>
      <c r="D24" s="243"/>
      <c r="E24" s="243"/>
      <c r="F24" s="244"/>
      <c r="G24" s="245" t="s">
        <v>109</v>
      </c>
    </row>
    <row r="25" spans="1:7" s="219" customFormat="1" ht="24">
      <c r="A25" s="887" t="s">
        <v>793</v>
      </c>
      <c r="B25" s="220" t="s">
        <v>1026</v>
      </c>
      <c r="C25" s="1236">
        <f ca="1">ROUND(IF('数据-取费表'!B22&lt;=1,C20*F22*'数据-取费表'!B23/2,C20*(POWER((1+F22),'数据-取费表'!B23/2)-1)),0)</f>
        <v>13</v>
      </c>
      <c r="D25" s="243"/>
      <c r="E25" s="246"/>
      <c r="F25" s="244"/>
      <c r="G25" s="247" t="s">
        <v>110</v>
      </c>
    </row>
    <row r="26" spans="1:7" s="219" customFormat="1">
      <c r="A26" s="887" t="s">
        <v>795</v>
      </c>
      <c r="B26" s="220" t="s">
        <v>1028</v>
      </c>
      <c r="C26" s="243">
        <f ca="1">ROUND(IF('数据-取费表'!B22&lt;=1,F21*F22*'数据-取费表'!B23/2,F21*(POWER((1+F22),'数据-取费表'!B23/2)-1)),4)</f>
        <v>2.9999999999999997E-4</v>
      </c>
      <c r="D26" s="243"/>
      <c r="E26" s="246"/>
      <c r="F26" s="244"/>
      <c r="G26" s="248"/>
    </row>
    <row r="27" spans="1:7" s="219" customFormat="1" ht="24.75">
      <c r="A27" s="884" t="s">
        <v>787</v>
      </c>
      <c r="B27" s="249" t="s">
        <v>112</v>
      </c>
      <c r="C27" s="250">
        <f>C28</f>
        <v>2137</v>
      </c>
      <c r="D27" s="240">
        <f>C29</f>
        <v>1E-3</v>
      </c>
      <c r="E27" s="241" t="s">
        <v>126</v>
      </c>
      <c r="F27" s="251">
        <f>'数据-取费表'!Q16</f>
        <v>0.1</v>
      </c>
      <c r="G27" s="252" t="s">
        <v>1037</v>
      </c>
    </row>
    <row r="28" spans="1:7" s="219" customFormat="1" ht="13.5" customHeight="1">
      <c r="A28" s="887" t="s">
        <v>794</v>
      </c>
      <c r="B28" s="253" t="s">
        <v>1030</v>
      </c>
      <c r="C28" s="254">
        <f>ROUND((C5+C19+C20)*F27*'数据-取费表'!B21/'数据-取费表'!B20,0)</f>
        <v>2137</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26545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5706</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5133</v>
      </c>
      <c r="D34" s="222"/>
      <c r="E34" s="225"/>
      <c r="F34" s="262">
        <f>IF('数据-取费表'!B24=0,1,'数据-取费表'!N16)</f>
        <v>1</v>
      </c>
      <c r="G34" s="224" t="s">
        <v>116</v>
      </c>
    </row>
    <row r="35" spans="1:7" ht="13.5" customHeight="1">
      <c r="A35" s="887" t="s">
        <v>796</v>
      </c>
      <c r="B35" s="220" t="s">
        <v>60</v>
      </c>
      <c r="C35" s="225">
        <f>ROUND(C34*F35,0)</f>
        <v>154</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342</v>
      </c>
      <c r="D37" s="222">
        <f>'数据-汇总表'!E3</f>
        <v>17109.73</v>
      </c>
      <c r="E37" s="254">
        <f>'数据-取费表'!B35</f>
        <v>200</v>
      </c>
      <c r="F37" s="264"/>
      <c r="G37" s="266" t="s">
        <v>119</v>
      </c>
    </row>
    <row r="38" spans="1:7" ht="13.5" customHeight="1">
      <c r="A38" s="887" t="s">
        <v>799</v>
      </c>
      <c r="B38" s="220" t="s">
        <v>63</v>
      </c>
      <c r="C38" s="225">
        <f>ROUND(C34*F38,0)</f>
        <v>77</v>
      </c>
      <c r="D38" s="225"/>
      <c r="E38" s="225"/>
      <c r="F38" s="264">
        <f>'数据-取费表'!B36</f>
        <v>1.4999999999999999E-2</v>
      </c>
      <c r="G38" s="224" t="s">
        <v>117</v>
      </c>
    </row>
    <row r="39" spans="1:7" s="219" customFormat="1" ht="13.5" customHeight="1">
      <c r="A39" s="884" t="s">
        <v>783</v>
      </c>
      <c r="B39" s="215" t="s">
        <v>104</v>
      </c>
      <c r="C39" s="237">
        <f>ROUND(C33*F20,0)</f>
        <v>114</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183</v>
      </c>
      <c r="D41" s="240">
        <f ca="1">C44</f>
        <v>2.9999999999999997E-4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179</v>
      </c>
      <c r="D42" s="243"/>
      <c r="E42" s="243"/>
      <c r="F42" s="244"/>
      <c r="G42" s="3413" t="s">
        <v>121</v>
      </c>
    </row>
    <row r="43" spans="1:7" ht="13.5" customHeight="1">
      <c r="A43" s="887" t="s">
        <v>792</v>
      </c>
      <c r="B43" s="220" t="s">
        <v>1032</v>
      </c>
      <c r="C43" s="243">
        <f ca="1">ROUND(IF('数据-取费表'!B22&lt;=1,C39*F22*'数据-取费表'!B21/2,C39*(POWER((1+F22),'数据-取费表'!B21/2)-1)),0)</f>
        <v>4</v>
      </c>
      <c r="D43" s="243"/>
      <c r="E43" s="243"/>
      <c r="F43" s="244"/>
      <c r="G43" s="3414"/>
    </row>
    <row r="44" spans="1:7" ht="13.5" customHeight="1">
      <c r="A44" s="887" t="s">
        <v>793</v>
      </c>
      <c r="B44" s="220" t="s">
        <v>1034</v>
      </c>
      <c r="C44" s="243">
        <f ca="1">ROUND(IF('数据-取费表'!B22&lt;=1,C40*F22*'数据-取费表'!B21/2,C40*(POWER((1+F22),'数据-取费表'!B21/2)-1)),4)</f>
        <v>2.9999999999999997E-4</v>
      </c>
      <c r="D44" s="243"/>
      <c r="E44" s="243"/>
      <c r="F44" s="244"/>
      <c r="G44" s="3415"/>
    </row>
    <row r="45" spans="1:7" s="219" customFormat="1" ht="13.5" customHeight="1">
      <c r="A45" s="884" t="s">
        <v>786</v>
      </c>
      <c r="B45" s="249" t="s">
        <v>112</v>
      </c>
      <c r="C45" s="250">
        <f>C46</f>
        <v>582</v>
      </c>
      <c r="D45" s="240">
        <f>C47</f>
        <v>1E-3</v>
      </c>
      <c r="E45" s="241" t="s">
        <v>129</v>
      </c>
      <c r="F45" s="251"/>
      <c r="G45" s="252" t="s">
        <v>1040</v>
      </c>
    </row>
    <row r="46" spans="1:7" s="219" customFormat="1" ht="13.5" customHeight="1">
      <c r="A46" s="887" t="s">
        <v>794</v>
      </c>
      <c r="B46" s="253" t="s">
        <v>1033</v>
      </c>
      <c r="C46" s="254">
        <f>ROUND((C33+C39)*F27,0)</f>
        <v>582</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7033</v>
      </c>
      <c r="D49" s="237"/>
      <c r="E49" s="237"/>
      <c r="F49" s="269"/>
      <c r="G49" s="239" t="s">
        <v>1041</v>
      </c>
    </row>
    <row r="50" spans="1:7" s="263" customFormat="1" ht="24">
      <c r="A50" s="884" t="s">
        <v>789</v>
      </c>
      <c r="B50" s="215" t="s">
        <v>124</v>
      </c>
      <c r="C50" s="237"/>
      <c r="D50" s="237"/>
      <c r="E50" s="237"/>
      <c r="F50" s="269">
        <f>IF('数据-取费表'!B24=0,'数据-取费表'!N16,1)</f>
        <v>0.87</v>
      </c>
      <c r="G50" s="252" t="s">
        <v>125</v>
      </c>
    </row>
    <row r="51" spans="1:7" ht="16.5" customHeight="1">
      <c r="A51" s="884" t="s">
        <v>790</v>
      </c>
      <c r="B51" s="215" t="s">
        <v>132</v>
      </c>
      <c r="C51" s="237">
        <f ca="1">ROUND(C49*F50,0)</f>
        <v>6119</v>
      </c>
      <c r="D51" s="237"/>
      <c r="E51" s="237"/>
      <c r="F51" s="269"/>
      <c r="G51" s="239" t="s">
        <v>64</v>
      </c>
    </row>
    <row r="52" spans="1:7" s="213" customFormat="1" ht="16.5" thickBot="1">
      <c r="A52" s="270" t="s">
        <v>65</v>
      </c>
      <c r="B52" s="271"/>
      <c r="C52" s="272">
        <f ca="1">C31+C51</f>
        <v>32664</v>
      </c>
      <c r="D52" s="271"/>
      <c r="E52" s="271"/>
      <c r="F52" s="271"/>
      <c r="G52" s="273"/>
    </row>
    <row r="55" spans="1:7" ht="15">
      <c r="B55" s="275" t="s">
        <v>66</v>
      </c>
      <c r="C55" s="276"/>
    </row>
    <row r="56" spans="1:7">
      <c r="B56" s="278" t="s">
        <v>67</v>
      </c>
      <c r="C56" s="279">
        <f ca="1">ROUND(C51/C52,3)</f>
        <v>0.187</v>
      </c>
    </row>
    <row r="57" spans="1:7">
      <c r="B57" s="278" t="s">
        <v>68</v>
      </c>
      <c r="C57" s="280">
        <f ca="1">1-C56</f>
        <v>0.81299999999999994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57" t="s">
        <v>156</v>
      </c>
      <c r="B1" s="3557"/>
      <c r="C1" s="3557"/>
      <c r="D1" s="3557"/>
      <c r="E1" s="3557"/>
      <c r="F1" s="355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58" t="s">
        <v>169</v>
      </c>
      <c r="B2" s="3558"/>
      <c r="C2" s="3558"/>
      <c r="D2" s="3558"/>
      <c r="E2" s="3558"/>
      <c r="F2" s="355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5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6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57" t="s">
        <v>839</v>
      </c>
      <c r="B1" s="355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32" sqref="H32"/>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44582</v>
      </c>
      <c r="D1" s="1441" t="s">
        <v>1209</v>
      </c>
      <c r="E1" s="1436">
        <f>'数据-取费表'!B22</f>
        <v>1.5</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9">
        <v>44581</v>
      </c>
      <c r="D13" s="3020">
        <v>3.7</v>
      </c>
      <c r="E13" s="3020">
        <f>D13</f>
        <v>3.7</v>
      </c>
      <c r="F13" s="3020">
        <f>D13</f>
        <v>3.7</v>
      </c>
      <c r="G13" s="3020">
        <f>D13</f>
        <v>3.7</v>
      </c>
      <c r="H13" s="3020">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5"/>
      <c r="C14" s="3016">
        <v>44550</v>
      </c>
      <c r="D14" s="3015">
        <v>3.8</v>
      </c>
      <c r="E14" s="3015">
        <f>D14</f>
        <v>3.8</v>
      </c>
      <c r="F14" s="3015">
        <f>D14</f>
        <v>3.8</v>
      </c>
      <c r="G14" s="3015">
        <f>D14</f>
        <v>3.8</v>
      </c>
      <c r="H14" s="3015">
        <v>4.6500000000000004</v>
      </c>
      <c r="I14" s="3015"/>
      <c r="J14" s="3020"/>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5"/>
      <c r="C15" s="3016">
        <v>43941</v>
      </c>
      <c r="D15" s="3015">
        <v>3.85</v>
      </c>
      <c r="E15" s="3015">
        <v>3.85</v>
      </c>
      <c r="F15" s="3015">
        <v>3.85</v>
      </c>
      <c r="G15" s="3015">
        <v>3.85</v>
      </c>
      <c r="H15" s="3015">
        <v>4.6500000000000004</v>
      </c>
      <c r="I15" s="3015"/>
      <c r="J15" s="3015"/>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5"/>
      <c r="C16" s="3016">
        <v>43881</v>
      </c>
      <c r="D16" s="3015">
        <v>4.05</v>
      </c>
      <c r="E16" s="3015">
        <v>4.05</v>
      </c>
      <c r="F16" s="3015">
        <v>4.05</v>
      </c>
      <c r="G16" s="3015">
        <v>4.05</v>
      </c>
      <c r="H16" s="3015">
        <v>4.75</v>
      </c>
      <c r="I16" s="3015"/>
      <c r="J16" s="3015"/>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5"/>
      <c r="C17" s="3016">
        <v>43789</v>
      </c>
      <c r="D17" s="3015">
        <v>4.1500000000000004</v>
      </c>
      <c r="E17" s="3015">
        <v>4.1500000000000004</v>
      </c>
      <c r="F17" s="3015">
        <v>4.1500000000000004</v>
      </c>
      <c r="G17" s="3015">
        <v>4.1500000000000004</v>
      </c>
      <c r="H17" s="3015">
        <v>4.8</v>
      </c>
      <c r="I17" s="3015"/>
      <c r="J17" s="3015"/>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3"/>
      <c r="B19" s="3014" t="s">
        <v>2986</v>
      </c>
      <c r="C19" s="3017">
        <v>43697</v>
      </c>
      <c r="D19" s="3018">
        <v>4.25</v>
      </c>
      <c r="E19" s="3018">
        <v>4.25</v>
      </c>
      <c r="F19" s="3018">
        <v>4.25</v>
      </c>
      <c r="G19" s="3018">
        <v>4.25</v>
      </c>
      <c r="H19" s="3018">
        <v>4.8499999999999996</v>
      </c>
      <c r="I19" s="3018"/>
      <c r="J19" s="3018"/>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1"/>
      <c r="B20" s="3022"/>
      <c r="C20" s="3023">
        <v>42301</v>
      </c>
      <c r="D20" s="3024">
        <v>4.3499999999999996</v>
      </c>
      <c r="E20" s="3024">
        <v>4.3499999999999996</v>
      </c>
      <c r="F20" s="3024">
        <v>4.75</v>
      </c>
      <c r="G20" s="3024">
        <v>4.75</v>
      </c>
      <c r="H20" s="3024">
        <v>4.9000000000000004</v>
      </c>
      <c r="I20" s="3024"/>
      <c r="J20" s="3024"/>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election activeCell="F22" sqref="F22"/>
    </sheetView>
  </sheetViews>
  <sheetFormatPr defaultRowHeight="13.5"/>
  <sheetData>
    <row r="1" spans="1:8">
      <c r="A1">
        <v>1</v>
      </c>
      <c r="B1">
        <f>3500+300+6870</f>
        <v>10670</v>
      </c>
      <c r="D1">
        <f>3500+300+6870-60.33</f>
        <v>10609.67</v>
      </c>
      <c r="G1">
        <f>119765.2-33950</f>
        <v>85815.2</v>
      </c>
      <c r="H1">
        <v>78513.990000000005</v>
      </c>
    </row>
    <row r="2" spans="1:8">
      <c r="A2">
        <v>2</v>
      </c>
      <c r="B2">
        <f>3500+282+5335</f>
        <v>9117</v>
      </c>
      <c r="D2">
        <f>3500+282+5335-180.99</f>
        <v>8936.01</v>
      </c>
      <c r="G2">
        <f>G1/12</f>
        <v>7151.2666666666664</v>
      </c>
    </row>
    <row r="3" spans="1:8">
      <c r="A3">
        <v>3</v>
      </c>
      <c r="B3">
        <f>3900+300+4348</f>
        <v>8548</v>
      </c>
      <c r="D3">
        <f>3900+300+4348-67.23</f>
        <v>8480.77</v>
      </c>
    </row>
    <row r="4" spans="1:8">
      <c r="A4">
        <v>4</v>
      </c>
      <c r="B4">
        <f>3900+300+7119</f>
        <v>11319</v>
      </c>
      <c r="D4">
        <f>9136.42+884.6+1058+127.93</f>
        <v>11206.95</v>
      </c>
    </row>
    <row r="5" spans="1:8">
      <c r="A5">
        <v>5</v>
      </c>
      <c r="B5">
        <f>3900+300+7398</f>
        <v>11598</v>
      </c>
      <c r="D5">
        <f>9472.98+928.68+1058+138.34</f>
        <v>11598</v>
      </c>
    </row>
    <row r="6" spans="1:8">
      <c r="A6">
        <v>6</v>
      </c>
      <c r="B6">
        <f>3900+271+5267</f>
        <v>9438</v>
      </c>
      <c r="D6">
        <f>7214.7+68.5+1058+928.68</f>
        <v>9269.880000000001</v>
      </c>
    </row>
    <row r="7" spans="1:8">
      <c r="A7">
        <v>7</v>
      </c>
      <c r="B7">
        <f>3900+286+4323</f>
        <v>8509</v>
      </c>
      <c r="D7">
        <f>6127.76+1070.33+1220+34.88</f>
        <v>8452.9699999999993</v>
      </c>
    </row>
    <row r="8" spans="1:8">
      <c r="A8">
        <v>8</v>
      </c>
      <c r="B8">
        <f>3900+286+4668</f>
        <v>8854</v>
      </c>
      <c r="D8">
        <f>6321.12+1070.33+1220+40.86</f>
        <v>8652.3100000000013</v>
      </c>
    </row>
    <row r="9" spans="1:8">
      <c r="A9">
        <v>9</v>
      </c>
      <c r="B9">
        <f>3900+300+4233</f>
        <v>8433</v>
      </c>
      <c r="D9">
        <f>6086.66+1070.33+1220+33.6</f>
        <v>8410.59</v>
      </c>
    </row>
    <row r="10" spans="1:8">
      <c r="A10">
        <v>10</v>
      </c>
      <c r="B10">
        <f>3900+3842+300</f>
        <v>8042</v>
      </c>
      <c r="D10">
        <f>5707.38+1070.33+1220+21.88</f>
        <v>8019.59</v>
      </c>
    </row>
    <row r="11" spans="1:8">
      <c r="A11">
        <v>11</v>
      </c>
      <c r="B11">
        <f>3900+273+3295</f>
        <v>7468</v>
      </c>
      <c r="D11">
        <f>5120.17+1070.33+1220+3.72</f>
        <v>7414.22</v>
      </c>
    </row>
    <row r="12" spans="1:8">
      <c r="A12">
        <v>12</v>
      </c>
      <c r="B12">
        <f>3900+300+6994</f>
        <v>11194</v>
      </c>
      <c r="D12">
        <f>8634.4+1220+112.4+1070.33</f>
        <v>11037.13</v>
      </c>
    </row>
    <row r="13" spans="1:8">
      <c r="B13">
        <f>SUM(B1:B12)</f>
        <v>113190</v>
      </c>
      <c r="D13">
        <f>SUM(D1:D12)</f>
        <v>112088.09</v>
      </c>
    </row>
    <row r="14" spans="1:8">
      <c r="E14">
        <f>D13/12</f>
        <v>9340.6741666666658</v>
      </c>
    </row>
    <row r="17" spans="4:4">
      <c r="D17">
        <f>B13-D13</f>
        <v>1101.9100000000035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5" t="str">
        <f>IF(项目基本情况!B9="房地产市场价值","估价结果一览表","结果表-2")</f>
        <v>结果表-2</v>
      </c>
      <c r="B1" s="3235"/>
      <c r="C1" s="3235"/>
      <c r="D1" s="3235"/>
      <c r="E1" s="3235"/>
      <c r="F1" s="3235"/>
      <c r="G1" s="3235"/>
      <c r="H1" s="3235"/>
      <c r="I1" s="3235"/>
    </row>
    <row r="2" spans="1:9" ht="30" customHeight="1" thickTop="1">
      <c r="A2" s="3236" t="s">
        <v>1546</v>
      </c>
      <c r="B2" s="3236" t="s">
        <v>1547</v>
      </c>
      <c r="C2" s="3236" t="s">
        <v>1548</v>
      </c>
      <c r="D2" s="3236" t="str">
        <f>结果表!D116</f>
        <v>出让国有建设用地使用权价值</v>
      </c>
      <c r="E2" s="3236"/>
      <c r="F2" s="3236" t="str">
        <f>结果表!F116</f>
        <v>在建建筑物价值</v>
      </c>
      <c r="G2" s="3236"/>
      <c r="H2" s="3236" t="str">
        <f>IF(项目基本情况!B9="房地产市场价值","房地产市场价值","房地产价值")</f>
        <v>房地产价值</v>
      </c>
      <c r="I2" s="3236"/>
    </row>
    <row r="3" spans="1:9" ht="15">
      <c r="A3" s="3237"/>
      <c r="B3" s="3237"/>
      <c r="C3" s="3237"/>
      <c r="D3" s="962" t="s">
        <v>1543</v>
      </c>
      <c r="E3" s="962" t="s">
        <v>1549</v>
      </c>
      <c r="F3" s="962" t="s">
        <v>1543</v>
      </c>
      <c r="G3" s="962" t="s">
        <v>1544</v>
      </c>
      <c r="H3" s="962" t="s">
        <v>1543</v>
      </c>
      <c r="I3" s="962" t="s">
        <v>1544</v>
      </c>
    </row>
    <row r="4" spans="1:9" ht="15">
      <c r="A4" s="1659" t="str">
        <f>项目基本情况!S2</f>
        <v>北京市房地产</v>
      </c>
      <c r="B4" s="962">
        <f>项目基本情况!C17</f>
        <v>17109.73</v>
      </c>
      <c r="C4" s="962">
        <f>项目基本情况!C18</f>
        <v>0</v>
      </c>
      <c r="D4" s="962">
        <f ca="1">结果表!D118</f>
        <v>5533</v>
      </c>
      <c r="E4" s="962">
        <f ca="1">结果表!E118</f>
        <v>3234</v>
      </c>
      <c r="F4" s="962">
        <f ca="1">结果表!F118</f>
        <v>6736</v>
      </c>
      <c r="G4" s="962">
        <f ca="1">结果表!G118</f>
        <v>3937</v>
      </c>
      <c r="H4" s="962">
        <f ca="1">结果表!H118</f>
        <v>12269</v>
      </c>
      <c r="I4" s="962">
        <f ca="1">结果表!I118</f>
        <v>7171</v>
      </c>
    </row>
    <row r="5" spans="1:9" ht="30" customHeight="1">
      <c r="A5" s="3237" t="s">
        <v>1545</v>
      </c>
      <c r="B5" s="3237"/>
      <c r="C5" s="3237"/>
      <c r="D5" s="3238" t="str">
        <f ca="1">结果表!D119</f>
        <v>伍仟伍佰叁拾叁万元整</v>
      </c>
      <c r="E5" s="3238"/>
      <c r="F5" s="3238" t="str">
        <f ca="1">结果表!F119</f>
        <v>陆仟柒佰叁拾陆万元整</v>
      </c>
      <c r="G5" s="3238"/>
      <c r="H5" s="3238" t="str">
        <f ca="1">结果表!H119</f>
        <v>壹亿贰仟贰佰陆拾玖万元整</v>
      </c>
      <c r="I5" s="3238"/>
    </row>
    <row r="6" spans="1:9" ht="15.75">
      <c r="A6" s="3239" t="str">
        <f>结果表!A120</f>
        <v>估价师知悉的法定优先受偿款</v>
      </c>
      <c r="B6" s="3239"/>
      <c r="C6" s="3239"/>
      <c r="D6" s="3239">
        <f>结果表!D120</f>
        <v>0</v>
      </c>
      <c r="E6" s="3239"/>
      <c r="F6" s="3239"/>
      <c r="G6" s="3239"/>
      <c r="H6" s="3239"/>
      <c r="I6" s="3239"/>
    </row>
    <row r="7" spans="1:9" ht="15">
      <c r="A7" s="3237" t="s">
        <v>1545</v>
      </c>
      <c r="B7" s="3237"/>
      <c r="C7" s="3237"/>
      <c r="D7" s="3240" t="str">
        <f>结果表!D121</f>
        <v>零元整</v>
      </c>
      <c r="E7" s="3241"/>
      <c r="F7" s="3241"/>
      <c r="G7" s="3241"/>
      <c r="H7" s="3241"/>
      <c r="I7" s="3242"/>
    </row>
    <row r="8" spans="1:9" ht="15.75">
      <c r="A8" s="3239" t="str">
        <f>结果表!A122</f>
        <v>房地产抵押价值</v>
      </c>
      <c r="B8" s="3239"/>
      <c r="C8" s="3239"/>
      <c r="D8" s="3239">
        <f ca="1">结果表!D122</f>
        <v>12269</v>
      </c>
      <c r="E8" s="3239"/>
      <c r="F8" s="3239"/>
      <c r="G8" s="3239"/>
      <c r="H8" s="3239"/>
      <c r="I8" s="3239"/>
    </row>
    <row r="9" spans="1:9" ht="15">
      <c r="A9" s="3237" t="s">
        <v>1545</v>
      </c>
      <c r="B9" s="3237"/>
      <c r="C9" s="3237"/>
      <c r="D9" s="3238" t="str">
        <f ca="1">结果表!D123</f>
        <v>壹亿贰仟贰佰陆拾玖万元整</v>
      </c>
      <c r="E9" s="3238"/>
      <c r="F9" s="3238"/>
      <c r="G9" s="3238"/>
      <c r="H9" s="3238"/>
      <c r="I9" s="3238"/>
    </row>
    <row r="10" spans="1:9" ht="15.75">
      <c r="A10" s="3239" t="str">
        <f>结果表!A124</f>
        <v/>
      </c>
      <c r="B10" s="3239"/>
      <c r="C10" s="3239"/>
      <c r="D10" s="3239" t="str">
        <f>结果表!D124</f>
        <v>——</v>
      </c>
      <c r="E10" s="3239"/>
      <c r="F10" s="3239"/>
      <c r="G10" s="3239"/>
      <c r="H10" s="3239"/>
      <c r="I10" s="3239"/>
    </row>
    <row r="11" spans="1:9" ht="15">
      <c r="A11" s="3237" t="s">
        <v>1545</v>
      </c>
      <c r="B11" s="3237"/>
      <c r="C11" s="3237"/>
      <c r="D11" s="3238" t="e">
        <f>结果表!D125</f>
        <v>#VALUE!</v>
      </c>
      <c r="E11" s="3238"/>
      <c r="F11" s="3238"/>
      <c r="G11" s="3238"/>
      <c r="H11" s="3238"/>
      <c r="I11" s="3238"/>
    </row>
    <row r="12" spans="1:9" ht="15.75">
      <c r="A12" s="3239" t="str">
        <f>结果表!A126</f>
        <v/>
      </c>
      <c r="B12" s="3239"/>
      <c r="C12" s="3239"/>
      <c r="D12" s="3239" t="str">
        <f>结果表!D126</f>
        <v>——</v>
      </c>
      <c r="E12" s="3239"/>
      <c r="F12" s="3239"/>
      <c r="G12" s="3239"/>
      <c r="H12" s="3239"/>
      <c r="I12" s="3239"/>
    </row>
    <row r="13" spans="1:9" ht="15.75" thickBot="1">
      <c r="A13" s="3243" t="s">
        <v>1545</v>
      </c>
      <c r="B13" s="3243"/>
      <c r="C13" s="3243"/>
      <c r="D13" s="3244" t="e">
        <f>结果表!D127</f>
        <v>#VALUE!</v>
      </c>
      <c r="E13" s="3244"/>
      <c r="F13" s="3244"/>
      <c r="G13" s="3244"/>
      <c r="H13" s="3244"/>
      <c r="I13" s="3244"/>
    </row>
    <row r="14" spans="1:9" ht="15" thickTop="1">
      <c r="A14" s="3245" t="s">
        <v>1550</v>
      </c>
      <c r="B14" s="3245"/>
      <c r="C14" s="3245"/>
      <c r="D14" s="3245"/>
      <c r="E14" s="3245"/>
      <c r="F14" s="3245"/>
      <c r="G14" s="3245"/>
      <c r="H14" s="3245"/>
      <c r="I14" s="3245"/>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46" t="s">
        <v>1567</v>
      </c>
      <c r="B1" s="3246"/>
      <c r="C1" s="3246"/>
      <c r="D1" s="3246"/>
    </row>
    <row r="2" spans="1:4" ht="18">
      <c r="A2" s="3247" t="s">
        <v>1551</v>
      </c>
      <c r="B2" s="3247"/>
      <c r="C2" s="3247"/>
      <c r="D2" s="3247"/>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247" t="s">
        <v>1557</v>
      </c>
      <c r="B6" s="3247"/>
      <c r="C6" s="3247"/>
      <c r="D6" s="3247"/>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48" t="s">
        <v>1560</v>
      </c>
      <c r="B11" s="3249"/>
      <c r="C11" s="3249"/>
      <c r="D11" s="3249"/>
    </row>
    <row r="12" spans="1:4" ht="15.75">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spans="1:4" ht="30" customHeight="1">
      <c r="A13" s="32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spans="1:4" ht="15.75" customHeight="1">
      <c r="A14" s="3249" t="str">
        <f>IF(项目基本情况!B8="抵押","4.本次评估估价师所知悉的法定优先受偿款情况说明如下：","——")</f>
        <v>4.本次评估估价师所知悉的法定优先受偿款情况说明如下：</v>
      </c>
      <c r="B14" s="3250"/>
      <c r="C14" s="3250"/>
      <c r="D14" s="3250"/>
    </row>
    <row r="15" spans="1:4" ht="42" customHeight="1">
      <c r="A15" s="324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9"/>
      <c r="C15" s="3249"/>
      <c r="D15" s="3249"/>
    </row>
    <row r="16" spans="1:4" ht="30" customHeight="1">
      <c r="A16" s="3252" t="s">
        <v>1561</v>
      </c>
      <c r="B16" s="3252"/>
      <c r="C16" s="3252"/>
      <c r="D16" s="3252"/>
    </row>
    <row r="17" spans="1:4" ht="144" customHeight="1">
      <c r="A17" s="3252" t="s">
        <v>1562</v>
      </c>
      <c r="B17" s="3252"/>
      <c r="C17" s="3252"/>
      <c r="D17" s="3252"/>
    </row>
    <row r="18" spans="1:4" ht="15.75" customHeight="1">
      <c r="A18" s="3249" t="str">
        <f>IF(项目基本情况!B8="抵押",结果表!K120,"——")</f>
        <v>故，本次评估不存在估价师知悉的法定优先受偿款</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9"/>
      <c r="C20" s="3249"/>
      <c r="D20" s="3249"/>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3"/>
      <c r="C21" s="3253"/>
      <c r="D21" s="3253"/>
    </row>
    <row r="22" spans="1:4" ht="18.75" customHeight="1">
      <c r="A22" s="3254" t="s">
        <v>1563</v>
      </c>
      <c r="B22" s="3254"/>
      <c r="C22" s="3254"/>
      <c r="D22" s="3254"/>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1">
        <v>42551</v>
      </c>
      <c r="D31" s="32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60" t="s">
        <v>1574</v>
      </c>
      <c r="B15" s="3255" t="s">
        <v>136</v>
      </c>
      <c r="C15" s="3256"/>
    </row>
    <row r="16" spans="1:7" ht="13.5">
      <c r="A16" s="3261"/>
      <c r="B16" s="3255" t="s">
        <v>69</v>
      </c>
      <c r="C16" s="3256"/>
    </row>
    <row r="17" spans="1:3" ht="13.5">
      <c r="A17" s="3261"/>
      <c r="B17" s="3258" t="s">
        <v>1575</v>
      </c>
      <c r="C17" s="1686" t="s">
        <v>1574</v>
      </c>
    </row>
    <row r="18" spans="1:3" ht="13.5">
      <c r="A18" s="3261"/>
      <c r="B18" s="3258"/>
      <c r="C18" s="1686" t="s">
        <v>1576</v>
      </c>
    </row>
    <row r="19" spans="1:3" ht="13.5">
      <c r="A19" s="3261"/>
      <c r="B19" s="3258"/>
      <c r="C19" s="1686" t="s">
        <v>1577</v>
      </c>
    </row>
    <row r="20" spans="1:3" ht="13.5">
      <c r="A20" s="3262"/>
      <c r="B20" s="3257" t="s">
        <v>1578</v>
      </c>
      <c r="C20" s="3256"/>
    </row>
    <row r="21" spans="1:3" ht="13.5">
      <c r="A21" s="1687" t="s">
        <v>1579</v>
      </c>
      <c r="B21" s="1688"/>
      <c r="C21" s="1689"/>
    </row>
    <row r="22" spans="1:3" ht="13.5">
      <c r="A22" s="3259" t="s">
        <v>1580</v>
      </c>
      <c r="B22" s="3257" t="s">
        <v>1581</v>
      </c>
      <c r="C22" s="3256"/>
    </row>
    <row r="23" spans="1:3" ht="13.5">
      <c r="A23" s="3259"/>
      <c r="B23" s="3257" t="s">
        <v>1582</v>
      </c>
      <c r="C23" s="3256"/>
    </row>
    <row r="24" spans="1:3" ht="13.5">
      <c r="A24" s="3259"/>
      <c r="B24" s="3257" t="s">
        <v>1583</v>
      </c>
      <c r="C24" s="3256"/>
    </row>
    <row r="25" spans="1:3" ht="13.5">
      <c r="A25" s="3259"/>
      <c r="B25" s="3258" t="s">
        <v>1584</v>
      </c>
      <c r="C25" s="1686" t="s">
        <v>1585</v>
      </c>
    </row>
    <row r="26" spans="1:3" ht="13.5">
      <c r="A26" s="3259"/>
      <c r="B26" s="3258"/>
      <c r="C26" s="1686" t="s">
        <v>1586</v>
      </c>
    </row>
    <row r="27" spans="1:3" ht="13.5">
      <c r="A27" s="3259"/>
      <c r="B27" s="3258"/>
      <c r="C27" s="1686" t="s">
        <v>1587</v>
      </c>
    </row>
    <row r="28" spans="1:3" ht="13.5">
      <c r="A28" s="3259"/>
      <c r="B28" s="3258"/>
      <c r="C28" s="1686" t="s">
        <v>1588</v>
      </c>
    </row>
    <row r="29" spans="1:3" ht="13.5">
      <c r="A29" s="3259"/>
      <c r="B29" s="3258"/>
      <c r="C29" s="1686" t="s">
        <v>1589</v>
      </c>
    </row>
    <row r="30" spans="1:3" ht="13.5">
      <c r="A30" s="3259"/>
      <c r="B30" s="3258"/>
      <c r="C30" s="1686" t="s">
        <v>1590</v>
      </c>
    </row>
    <row r="31" spans="1:3" ht="13.5">
      <c r="A31" s="3259"/>
      <c r="B31" s="3258"/>
      <c r="C31" s="1686" t="s">
        <v>1591</v>
      </c>
    </row>
    <row r="32" spans="1:3" ht="13.5">
      <c r="A32" s="3259"/>
      <c r="B32" s="3258"/>
      <c r="C32" s="1686" t="s">
        <v>1592</v>
      </c>
    </row>
    <row r="33" spans="1:3" ht="13.5">
      <c r="A33" s="3259"/>
      <c r="B33" s="3258"/>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44588</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3" t="s">
        <v>2840</v>
      </c>
      <c r="B17" s="3263"/>
      <c r="C17" s="3263"/>
      <c r="D17" s="3263"/>
      <c r="E17" s="3263"/>
      <c r="F17" s="3263"/>
      <c r="G17" s="3263"/>
      <c r="H17" s="3263"/>
    </row>
    <row r="18" spans="1:8" ht="24" customHeight="1">
      <c r="A18" s="3264" t="s">
        <v>2841</v>
      </c>
      <c r="B18" s="3264"/>
      <c r="C18" s="3264"/>
      <c r="D18" s="2535"/>
      <c r="E18" s="3265" t="s">
        <v>2842</v>
      </c>
      <c r="F18" s="3264"/>
      <c r="G18" s="3264"/>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2022-01-27T03:02:10Z</dcterms:modified>
</cp:coreProperties>
</file>